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 AMORIM\Desktop\"/>
    </mc:Choice>
  </mc:AlternateContent>
  <xr:revisionPtr revIDLastSave="0" documentId="8_{78D8F009-88D7-4119-9946-F781F34E7520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Gráf1" sheetId="7" r:id="rId1"/>
    <sheet name="CLASSIFCAÇÃ" sheetId="1" r:id="rId2"/>
    <sheet name="RATEIO" sheetId="2" r:id="rId3"/>
    <sheet name="DRE" sheetId="5" r:id="rId4"/>
    <sheet name="Plan3" sheetId="4" r:id="rId5"/>
    <sheet name="BALANÇO" sheetId="6" r:id="rId6"/>
  </sheets>
  <definedNames>
    <definedName name="_xlnm._FilterDatabase" localSheetId="1" hidden="1">CLASSIFCAÇÃ!$A$1:$F$21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3" i="2" l="1"/>
  <c r="C12" i="2" s="1"/>
  <c r="C8" i="1"/>
  <c r="E3" i="1"/>
  <c r="B12" i="2" l="1"/>
  <c r="D12" i="2"/>
  <c r="C3" i="2"/>
  <c r="B3" i="2"/>
  <c r="D4" i="1"/>
  <c r="D20" i="1" s="1"/>
  <c r="C21" i="1"/>
  <c r="C11" i="1" l="1"/>
  <c r="F19" i="1"/>
  <c r="F20" i="1" s="1"/>
  <c r="C9" i="1"/>
  <c r="D29" i="1"/>
  <c r="B4" i="4"/>
  <c r="B3" i="4"/>
  <c r="B2" i="4"/>
  <c r="D3" i="2" l="1"/>
  <c r="C20" i="1"/>
  <c r="D18" i="2"/>
  <c r="C5" i="5"/>
  <c r="A26" i="2"/>
  <c r="C25" i="2"/>
  <c r="D25" i="2"/>
  <c r="B25" i="2"/>
  <c r="C16" i="2"/>
  <c r="D16" i="2"/>
  <c r="B16" i="2"/>
  <c r="B18" i="2" l="1"/>
  <c r="D17" i="2"/>
  <c r="C5" i="2"/>
  <c r="B17" i="2"/>
  <c r="E6" i="2"/>
  <c r="C15" i="6"/>
  <c r="D12" i="6"/>
  <c r="D8" i="6"/>
  <c r="D2" i="6"/>
  <c r="B8" i="6"/>
  <c r="B2" i="6"/>
  <c r="C23" i="2"/>
  <c r="D23" i="2"/>
  <c r="B23" i="2"/>
  <c r="C18" i="2"/>
  <c r="C26" i="2"/>
  <c r="D26" i="2"/>
  <c r="B26" i="2"/>
  <c r="E10" i="2"/>
  <c r="D6" i="2" l="1"/>
  <c r="B6" i="2"/>
  <c r="C6" i="2"/>
  <c r="B5" i="2"/>
  <c r="E13" i="2"/>
  <c r="E26" i="2" s="1"/>
  <c r="D5" i="2"/>
  <c r="C17" i="2"/>
  <c r="E17" i="2" s="1"/>
  <c r="E7" i="2"/>
  <c r="D4" i="4"/>
  <c r="E23" i="2"/>
  <c r="D15" i="6"/>
  <c r="B15" i="6"/>
  <c r="B5" i="4"/>
  <c r="D3" i="4"/>
  <c r="D2" i="4"/>
  <c r="E3" i="2"/>
  <c r="E20" i="2"/>
  <c r="B19" i="2"/>
  <c r="E18" i="2"/>
  <c r="E4" i="2"/>
  <c r="D5" i="4" l="1"/>
  <c r="C5" i="4" s="1"/>
  <c r="D17" i="6"/>
  <c r="C19" i="2"/>
  <c r="C9" i="2"/>
  <c r="D9" i="2"/>
  <c r="E5" i="2"/>
  <c r="B9" i="2"/>
  <c r="D19" i="2"/>
  <c r="C2" i="5" l="1"/>
  <c r="E19" i="2"/>
  <c r="D20" i="2" s="1"/>
  <c r="D22" i="2" s="1"/>
  <c r="E9" i="2"/>
  <c r="C3" i="5" l="1"/>
  <c r="C4" i="5" s="1"/>
  <c r="C6" i="5" s="1"/>
  <c r="D24" i="2"/>
  <c r="B20" i="2"/>
  <c r="B22" i="2" s="1"/>
  <c r="B24" i="2" s="1"/>
  <c r="C20" i="2"/>
  <c r="C22" i="2" s="1"/>
  <c r="E11" i="2"/>
  <c r="C24" i="2" l="1"/>
  <c r="E21" i="2"/>
  <c r="E22" i="2"/>
  <c r="E24" i="2" l="1"/>
</calcChain>
</file>

<file path=xl/sharedStrings.xml><?xml version="1.0" encoding="utf-8"?>
<sst xmlns="http://schemas.openxmlformats.org/spreadsheetml/2006/main" count="124" uniqueCount="90">
  <si>
    <t>Descrição</t>
  </si>
  <si>
    <t>Custo indireto</t>
  </si>
  <si>
    <t>Despesa</t>
  </si>
  <si>
    <t>TOTAL</t>
  </si>
  <si>
    <t>Soma</t>
  </si>
  <si>
    <t>Material Direto - MD</t>
  </si>
  <si>
    <t>Mão de Obra Direta (MOD)</t>
  </si>
  <si>
    <t>Custo Direto Total</t>
  </si>
  <si>
    <t>Custo Indireto</t>
  </si>
  <si>
    <t>% Rateio</t>
  </si>
  <si>
    <t>Custo Total</t>
  </si>
  <si>
    <t>Quantidade Produzida</t>
  </si>
  <si>
    <t>Custo Unitário</t>
  </si>
  <si>
    <t>F/V</t>
  </si>
  <si>
    <t>F</t>
  </si>
  <si>
    <t>V</t>
  </si>
  <si>
    <t>PREÇO DE VENDA</t>
  </si>
  <si>
    <t>Folha</t>
  </si>
  <si>
    <t>Máquinas</t>
  </si>
  <si>
    <t>PRODUTO</t>
  </si>
  <si>
    <t>DRE</t>
  </si>
  <si>
    <t>(+)</t>
  </si>
  <si>
    <t>Receitas</t>
  </si>
  <si>
    <t>(-)</t>
  </si>
  <si>
    <t>CPV</t>
  </si>
  <si>
    <t>(=)</t>
  </si>
  <si>
    <t>LOB</t>
  </si>
  <si>
    <t>Despesas</t>
  </si>
  <si>
    <t>LAIR</t>
  </si>
  <si>
    <t>Quantidade</t>
  </si>
  <si>
    <t>Valor unitário</t>
  </si>
  <si>
    <t>Valor total</t>
  </si>
  <si>
    <t>ATIVO</t>
  </si>
  <si>
    <t>PASSIVO</t>
  </si>
  <si>
    <t>CIRCULANTE</t>
  </si>
  <si>
    <t>NÃO CIRCULANTE</t>
  </si>
  <si>
    <t>PATRIMÔNIO LÍQUIDO</t>
  </si>
  <si>
    <t>Banco c/ movimento</t>
  </si>
  <si>
    <t>Estoque Baton</t>
  </si>
  <si>
    <t>Estoque Blush</t>
  </si>
  <si>
    <t>Estoque Pó Compacto</t>
  </si>
  <si>
    <t>Estoque matéria Prima</t>
  </si>
  <si>
    <t>(-) Depreciação Acumulada</t>
  </si>
  <si>
    <t>Duplicatas a pg</t>
  </si>
  <si>
    <t>Absorção - QUANTIDADE</t>
  </si>
  <si>
    <t>Absorção - Custo Direto</t>
  </si>
  <si>
    <t>MD SANDÁLIAS</t>
  </si>
  <si>
    <t>MD CHINELOS</t>
  </si>
  <si>
    <t>SAPATOS</t>
  </si>
  <si>
    <t>SANDÁLIAS</t>
  </si>
  <si>
    <t>CHINELOS</t>
  </si>
  <si>
    <t>TAXA DE MARCAÇÃO</t>
  </si>
  <si>
    <t>SANDALIAS</t>
  </si>
  <si>
    <t>MC</t>
  </si>
  <si>
    <t>PEQ</t>
  </si>
  <si>
    <t>PE$</t>
  </si>
  <si>
    <t>GASTO FIXO TOTAL</t>
  </si>
  <si>
    <t>GASTO VARIÁVEL TOTAL</t>
  </si>
  <si>
    <t>GASTO  VARIÁVEL UNI.</t>
  </si>
  <si>
    <t>PREÇO DE VENDA UNI.</t>
  </si>
  <si>
    <t>MÉDIA</t>
  </si>
  <si>
    <t xml:space="preserve">GASTO VARIAVÉL TOTAL / QUANTIDADE </t>
  </si>
  <si>
    <t>PVU - GVU</t>
  </si>
  <si>
    <t>PEQ X PVU</t>
  </si>
  <si>
    <t>FORNECEDORES</t>
  </si>
  <si>
    <t>SALÁRIOS A PG</t>
  </si>
  <si>
    <t>PL</t>
  </si>
  <si>
    <t>LUCRO</t>
  </si>
  <si>
    <t>c</t>
  </si>
  <si>
    <t>Custo Direto</t>
  </si>
  <si>
    <t>Investimento</t>
  </si>
  <si>
    <t>MOD CHINELOS 40%</t>
  </si>
  <si>
    <t>MOD SAPATOS 35%</t>
  </si>
  <si>
    <t>MOD SANDÁLIAS 25%</t>
  </si>
  <si>
    <t>ALUGUEL FÁBRICA</t>
  </si>
  <si>
    <t>total da receita / quantidade vendida</t>
  </si>
  <si>
    <t>GASTO FIXO TOTAL/ MC</t>
  </si>
  <si>
    <t>LUCRO = ZERO</t>
  </si>
  <si>
    <t>MÁQUINAS</t>
  </si>
  <si>
    <t>X</t>
  </si>
  <si>
    <t>DEPRECIAÇÃO</t>
  </si>
  <si>
    <t>ESTOQUE MAT. PRIMA</t>
  </si>
  <si>
    <t xml:space="preserve">MD SAPATOS </t>
  </si>
  <si>
    <t>ENERGIA FÁBRICA</t>
  </si>
  <si>
    <t>ENERGIA ADM</t>
  </si>
  <si>
    <t>SALÁRIO GESTOR FAB</t>
  </si>
  <si>
    <t>TREINAMENTO ADM</t>
  </si>
  <si>
    <t>TREINAMENTO FAB</t>
  </si>
  <si>
    <t>FRETE</t>
  </si>
  <si>
    <t>SALÁRIO ADM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</si>
</sst>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#,##0.00_ ;\-#,##0.00\ "/>
    <numFmt numFmtId="165" formatCode="#,##0_ ;\-#,##0\ "/>
    <numFmt numFmtId="166" formatCode="#,##0.0000_ ;\-#,##0.0000\ "/>
  </numFmts>
  <fonts count="1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</font>
    <font>
      <b/>
      <sz val="12"/>
      <name val="Arial"/>
    </font>
    <font>
      <b/>
      <sz val="10"/>
      <color theme="1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indexed="64"/>
      </bottom>
      <diagonal/>
    </border>
    <border>
      <left/>
      <right style="thick">
        <color auto="1"/>
      </right>
      <top style="thick">
        <color auto="1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indexed="64"/>
      </bottom>
      <diagonal/>
    </border>
    <border>
      <left/>
      <right style="thick">
        <color auto="1"/>
      </right>
      <top/>
      <bottom style="double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3" fillId="2" borderId="2" xfId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/>
    <xf numFmtId="44" fontId="6" fillId="0" borderId="4" xfId="0" applyNumberFormat="1" applyFont="1" applyBorder="1"/>
    <xf numFmtId="0" fontId="6" fillId="0" borderId="5" xfId="0" applyFont="1" applyBorder="1"/>
    <xf numFmtId="44" fontId="6" fillId="0" borderId="6" xfId="1" applyFont="1" applyBorder="1"/>
    <xf numFmtId="44" fontId="6" fillId="0" borderId="7" xfId="1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44" fontId="6" fillId="0" borderId="9" xfId="1" applyFont="1" applyBorder="1"/>
    <xf numFmtId="44" fontId="6" fillId="0" borderId="4" xfId="1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/>
    <xf numFmtId="3" fontId="0" fillId="0" borderId="0" xfId="0" applyNumberFormat="1"/>
    <xf numFmtId="44" fontId="6" fillId="0" borderId="9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0" fontId="8" fillId="2" borderId="1" xfId="0" applyFont="1" applyFill="1" applyBorder="1" applyAlignment="1">
      <alignment horizontal="center"/>
    </xf>
    <xf numFmtId="44" fontId="8" fillId="2" borderId="1" xfId="1" applyFont="1" applyFill="1" applyBorder="1"/>
    <xf numFmtId="44" fontId="0" fillId="0" borderId="0" xfId="0" applyNumberFormat="1"/>
    <xf numFmtId="44" fontId="6" fillId="0" borderId="0" xfId="1" applyFont="1"/>
    <xf numFmtId="0" fontId="6" fillId="0" borderId="13" xfId="0" applyFont="1" applyBorder="1"/>
    <xf numFmtId="44" fontId="6" fillId="0" borderId="14" xfId="0" applyNumberFormat="1" applyFont="1" applyBorder="1"/>
    <xf numFmtId="0" fontId="6" fillId="0" borderId="9" xfId="0" applyFont="1" applyBorder="1"/>
    <xf numFmtId="0" fontId="6" fillId="3" borderId="15" xfId="0" applyFont="1" applyFill="1" applyBorder="1"/>
    <xf numFmtId="0" fontId="0" fillId="0" borderId="0" xfId="0" applyAlignment="1">
      <alignment shrinkToFit="1"/>
    </xf>
    <xf numFmtId="164" fontId="0" fillId="0" borderId="0" xfId="1" applyNumberFormat="1" applyFont="1"/>
    <xf numFmtId="0" fontId="6" fillId="4" borderId="8" xfId="0" applyFont="1" applyFill="1" applyBorder="1"/>
    <xf numFmtId="10" fontId="6" fillId="4" borderId="9" xfId="0" applyNumberFormat="1" applyFont="1" applyFill="1" applyBorder="1"/>
    <xf numFmtId="10" fontId="6" fillId="4" borderId="4" xfId="0" applyNumberFormat="1" applyFont="1" applyFill="1" applyBorder="1"/>
    <xf numFmtId="0" fontId="6" fillId="5" borderId="8" xfId="0" applyFont="1" applyFill="1" applyBorder="1"/>
    <xf numFmtId="44" fontId="6" fillId="5" borderId="9" xfId="0" applyNumberFormat="1" applyFont="1" applyFill="1" applyBorder="1"/>
    <xf numFmtId="44" fontId="6" fillId="5" borderId="4" xfId="0" applyNumberFormat="1" applyFont="1" applyFill="1" applyBorder="1"/>
    <xf numFmtId="0" fontId="6" fillId="6" borderId="9" xfId="0" applyFont="1" applyFill="1" applyBorder="1"/>
    <xf numFmtId="44" fontId="6" fillId="6" borderId="17" xfId="0" applyNumberFormat="1" applyFont="1" applyFill="1" applyBorder="1"/>
    <xf numFmtId="44" fontId="6" fillId="3" borderId="0" xfId="1" applyFont="1" applyFill="1"/>
    <xf numFmtId="44" fontId="8" fillId="2" borderId="1" xfId="1" quotePrefix="1" applyFont="1" applyFill="1" applyBorder="1"/>
    <xf numFmtId="3" fontId="9" fillId="7" borderId="8" xfId="0" applyNumberFormat="1" applyFont="1" applyFill="1" applyBorder="1"/>
    <xf numFmtId="3" fontId="9" fillId="7" borderId="9" xfId="0" applyNumberFormat="1" applyFont="1" applyFill="1" applyBorder="1"/>
    <xf numFmtId="165" fontId="9" fillId="7" borderId="4" xfId="0" applyNumberFormat="1" applyFont="1" applyFill="1" applyBorder="1"/>
    <xf numFmtId="0" fontId="3" fillId="7" borderId="8" xfId="0" applyFont="1" applyFill="1" applyBorder="1"/>
    <xf numFmtId="44" fontId="3" fillId="7" borderId="9" xfId="0" applyNumberFormat="1" applyFont="1" applyFill="1" applyBorder="1"/>
    <xf numFmtId="44" fontId="3" fillId="7" borderId="4" xfId="0" applyNumberFormat="1" applyFont="1" applyFill="1" applyBorder="1"/>
    <xf numFmtId="0" fontId="11" fillId="8" borderId="18" xfId="0" applyFont="1" applyFill="1" applyBorder="1" applyAlignment="1">
      <alignment vertical="center"/>
    </xf>
    <xf numFmtId="44" fontId="11" fillId="8" borderId="18" xfId="1" applyFont="1" applyFill="1" applyBorder="1" applyAlignment="1">
      <alignment vertical="center"/>
    </xf>
    <xf numFmtId="0" fontId="11" fillId="8" borderId="19" xfId="0" applyFont="1" applyFill="1" applyBorder="1" applyAlignment="1">
      <alignment vertical="center"/>
    </xf>
    <xf numFmtId="0" fontId="12" fillId="9" borderId="20" xfId="0" applyFont="1" applyFill="1" applyBorder="1"/>
    <xf numFmtId="44" fontId="12" fillId="9" borderId="21" xfId="1" applyFont="1" applyFill="1" applyBorder="1"/>
    <xf numFmtId="0" fontId="0" fillId="9" borderId="22" xfId="0" applyFill="1" applyBorder="1"/>
    <xf numFmtId="44" fontId="0" fillId="9" borderId="23" xfId="1" applyFont="1" applyFill="1" applyBorder="1"/>
    <xf numFmtId="0" fontId="12" fillId="9" borderId="24" xfId="0" applyFont="1" applyFill="1" applyBorder="1"/>
    <xf numFmtId="44" fontId="12" fillId="9" borderId="25" xfId="1" applyFont="1" applyFill="1" applyBorder="1"/>
    <xf numFmtId="44" fontId="0" fillId="9" borderId="27" xfId="1" applyFont="1" applyFill="1" applyBorder="1"/>
    <xf numFmtId="0" fontId="6" fillId="9" borderId="22" xfId="0" applyFont="1" applyFill="1" applyBorder="1"/>
    <xf numFmtId="0" fontId="13" fillId="9" borderId="22" xfId="0" applyFont="1" applyFill="1" applyBorder="1"/>
    <xf numFmtId="44" fontId="13" fillId="9" borderId="23" xfId="1" applyFont="1" applyFill="1" applyBorder="1"/>
    <xf numFmtId="44" fontId="6" fillId="0" borderId="9" xfId="1" applyNumberFormat="1" applyFont="1" applyBorder="1"/>
    <xf numFmtId="165" fontId="0" fillId="0" borderId="0" xfId="0" applyNumberFormat="1"/>
    <xf numFmtId="166" fontId="6" fillId="3" borderId="0" xfId="1" applyNumberFormat="1" applyFont="1" applyFill="1"/>
    <xf numFmtId="44" fontId="0" fillId="3" borderId="0" xfId="0" applyNumberFormat="1" applyFill="1"/>
    <xf numFmtId="165" fontId="0" fillId="0" borderId="0" xfId="1" applyNumberFormat="1" applyFont="1"/>
    <xf numFmtId="0" fontId="6" fillId="9" borderId="26" xfId="0" applyFont="1" applyFill="1" applyBorder="1"/>
    <xf numFmtId="44" fontId="3" fillId="2" borderId="1" xfId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4" fontId="6" fillId="0" borderId="9" xfId="1" applyFont="1" applyFill="1" applyBorder="1"/>
    <xf numFmtId="44" fontId="4" fillId="0" borderId="0" xfId="1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1" xfId="1" applyFont="1" applyFill="1" applyBorder="1" applyAlignment="1">
      <alignment horizontal="center" vertical="center"/>
    </xf>
    <xf numFmtId="44" fontId="3" fillId="2" borderId="12" xfId="1" applyFont="1" applyFill="1" applyBorder="1" applyAlignment="1">
      <alignment horizontal="center" vertical="center"/>
    </xf>
    <xf numFmtId="44" fontId="6" fillId="0" borderId="0" xfId="1" applyFont="1" applyAlignment="1"/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592128"/>
        <c:axId val="82130816"/>
      </c:barChart>
      <c:catAx>
        <c:axId val="6659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130816"/>
        <c:crosses val="autoZero"/>
        <c:auto val="1"/>
        <c:lblAlgn val="ctr"/>
        <c:lblOffset val="100"/>
        <c:noMultiLvlLbl val="0"/>
      </c:catAx>
      <c:valAx>
        <c:axId val="82130816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66592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4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3906" cy="6032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0"/>
  <sheetViews>
    <sheetView topLeftCell="A2" zoomScale="80" zoomScaleNormal="80" workbookViewId="0">
      <selection activeCell="G12" sqref="G12"/>
    </sheetView>
  </sheetViews>
  <sheetFormatPr defaultRowHeight="12.75" x14ac:dyDescent="0.2"/>
  <cols>
    <col min="1" max="1" width="23.140625" customWidth="1"/>
    <col min="2" max="2" width="4.85546875" style="1" customWidth="1"/>
    <col min="3" max="3" width="25.7109375" style="2" customWidth="1"/>
    <col min="4" max="4" width="18" style="2" bestFit="1" customWidth="1"/>
    <col min="5" max="5" width="18.42578125" style="2" customWidth="1"/>
    <col min="6" max="6" width="18" style="2" bestFit="1" customWidth="1"/>
    <col min="8" max="8" width="15.28515625" bestFit="1" customWidth="1"/>
  </cols>
  <sheetData>
    <row r="1" spans="1:6" x14ac:dyDescent="0.2">
      <c r="A1" s="72" t="s">
        <v>0</v>
      </c>
      <c r="B1" s="74" t="s">
        <v>13</v>
      </c>
      <c r="C1" s="76" t="s">
        <v>68</v>
      </c>
      <c r="D1" s="76"/>
      <c r="E1" s="76"/>
      <c r="F1" s="77"/>
    </row>
    <row r="2" spans="1:6" ht="13.5" thickBot="1" x14ac:dyDescent="0.25">
      <c r="A2" s="73"/>
      <c r="B2" s="75"/>
      <c r="C2" s="67" t="s">
        <v>69</v>
      </c>
      <c r="D2" s="67" t="s">
        <v>1</v>
      </c>
      <c r="E2" s="67" t="s">
        <v>70</v>
      </c>
      <c r="F2" s="3" t="s">
        <v>2</v>
      </c>
    </row>
    <row r="3" spans="1:6" x14ac:dyDescent="0.2">
      <c r="A3" s="7" t="s">
        <v>78</v>
      </c>
      <c r="B3" s="68" t="s">
        <v>79</v>
      </c>
      <c r="C3" s="8"/>
      <c r="D3" s="8"/>
      <c r="E3" s="9">
        <f>125000*4</f>
        <v>500000</v>
      </c>
      <c r="F3" s="9"/>
    </row>
    <row r="4" spans="1:6" x14ac:dyDescent="0.2">
      <c r="A4" s="10" t="s">
        <v>80</v>
      </c>
      <c r="B4" s="69" t="s">
        <v>14</v>
      </c>
      <c r="C4" s="12"/>
      <c r="D4" s="61">
        <f>E3/(12*12)</f>
        <v>3472.2222222222222</v>
      </c>
      <c r="E4" s="13"/>
      <c r="F4" s="13"/>
    </row>
    <row r="5" spans="1:6" x14ac:dyDescent="0.2">
      <c r="A5" s="10" t="s">
        <v>81</v>
      </c>
      <c r="B5" s="69" t="s">
        <v>79</v>
      </c>
      <c r="C5" s="12"/>
      <c r="D5" s="61"/>
      <c r="E5" s="13">
        <v>560000</v>
      </c>
      <c r="F5" s="13"/>
    </row>
    <row r="6" spans="1:6" x14ac:dyDescent="0.2">
      <c r="A6" s="10" t="s">
        <v>82</v>
      </c>
      <c r="B6" s="69" t="s">
        <v>15</v>
      </c>
      <c r="C6" s="12">
        <v>123000</v>
      </c>
      <c r="D6" s="12"/>
      <c r="E6" s="13"/>
      <c r="F6" s="13"/>
    </row>
    <row r="7" spans="1:6" x14ac:dyDescent="0.2">
      <c r="A7" s="10" t="s">
        <v>46</v>
      </c>
      <c r="B7" s="11" t="s">
        <v>15</v>
      </c>
      <c r="C7" s="12">
        <v>140000</v>
      </c>
      <c r="D7" s="12"/>
      <c r="E7" s="12"/>
      <c r="F7" s="13"/>
    </row>
    <row r="8" spans="1:6" x14ac:dyDescent="0.2">
      <c r="A8" s="10" t="s">
        <v>47</v>
      </c>
      <c r="B8" s="11" t="s">
        <v>15</v>
      </c>
      <c r="C8" s="12">
        <f>E5-C6-C7</f>
        <v>297000</v>
      </c>
      <c r="D8" s="12"/>
      <c r="E8" s="12"/>
      <c r="F8" s="13"/>
    </row>
    <row r="9" spans="1:6" x14ac:dyDescent="0.2">
      <c r="A9" s="10" t="s">
        <v>71</v>
      </c>
      <c r="B9" s="11" t="s">
        <v>15</v>
      </c>
      <c r="C9" s="12">
        <f>C21*0.4</f>
        <v>231916.2</v>
      </c>
      <c r="D9" s="12"/>
      <c r="E9" s="12"/>
      <c r="F9" s="13"/>
    </row>
    <row r="10" spans="1:6" x14ac:dyDescent="0.2">
      <c r="A10" s="10" t="s">
        <v>72</v>
      </c>
      <c r="B10" s="11" t="s">
        <v>15</v>
      </c>
      <c r="C10" s="12">
        <v>202926.67</v>
      </c>
      <c r="D10" s="12"/>
      <c r="E10" s="12"/>
      <c r="F10" s="13"/>
    </row>
    <row r="11" spans="1:6" x14ac:dyDescent="0.2">
      <c r="A11" s="10" t="s">
        <v>73</v>
      </c>
      <c r="B11" s="11" t="s">
        <v>15</v>
      </c>
      <c r="C11" s="12">
        <f>C21*0.25</f>
        <v>144947.625</v>
      </c>
      <c r="D11" s="12"/>
      <c r="E11" s="12"/>
      <c r="F11" s="13"/>
    </row>
    <row r="12" spans="1:6" x14ac:dyDescent="0.2">
      <c r="A12" s="10" t="s">
        <v>74</v>
      </c>
      <c r="B12" s="11" t="s">
        <v>14</v>
      </c>
      <c r="C12" s="12"/>
      <c r="D12" s="12">
        <v>55000</v>
      </c>
      <c r="E12" s="12"/>
      <c r="F12" s="13"/>
    </row>
    <row r="13" spans="1:6" x14ac:dyDescent="0.2">
      <c r="A13" s="10" t="s">
        <v>83</v>
      </c>
      <c r="B13" s="11" t="s">
        <v>15</v>
      </c>
      <c r="C13" s="70"/>
      <c r="D13" s="12">
        <v>75000</v>
      </c>
      <c r="E13" s="12"/>
      <c r="F13" s="13"/>
    </row>
    <row r="14" spans="1:6" x14ac:dyDescent="0.2">
      <c r="A14" s="10" t="s">
        <v>84</v>
      </c>
      <c r="B14" s="11" t="s">
        <v>14</v>
      </c>
      <c r="C14" s="70"/>
      <c r="D14" s="12"/>
      <c r="E14" s="12"/>
      <c r="F14" s="13">
        <v>45000</v>
      </c>
    </row>
    <row r="15" spans="1:6" x14ac:dyDescent="0.2">
      <c r="A15" s="10" t="s">
        <v>85</v>
      </c>
      <c r="B15" s="11" t="s">
        <v>14</v>
      </c>
      <c r="C15" s="70"/>
      <c r="D15" s="12">
        <v>25000</v>
      </c>
      <c r="E15" s="12"/>
      <c r="F15" s="13"/>
    </row>
    <row r="16" spans="1:6" x14ac:dyDescent="0.2">
      <c r="A16" s="10" t="s">
        <v>86</v>
      </c>
      <c r="B16" s="11" t="s">
        <v>14</v>
      </c>
      <c r="C16" s="70"/>
      <c r="D16" s="12"/>
      <c r="E16" s="12"/>
      <c r="F16" s="13">
        <v>40000</v>
      </c>
    </row>
    <row r="17" spans="1:6" x14ac:dyDescent="0.2">
      <c r="A17" s="10" t="s">
        <v>87</v>
      </c>
      <c r="B17" s="11" t="s">
        <v>14</v>
      </c>
      <c r="C17" s="70"/>
      <c r="D17" s="12">
        <v>65000</v>
      </c>
      <c r="E17" s="12"/>
      <c r="F17" s="13"/>
    </row>
    <row r="18" spans="1:6" x14ac:dyDescent="0.2">
      <c r="A18" s="10" t="s">
        <v>88</v>
      </c>
      <c r="B18" s="11" t="s">
        <v>15</v>
      </c>
      <c r="C18" s="70"/>
      <c r="D18" s="12"/>
      <c r="E18" s="12"/>
      <c r="F18" s="13">
        <v>55000</v>
      </c>
    </row>
    <row r="19" spans="1:6" x14ac:dyDescent="0.2">
      <c r="A19" s="10" t="s">
        <v>89</v>
      </c>
      <c r="B19" s="11" t="s">
        <v>14</v>
      </c>
      <c r="C19" s="70"/>
      <c r="D19" s="12"/>
      <c r="E19" s="12"/>
      <c r="F19" s="13">
        <f>C21*0.35</f>
        <v>202926.67499999999</v>
      </c>
    </row>
    <row r="20" spans="1:6" s="5" customFormat="1" ht="16.5" thickBot="1" x14ac:dyDescent="0.3">
      <c r="A20" s="4" t="s">
        <v>3</v>
      </c>
      <c r="B20" s="22"/>
      <c r="C20" s="23">
        <f>SUM(C3:C19)</f>
        <v>1139790.4950000001</v>
      </c>
      <c r="D20" s="41">
        <f>SUM(D3:D19)</f>
        <v>223472.22222222222</v>
      </c>
      <c r="E20" s="41"/>
      <c r="F20" s="41">
        <f>SUM(F3:F19)</f>
        <v>342926.67499999999</v>
      </c>
    </row>
    <row r="21" spans="1:6" ht="15.75" x14ac:dyDescent="0.25">
      <c r="A21" t="s">
        <v>17</v>
      </c>
      <c r="C21" s="71">
        <f>((225+280)*890)*1.29</f>
        <v>579790.5</v>
      </c>
    </row>
    <row r="23" spans="1:6" x14ac:dyDescent="0.2">
      <c r="B23" s="78" t="s">
        <v>57</v>
      </c>
      <c r="C23" s="78"/>
      <c r="D23" s="2">
        <v>1269790.5</v>
      </c>
    </row>
    <row r="24" spans="1:6" x14ac:dyDescent="0.2">
      <c r="B24" s="78" t="s">
        <v>56</v>
      </c>
      <c r="C24" s="78"/>
      <c r="D24" s="2">
        <v>436398.9</v>
      </c>
    </row>
    <row r="25" spans="1:6" x14ac:dyDescent="0.2">
      <c r="B25" s="78" t="s">
        <v>58</v>
      </c>
      <c r="C25" s="78"/>
      <c r="D25" s="25">
        <v>2.08</v>
      </c>
      <c r="E25" s="25" t="s">
        <v>61</v>
      </c>
    </row>
    <row r="26" spans="1:6" x14ac:dyDescent="0.2">
      <c r="B26" s="78" t="s">
        <v>59</v>
      </c>
      <c r="C26" s="78"/>
      <c r="D26" s="2">
        <v>4.55</v>
      </c>
      <c r="E26" s="25" t="s">
        <v>60</v>
      </c>
    </row>
    <row r="27" spans="1:6" x14ac:dyDescent="0.2">
      <c r="B27" s="78" t="s">
        <v>53</v>
      </c>
      <c r="C27" s="78"/>
      <c r="D27" s="2">
        <v>2.4700000000000002</v>
      </c>
      <c r="E27" s="25" t="s">
        <v>62</v>
      </c>
    </row>
    <row r="28" spans="1:6" x14ac:dyDescent="0.2">
      <c r="B28" s="78" t="s">
        <v>54</v>
      </c>
      <c r="C28" s="78"/>
      <c r="D28" s="65">
        <v>176680</v>
      </c>
      <c r="E28" s="25" t="s">
        <v>76</v>
      </c>
    </row>
    <row r="29" spans="1:6" x14ac:dyDescent="0.2">
      <c r="B29" s="78" t="s">
        <v>55</v>
      </c>
      <c r="C29" s="78"/>
      <c r="D29" s="31">
        <f>D28*D26</f>
        <v>803894</v>
      </c>
      <c r="E29" s="25" t="s">
        <v>63</v>
      </c>
      <c r="F29" s="2" t="s">
        <v>77</v>
      </c>
    </row>
    <row r="30" spans="1:6" x14ac:dyDescent="0.2">
      <c r="C30" s="25"/>
    </row>
  </sheetData>
  <autoFilter ref="A1:F21" xr:uid="{00000000-0009-0000-0000-000001000000}">
    <filterColumn colId="2" showButton="0"/>
    <filterColumn colId="3" showButton="0"/>
    <filterColumn colId="4" showButton="0"/>
  </autoFilter>
  <mergeCells count="10">
    <mergeCell ref="B26:C26"/>
    <mergeCell ref="B27:C27"/>
    <mergeCell ref="B28:C28"/>
    <mergeCell ref="B29:C29"/>
    <mergeCell ref="B25:C25"/>
    <mergeCell ref="A1:A2"/>
    <mergeCell ref="B1:B2"/>
    <mergeCell ref="C1:F1"/>
    <mergeCell ref="B23:C23"/>
    <mergeCell ref="B24:C2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6"/>
  <sheetViews>
    <sheetView tabSelected="1" zoomScale="160" zoomScaleNormal="160" workbookViewId="0">
      <selection activeCell="D13" sqref="D13"/>
    </sheetView>
  </sheetViews>
  <sheetFormatPr defaultRowHeight="12.75" x14ac:dyDescent="0.2"/>
  <cols>
    <col min="1" max="1" width="24.5703125" bestFit="1" customWidth="1"/>
    <col min="2" max="4" width="20" bestFit="1" customWidth="1"/>
    <col min="5" max="5" width="19.140625" bestFit="1" customWidth="1"/>
    <col min="8" max="8" width="10.28515625" bestFit="1" customWidth="1"/>
  </cols>
  <sheetData>
    <row r="1" spans="1:5" ht="27" customHeight="1" thickBot="1" x14ac:dyDescent="0.25">
      <c r="A1" s="79" t="s">
        <v>44</v>
      </c>
      <c r="B1" s="79"/>
      <c r="C1" s="79"/>
      <c r="D1" s="79"/>
      <c r="E1" s="79"/>
    </row>
    <row r="2" spans="1:5" s="1" customFormat="1" ht="24" customHeight="1" x14ac:dyDescent="0.2">
      <c r="A2" s="14" t="s">
        <v>0</v>
      </c>
      <c r="B2" s="15" t="s">
        <v>48</v>
      </c>
      <c r="C2" s="15" t="s">
        <v>49</v>
      </c>
      <c r="D2" s="15" t="s">
        <v>50</v>
      </c>
      <c r="E2" s="16" t="s">
        <v>4</v>
      </c>
    </row>
    <row r="3" spans="1:5" x14ac:dyDescent="0.2">
      <c r="A3" s="10" t="s">
        <v>5</v>
      </c>
      <c r="B3" s="19">
        <f>CLASSIFCAÇÃ!C7</f>
        <v>140000</v>
      </c>
      <c r="C3" s="19">
        <f>CLASSIFCAÇÃ!C8</f>
        <v>297000</v>
      </c>
      <c r="D3" s="19">
        <f>CLASSIFCAÇÃ!C9</f>
        <v>231916.2</v>
      </c>
      <c r="E3" s="6">
        <f>SUM(B3:D3)</f>
        <v>668916.19999999995</v>
      </c>
    </row>
    <row r="4" spans="1:5" x14ac:dyDescent="0.2">
      <c r="A4" s="10" t="s">
        <v>6</v>
      </c>
      <c r="B4" s="19">
        <v>202926.68</v>
      </c>
      <c r="C4" s="19">
        <v>144947.63</v>
      </c>
      <c r="D4" s="19">
        <v>231916.19</v>
      </c>
      <c r="E4" s="6">
        <f>SUM(B4:D4)</f>
        <v>579790.5</v>
      </c>
    </row>
    <row r="5" spans="1:5" s="17" customFormat="1" x14ac:dyDescent="0.2">
      <c r="A5" s="10" t="s">
        <v>7</v>
      </c>
      <c r="B5" s="19">
        <f>B3+B4</f>
        <v>342926.68</v>
      </c>
      <c r="C5" s="19">
        <f t="shared" ref="C5:D5" si="0">C3+C4</f>
        <v>441947.63</v>
      </c>
      <c r="D5" s="19">
        <f t="shared" si="0"/>
        <v>463832.39</v>
      </c>
      <c r="E5" s="6">
        <f>SUM(B5:D5)</f>
        <v>1248706.7000000002</v>
      </c>
    </row>
    <row r="6" spans="1:5" x14ac:dyDescent="0.2">
      <c r="A6" s="10" t="s">
        <v>8</v>
      </c>
      <c r="B6" s="19">
        <f>$E$6*B7</f>
        <v>120697.34722222222</v>
      </c>
      <c r="C6" s="19">
        <f t="shared" ref="C6:D6" si="1">$E$6*C7</f>
        <v>11330.041666666666</v>
      </c>
      <c r="D6" s="19">
        <f t="shared" si="1"/>
        <v>91444.833333333328</v>
      </c>
      <c r="E6" s="6">
        <f>CLASSIFCAÇÃ!D20</f>
        <v>223472.22222222222</v>
      </c>
    </row>
    <row r="7" spans="1:5" x14ac:dyDescent="0.2">
      <c r="A7" s="32" t="s">
        <v>9</v>
      </c>
      <c r="B7" s="33">
        <v>0.54010000000000002</v>
      </c>
      <c r="C7" s="33">
        <v>5.0700000000000002E-2</v>
      </c>
      <c r="D7" s="33">
        <v>0.40920000000000001</v>
      </c>
      <c r="E7" s="34">
        <f>SUM(B7:D7)</f>
        <v>1</v>
      </c>
    </row>
    <row r="8" spans="1:5" x14ac:dyDescent="0.2">
      <c r="A8" s="32"/>
      <c r="B8" s="33"/>
      <c r="C8" s="33"/>
      <c r="D8" s="33"/>
      <c r="E8" s="34"/>
    </row>
    <row r="9" spans="1:5" x14ac:dyDescent="0.2">
      <c r="A9" s="35" t="s">
        <v>10</v>
      </c>
      <c r="B9" s="36">
        <f>B5+B6</f>
        <v>463624.02722222218</v>
      </c>
      <c r="C9" s="36">
        <f>C5+C6</f>
        <v>453277.67166666669</v>
      </c>
      <c r="D9" s="36">
        <f>D5+D6</f>
        <v>555277.22333333339</v>
      </c>
      <c r="E9" s="37">
        <f>SUM(B9:D9)</f>
        <v>1472178.9222222222</v>
      </c>
    </row>
    <row r="10" spans="1:5" s="18" customFormat="1" x14ac:dyDescent="0.2">
      <c r="A10" s="42" t="s">
        <v>11</v>
      </c>
      <c r="B10" s="43">
        <v>330000</v>
      </c>
      <c r="C10" s="43">
        <v>31000</v>
      </c>
      <c r="D10" s="43">
        <v>250000</v>
      </c>
      <c r="E10" s="44">
        <f>SUM(B10:D10)</f>
        <v>611000</v>
      </c>
    </row>
    <row r="11" spans="1:5" x14ac:dyDescent="0.2">
      <c r="A11" s="26" t="s">
        <v>12</v>
      </c>
      <c r="B11" s="27">
        <v>1.35</v>
      </c>
      <c r="C11" s="27">
        <v>9.56</v>
      </c>
      <c r="D11" s="27">
        <v>2.48</v>
      </c>
      <c r="E11" s="39">
        <f>SUM(B11:D11)</f>
        <v>13.39</v>
      </c>
    </row>
    <row r="12" spans="1:5" x14ac:dyDescent="0.2">
      <c r="A12" s="28" t="s">
        <v>16</v>
      </c>
      <c r="B12" s="19">
        <f>B11*$B$13</f>
        <v>2.7551020408163267</v>
      </c>
      <c r="C12" s="19">
        <f t="shared" ref="C12:D12" si="2">C11*$B$13</f>
        <v>19.510204081632654</v>
      </c>
      <c r="D12" s="19">
        <f t="shared" si="2"/>
        <v>5.0612244897959187</v>
      </c>
      <c r="E12" s="38"/>
    </row>
    <row r="13" spans="1:5" x14ac:dyDescent="0.2">
      <c r="A13" s="29" t="s">
        <v>51</v>
      </c>
      <c r="B13" s="63">
        <f>1/(1-(0.14+0.07+0.3))</f>
        <v>2.0408163265306123</v>
      </c>
      <c r="C13" s="40"/>
      <c r="D13" s="40"/>
      <c r="E13" s="13">
        <f>SUM(B13:D13)</f>
        <v>2.0408163265306123</v>
      </c>
    </row>
    <row r="14" spans="1:5" ht="1.5" customHeight="1" x14ac:dyDescent="0.2"/>
    <row r="15" spans="1:5" ht="15.75" customHeight="1" thickBot="1" x14ac:dyDescent="0.25">
      <c r="A15" s="79" t="s">
        <v>45</v>
      </c>
      <c r="B15" s="79"/>
      <c r="C15" s="79"/>
      <c r="D15" s="79"/>
      <c r="E15" s="79"/>
    </row>
    <row r="16" spans="1:5" s="1" customFormat="1" ht="24" customHeight="1" x14ac:dyDescent="0.2">
      <c r="A16" s="14" t="s">
        <v>0</v>
      </c>
      <c r="B16" s="15" t="str">
        <f>B2</f>
        <v>SAPATOS</v>
      </c>
      <c r="C16" s="15" t="str">
        <f t="shared" ref="C16:D16" si="3">C2</f>
        <v>SANDÁLIAS</v>
      </c>
      <c r="D16" s="15" t="str">
        <f t="shared" si="3"/>
        <v>CHINELOS</v>
      </c>
      <c r="E16" s="16" t="s">
        <v>4</v>
      </c>
    </row>
    <row r="17" spans="1:8" x14ac:dyDescent="0.2">
      <c r="A17" s="10" t="s">
        <v>5</v>
      </c>
      <c r="B17" s="19">
        <f>B3</f>
        <v>140000</v>
      </c>
      <c r="C17" s="19">
        <f>C3</f>
        <v>297000</v>
      </c>
      <c r="D17" s="19">
        <f>D3</f>
        <v>231916.2</v>
      </c>
      <c r="E17" s="6">
        <f>SUM(B17:D17)</f>
        <v>668916.19999999995</v>
      </c>
    </row>
    <row r="18" spans="1:8" x14ac:dyDescent="0.2">
      <c r="A18" s="10" t="s">
        <v>6</v>
      </c>
      <c r="B18" s="19">
        <f>B4</f>
        <v>202926.68</v>
      </c>
      <c r="C18" s="19">
        <f>C4</f>
        <v>144947.63</v>
      </c>
      <c r="D18" s="19">
        <f>D4</f>
        <v>231916.19</v>
      </c>
      <c r="E18" s="6">
        <f>SUM(B18:D18)</f>
        <v>579790.5</v>
      </c>
    </row>
    <row r="19" spans="1:8" s="17" customFormat="1" x14ac:dyDescent="0.2">
      <c r="A19" s="45" t="s">
        <v>7</v>
      </c>
      <c r="B19" s="46">
        <f>SUM(B17:B18)</f>
        <v>342926.68</v>
      </c>
      <c r="C19" s="46">
        <f>SUM(C17:C18)</f>
        <v>441947.63</v>
      </c>
      <c r="D19" s="46">
        <f>SUM(D17:D18)</f>
        <v>463832.39</v>
      </c>
      <c r="E19" s="47">
        <f>SUM(B19:D19)</f>
        <v>1248706.7000000002</v>
      </c>
      <c r="H19" s="17">
        <v>320895000</v>
      </c>
    </row>
    <row r="20" spans="1:8" x14ac:dyDescent="0.2">
      <c r="A20" s="10" t="s">
        <v>8</v>
      </c>
      <c r="B20" s="19">
        <f>$E$20*B21</f>
        <v>98037.263888888876</v>
      </c>
      <c r="C20" s="19">
        <f t="shared" ref="C20:D20" si="4">$E$20*C21</f>
        <v>87511.722222222219</v>
      </c>
      <c r="D20" s="19">
        <f t="shared" si="4"/>
        <v>37923.236111111109</v>
      </c>
      <c r="E20" s="6">
        <f>E6</f>
        <v>223472.22222222222</v>
      </c>
    </row>
    <row r="21" spans="1:8" x14ac:dyDescent="0.2">
      <c r="A21" s="32" t="s">
        <v>9</v>
      </c>
      <c r="B21" s="33">
        <v>0.43869999999999998</v>
      </c>
      <c r="C21" s="33">
        <v>0.3916</v>
      </c>
      <c r="D21" s="33">
        <v>0.16969999999999999</v>
      </c>
      <c r="E21" s="34">
        <f>SUM(B21:D21)</f>
        <v>1</v>
      </c>
    </row>
    <row r="22" spans="1:8" x14ac:dyDescent="0.2">
      <c r="A22" s="35" t="s">
        <v>10</v>
      </c>
      <c r="B22" s="36">
        <f>B19+B20</f>
        <v>440963.94388888887</v>
      </c>
      <c r="C22" s="36">
        <f>C19+C20</f>
        <v>529459.35222222225</v>
      </c>
      <c r="D22" s="36">
        <f>D19+D20</f>
        <v>501755.62611111114</v>
      </c>
      <c r="E22" s="37">
        <f>SUM(B22:D22)</f>
        <v>1472178.9222222222</v>
      </c>
    </row>
    <row r="23" spans="1:8" s="18" customFormat="1" x14ac:dyDescent="0.2">
      <c r="A23" s="20" t="s">
        <v>11</v>
      </c>
      <c r="B23" s="21">
        <f>B10</f>
        <v>330000</v>
      </c>
      <c r="C23" s="21">
        <f t="shared" ref="C23:D23" si="5">C10</f>
        <v>31000</v>
      </c>
      <c r="D23" s="21">
        <f t="shared" si="5"/>
        <v>250000</v>
      </c>
      <c r="E23" s="6">
        <f>SUM(B23:D23)</f>
        <v>611000</v>
      </c>
    </row>
    <row r="24" spans="1:8" x14ac:dyDescent="0.2">
      <c r="A24" s="26" t="s">
        <v>12</v>
      </c>
      <c r="B24" s="27">
        <f>B22/B23</f>
        <v>1.3362543754208753</v>
      </c>
      <c r="C24" s="27">
        <f t="shared" ref="C24:D24" si="6">C22/C23</f>
        <v>17.07933394265233</v>
      </c>
      <c r="D24" s="27">
        <f t="shared" si="6"/>
        <v>2.0070225044444445</v>
      </c>
      <c r="E24" s="39">
        <f>SUM(B24:D24)</f>
        <v>20.422610822517647</v>
      </c>
    </row>
    <row r="25" spans="1:8" x14ac:dyDescent="0.2">
      <c r="A25" s="28" t="s">
        <v>16</v>
      </c>
      <c r="B25" s="19">
        <f>B12</f>
        <v>2.7551020408163267</v>
      </c>
      <c r="C25" s="19">
        <f t="shared" ref="C25:D25" si="7">C12</f>
        <v>19.510204081632654</v>
      </c>
      <c r="D25" s="19">
        <f t="shared" si="7"/>
        <v>5.0612244897959187</v>
      </c>
      <c r="E25" s="38"/>
    </row>
    <row r="26" spans="1:8" x14ac:dyDescent="0.2">
      <c r="A26" s="29" t="str">
        <f>A13</f>
        <v>TAXA DE MARCAÇÃO</v>
      </c>
      <c r="B26" s="40">
        <f>B13</f>
        <v>2.0408163265306123</v>
      </c>
      <c r="C26" s="40">
        <f t="shared" ref="C26:E26" si="8">C13</f>
        <v>0</v>
      </c>
      <c r="D26" s="40">
        <f t="shared" si="8"/>
        <v>0</v>
      </c>
      <c r="E26" s="40">
        <f t="shared" si="8"/>
        <v>2.0408163265306123</v>
      </c>
    </row>
  </sheetData>
  <mergeCells count="2">
    <mergeCell ref="A1:E1"/>
    <mergeCell ref="A15:E1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zoomScale="160" zoomScaleNormal="160" workbookViewId="0">
      <selection sqref="A1:C7"/>
    </sheetView>
  </sheetViews>
  <sheetFormatPr defaultRowHeight="12.75" x14ac:dyDescent="0.2"/>
  <cols>
    <col min="1" max="1" width="3.28515625" bestFit="1" customWidth="1"/>
    <col min="2" max="2" width="12.140625" style="30" bestFit="1" customWidth="1"/>
    <col min="3" max="3" width="21" style="2" customWidth="1"/>
    <col min="4" max="4" width="18.5703125" bestFit="1" customWidth="1"/>
  </cols>
  <sheetData>
    <row r="1" spans="1:4" ht="27" customHeight="1" x14ac:dyDescent="0.2">
      <c r="A1" s="80" t="s">
        <v>20</v>
      </c>
      <c r="B1" s="80"/>
      <c r="C1" s="80"/>
    </row>
    <row r="2" spans="1:4" x14ac:dyDescent="0.2">
      <c r="A2" t="s">
        <v>21</v>
      </c>
      <c r="B2" s="30" t="s">
        <v>22</v>
      </c>
      <c r="C2" s="2">
        <f>Plan3!D5</f>
        <v>2780610</v>
      </c>
    </row>
    <row r="3" spans="1:4" x14ac:dyDescent="0.2">
      <c r="A3" t="s">
        <v>23</v>
      </c>
      <c r="B3" s="30" t="s">
        <v>24</v>
      </c>
      <c r="C3" s="2">
        <f>RATEIO!E9</f>
        <v>1472178.9222222222</v>
      </c>
    </row>
    <row r="4" spans="1:4" x14ac:dyDescent="0.2">
      <c r="A4" t="s">
        <v>25</v>
      </c>
      <c r="B4" s="30" t="s">
        <v>26</v>
      </c>
      <c r="C4" s="2">
        <f>C2-C3</f>
        <v>1308431.0777777778</v>
      </c>
    </row>
    <row r="5" spans="1:4" x14ac:dyDescent="0.2">
      <c r="A5" t="s">
        <v>23</v>
      </c>
      <c r="B5" s="30" t="s">
        <v>27</v>
      </c>
      <c r="C5" s="2">
        <f>CLASSIFCAÇÃ!F20</f>
        <v>342926.67499999999</v>
      </c>
    </row>
    <row r="6" spans="1:4" x14ac:dyDescent="0.2">
      <c r="A6" t="s">
        <v>25</v>
      </c>
      <c r="B6" s="30" t="s">
        <v>28</v>
      </c>
      <c r="C6" s="2">
        <f>C4-C5</f>
        <v>965504.40277777775</v>
      </c>
    </row>
    <row r="9" spans="1:4" x14ac:dyDescent="0.2">
      <c r="D9" s="24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6"/>
  <sheetViews>
    <sheetView zoomScale="140" zoomScaleNormal="140" workbookViewId="0">
      <selection activeCell="D14" sqref="D14"/>
    </sheetView>
  </sheetViews>
  <sheetFormatPr defaultRowHeight="12.75" x14ac:dyDescent="0.2"/>
  <cols>
    <col min="1" max="1" width="16.85546875" customWidth="1"/>
    <col min="2" max="2" width="17" bestFit="1" customWidth="1"/>
    <col min="3" max="3" width="13.7109375" bestFit="1" customWidth="1"/>
    <col min="4" max="4" width="26" customWidth="1"/>
  </cols>
  <sheetData>
    <row r="1" spans="1:4" x14ac:dyDescent="0.2">
      <c r="A1" s="1" t="s">
        <v>19</v>
      </c>
      <c r="B1" s="1" t="s">
        <v>29</v>
      </c>
      <c r="C1" s="1" t="s">
        <v>30</v>
      </c>
      <c r="D1" s="1" t="s">
        <v>31</v>
      </c>
    </row>
    <row r="2" spans="1:4" x14ac:dyDescent="0.2">
      <c r="A2" s="17" t="s">
        <v>48</v>
      </c>
      <c r="B2" s="18">
        <f>RATEIO!B10</f>
        <v>330000</v>
      </c>
      <c r="C2" s="24">
        <v>2.76</v>
      </c>
      <c r="D2" s="24">
        <f>B2*C2</f>
        <v>910799.99999999988</v>
      </c>
    </row>
    <row r="3" spans="1:4" x14ac:dyDescent="0.2">
      <c r="A3" s="17" t="s">
        <v>52</v>
      </c>
      <c r="B3" s="18">
        <f>RATEIO!C10</f>
        <v>31000</v>
      </c>
      <c r="C3" s="24">
        <v>19.510000000000002</v>
      </c>
      <c r="D3" s="24">
        <f t="shared" ref="D3:D4" si="0">B3*C3</f>
        <v>604810</v>
      </c>
    </row>
    <row r="4" spans="1:4" x14ac:dyDescent="0.2">
      <c r="A4" s="17" t="s">
        <v>50</v>
      </c>
      <c r="B4" s="18">
        <f>RATEIO!D10</f>
        <v>250000</v>
      </c>
      <c r="C4" s="24">
        <v>5.0599999999999996</v>
      </c>
      <c r="D4" s="24">
        <f t="shared" si="0"/>
        <v>1265000</v>
      </c>
    </row>
    <row r="5" spans="1:4" x14ac:dyDescent="0.2">
      <c r="A5" t="s">
        <v>3</v>
      </c>
      <c r="B5" s="62">
        <f>SUM(B2:B4)</f>
        <v>611000</v>
      </c>
      <c r="C5" s="64">
        <f>D5/B5</f>
        <v>4.5509165302782328</v>
      </c>
      <c r="D5" s="24">
        <f>SUM(D2:D4)</f>
        <v>2780610</v>
      </c>
    </row>
    <row r="6" spans="1:4" x14ac:dyDescent="0.2">
      <c r="C6" t="s">
        <v>75</v>
      </c>
    </row>
  </sheetData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7"/>
  <sheetViews>
    <sheetView zoomScaleNormal="100" workbookViewId="0">
      <selection activeCell="C1" sqref="C1:D1"/>
    </sheetView>
  </sheetViews>
  <sheetFormatPr defaultRowHeight="12.75" x14ac:dyDescent="0.2"/>
  <cols>
    <col min="1" max="1" width="31.7109375" customWidth="1"/>
    <col min="2" max="2" width="19.85546875" style="2" bestFit="1" customWidth="1"/>
    <col min="3" max="3" width="30.7109375" customWidth="1"/>
    <col min="4" max="4" width="19.85546875" style="2" bestFit="1" customWidth="1"/>
  </cols>
  <sheetData>
    <row r="1" spans="1:4" ht="23.25" customHeight="1" thickTop="1" thickBot="1" x14ac:dyDescent="0.25">
      <c r="A1" s="81" t="s">
        <v>32</v>
      </c>
      <c r="B1" s="81"/>
      <c r="C1" s="81" t="s">
        <v>33</v>
      </c>
      <c r="D1" s="81"/>
    </row>
    <row r="2" spans="1:4" ht="14.25" thickTop="1" thickBot="1" x14ac:dyDescent="0.25">
      <c r="A2" s="51" t="s">
        <v>34</v>
      </c>
      <c r="B2" s="52">
        <f>SUM(B3:B7)</f>
        <v>3245610</v>
      </c>
      <c r="C2" s="51" t="s">
        <v>34</v>
      </c>
      <c r="D2" s="52">
        <f>SUM(D3:D7)</f>
        <v>1867717.1800000002</v>
      </c>
    </row>
    <row r="3" spans="1:4" ht="13.5" thickTop="1" x14ac:dyDescent="0.2">
      <c r="A3" s="58" t="s">
        <v>37</v>
      </c>
      <c r="B3" s="54">
        <v>3245610</v>
      </c>
      <c r="C3" s="58" t="s">
        <v>43</v>
      </c>
      <c r="D3" s="54">
        <v>500000</v>
      </c>
    </row>
    <row r="4" spans="1:4" x14ac:dyDescent="0.2">
      <c r="A4" s="58" t="s">
        <v>38</v>
      </c>
      <c r="B4" s="54"/>
      <c r="C4" s="58" t="s">
        <v>64</v>
      </c>
      <c r="D4" s="54">
        <v>560000</v>
      </c>
    </row>
    <row r="5" spans="1:4" x14ac:dyDescent="0.2">
      <c r="A5" s="58" t="s">
        <v>39</v>
      </c>
      <c r="B5" s="54"/>
      <c r="C5" s="58" t="s">
        <v>65</v>
      </c>
      <c r="D5" s="54">
        <v>807717.18</v>
      </c>
    </row>
    <row r="6" spans="1:4" x14ac:dyDescent="0.2">
      <c r="A6" s="58" t="s">
        <v>40</v>
      </c>
      <c r="B6" s="54"/>
      <c r="C6" s="53"/>
      <c r="D6" s="54"/>
    </row>
    <row r="7" spans="1:4" x14ac:dyDescent="0.2">
      <c r="A7" s="58" t="s">
        <v>41</v>
      </c>
      <c r="B7" s="54"/>
      <c r="C7" s="53"/>
      <c r="D7" s="54"/>
    </row>
    <row r="8" spans="1:4" ht="13.5" thickBot="1" x14ac:dyDescent="0.25">
      <c r="A8" s="55" t="s">
        <v>35</v>
      </c>
      <c r="B8" s="56">
        <f>SUM(B9:B14)</f>
        <v>496527.78</v>
      </c>
      <c r="C8" s="55" t="s">
        <v>35</v>
      </c>
      <c r="D8" s="56">
        <f>SUM(D9:D11)</f>
        <v>0</v>
      </c>
    </row>
    <row r="9" spans="1:4" ht="13.5" thickTop="1" x14ac:dyDescent="0.2">
      <c r="A9" s="58" t="s">
        <v>18</v>
      </c>
      <c r="B9" s="54">
        <v>500000</v>
      </c>
      <c r="C9" s="53"/>
      <c r="D9" s="54"/>
    </row>
    <row r="10" spans="1:4" x14ac:dyDescent="0.2">
      <c r="A10" s="59" t="s">
        <v>42</v>
      </c>
      <c r="B10" s="60">
        <v>-3472.22</v>
      </c>
      <c r="C10" s="53"/>
      <c r="D10" s="54"/>
    </row>
    <row r="11" spans="1:4" x14ac:dyDescent="0.2">
      <c r="A11" s="53"/>
      <c r="B11" s="54"/>
      <c r="C11" s="53"/>
      <c r="D11" s="54"/>
    </row>
    <row r="12" spans="1:4" ht="13.5" thickBot="1" x14ac:dyDescent="0.25">
      <c r="A12" s="53"/>
      <c r="B12" s="54"/>
      <c r="C12" s="55" t="s">
        <v>36</v>
      </c>
      <c r="D12" s="56">
        <f>SUM(D13:D14)</f>
        <v>1874420.6</v>
      </c>
    </row>
    <row r="13" spans="1:4" ht="13.5" thickTop="1" x14ac:dyDescent="0.2">
      <c r="A13" s="53"/>
      <c r="B13" s="54"/>
      <c r="C13" s="58" t="s">
        <v>66</v>
      </c>
      <c r="D13" s="54">
        <v>800000</v>
      </c>
    </row>
    <row r="14" spans="1:4" ht="13.5" thickBot="1" x14ac:dyDescent="0.25">
      <c r="A14" s="53"/>
      <c r="B14" s="54"/>
      <c r="C14" s="66" t="s">
        <v>67</v>
      </c>
      <c r="D14" s="57">
        <v>1074420.6000000001</v>
      </c>
    </row>
    <row r="15" spans="1:4" ht="20.25" customHeight="1" thickTop="1" thickBot="1" x14ac:dyDescent="0.25">
      <c r="A15" s="48" t="s">
        <v>3</v>
      </c>
      <c r="B15" s="49">
        <f>B8+B2</f>
        <v>3742137.7800000003</v>
      </c>
      <c r="C15" s="50" t="str">
        <f>A15</f>
        <v>TOTAL</v>
      </c>
      <c r="D15" s="49">
        <f>D12+D8+D2</f>
        <v>3742137.7800000003</v>
      </c>
    </row>
    <row r="16" spans="1:4" ht="13.5" thickTop="1" x14ac:dyDescent="0.2"/>
    <row r="17" spans="4:4" x14ac:dyDescent="0.2">
      <c r="D17" s="2">
        <f>D15-B15</f>
        <v>0</v>
      </c>
    </row>
  </sheetData>
  <mergeCells count="2">
    <mergeCell ref="A1:B1"/>
    <mergeCell ref="C1:D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CLASSIFCAÇÃ</vt:lpstr>
      <vt:lpstr>RATEIO</vt:lpstr>
      <vt:lpstr>DRE</vt:lpstr>
      <vt:lpstr>Plan3</vt:lpstr>
      <vt:lpstr>BALANÇO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 AMORIM</cp:lastModifiedBy>
  <cp:lastPrinted>2019-05-22T00:34:33Z</cp:lastPrinted>
  <dcterms:created xsi:type="dcterms:W3CDTF">2013-03-26T22:02:30Z</dcterms:created>
  <dcterms:modified xsi:type="dcterms:W3CDTF">2023-08-20T15:12:46Z</dcterms:modified>
</cp:coreProperties>
</file>