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-T_o\Desktop\Made Simple For Cruisers\"/>
    </mc:Choice>
  </mc:AlternateContent>
  <xr:revisionPtr revIDLastSave="0" documentId="8_{9AA50341-7B3E-417E-8666-5AE098C5DA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ue Coarse" sheetId="1" r:id="rId1"/>
    <sheet name="Distance L&amp;L" sheetId="2" r:id="rId2"/>
    <sheet name="Wind Speed" sheetId="3" r:id="rId3"/>
  </sheets>
  <definedNames>
    <definedName name="Calculator">'True Coarse'!$A$1:$M$15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E8" i="3" s="1"/>
  <c r="H15" i="2"/>
  <c r="G15" i="2"/>
  <c r="C15" i="2"/>
  <c r="B15" i="2"/>
  <c r="I5" i="2"/>
  <c r="J5" i="2" s="1"/>
  <c r="D5" i="2"/>
  <c r="E5" i="2" s="1"/>
  <c r="I4" i="2"/>
  <c r="J4" i="2" s="1"/>
  <c r="D4" i="2"/>
  <c r="E4" i="2" s="1"/>
  <c r="J2" i="1"/>
  <c r="X56" i="1"/>
  <c r="V56" i="1"/>
  <c r="V53" i="1"/>
  <c r="V54" i="1" s="1"/>
  <c r="V50" i="1"/>
  <c r="V51" i="1" s="1"/>
  <c r="V41" i="1"/>
  <c r="S41" i="1"/>
  <c r="V46" i="1"/>
  <c r="V22" i="1"/>
  <c r="V25" i="1" s="1"/>
  <c r="S22" i="1"/>
  <c r="X35" i="1"/>
  <c r="V35" i="1"/>
  <c r="V32" i="1"/>
  <c r="V33" i="1" s="1"/>
  <c r="V29" i="1"/>
  <c r="X30" i="1" s="1"/>
  <c r="V12" i="1"/>
  <c r="V13" i="1" s="1"/>
  <c r="V9" i="1"/>
  <c r="V10" i="1" s="1"/>
  <c r="V4" i="1"/>
  <c r="V5" i="1" s="1"/>
  <c r="X15" i="1"/>
  <c r="V15" i="1"/>
  <c r="B17" i="2" l="1"/>
  <c r="G17" i="2"/>
  <c r="B7" i="2"/>
  <c r="B8" i="2" s="1"/>
  <c r="E7" i="2"/>
  <c r="E8" i="2" s="1"/>
  <c r="V55" i="1"/>
  <c r="X51" i="1"/>
  <c r="X54" i="1"/>
  <c r="X47" i="1"/>
  <c r="V57" i="1"/>
  <c r="V47" i="1"/>
  <c r="V26" i="1"/>
  <c r="V30" i="1"/>
  <c r="V34" i="1" s="1"/>
  <c r="X26" i="1"/>
  <c r="X33" i="1"/>
  <c r="X34" i="1" s="1"/>
  <c r="X10" i="1"/>
  <c r="V14" i="1"/>
  <c r="V16" i="1" s="1"/>
  <c r="X5" i="1"/>
  <c r="X13" i="1"/>
  <c r="V59" i="1" l="1"/>
  <c r="X55" i="1"/>
  <c r="X36" i="1"/>
  <c r="V36" i="1"/>
  <c r="V18" i="1"/>
  <c r="X57" i="1"/>
  <c r="X14" i="1"/>
  <c r="X16" i="1" s="1"/>
  <c r="X59" i="1" l="1"/>
  <c r="X58" i="1"/>
  <c r="Z58" i="1" s="1"/>
  <c r="K14" i="1" s="1"/>
  <c r="L14" i="1" s="1"/>
  <c r="V38" i="1"/>
  <c r="V37" i="1"/>
  <c r="J10" i="1" s="1"/>
  <c r="X18" i="1"/>
  <c r="X17" i="1"/>
  <c r="Z17" i="1" s="1"/>
  <c r="K6" i="1" s="1"/>
  <c r="L6" i="1" s="1"/>
  <c r="X38" i="1"/>
  <c r="X37" i="1"/>
  <c r="Z37" i="1" s="1"/>
  <c r="K10" i="1" s="1"/>
  <c r="L10" i="1" s="1"/>
  <c r="V58" i="1"/>
  <c r="J14" i="1" s="1"/>
  <c r="V17" i="1"/>
  <c r="J6" i="1" s="1"/>
  <c r="V60" i="1"/>
  <c r="X60" i="1" s="1"/>
  <c r="V19" i="1"/>
  <c r="X19" i="1" s="1"/>
  <c r="X20" i="1" s="1"/>
  <c r="K5" i="1" s="1"/>
  <c r="L5" i="1" s="1"/>
  <c r="V61" i="1"/>
  <c r="Y42" i="1" s="1"/>
  <c r="J13" i="1" s="1"/>
  <c r="V39" i="1"/>
  <c r="X39" i="1" s="1"/>
  <c r="X40" i="1" s="1"/>
  <c r="AA23" i="1" s="1"/>
  <c r="K9" i="1" s="1"/>
  <c r="L9" i="1" s="1"/>
  <c r="V40" i="1"/>
  <c r="Y23" i="1" s="1"/>
  <c r="J9" i="1" s="1"/>
  <c r="X61" i="1" l="1"/>
  <c r="AA42" i="1" s="1"/>
  <c r="K13" i="1" s="1"/>
  <c r="L13" i="1" s="1"/>
  <c r="V20" i="1"/>
  <c r="J5" i="1" s="1"/>
</calcChain>
</file>

<file path=xl/sharedStrings.xml><?xml version="1.0" encoding="utf-8"?>
<sst xmlns="http://schemas.openxmlformats.org/spreadsheetml/2006/main" count="211" uniqueCount="64">
  <si>
    <t>Own Ship Speed</t>
  </si>
  <si>
    <t>Kts</t>
  </si>
  <si>
    <t>Own Ships Course</t>
  </si>
  <si>
    <t>Degrees</t>
  </si>
  <si>
    <t>Minutes</t>
  </si>
  <si>
    <t>Own Ship Course in radians</t>
  </si>
  <si>
    <t>Course in Radians</t>
  </si>
  <si>
    <t>Pt 1 Radians</t>
  </si>
  <si>
    <t>Own Ship Rectangular FMT</t>
  </si>
  <si>
    <t>Pt 1 Rectangular FMT</t>
  </si>
  <si>
    <t>Pt 2 Radians</t>
  </si>
  <si>
    <t>Pt 2 Rectangular FMT</t>
  </si>
  <si>
    <t>Real</t>
  </si>
  <si>
    <t>Imaginary</t>
  </si>
  <si>
    <t>Contact Course for Period</t>
  </si>
  <si>
    <t>Hour Calc</t>
  </si>
  <si>
    <t>Target True Velocity Rectangular FMT</t>
  </si>
  <si>
    <t>Relative Velocity in Rectangular FMT</t>
  </si>
  <si>
    <t xml:space="preserve">Course </t>
  </si>
  <si>
    <t>Radians</t>
  </si>
  <si>
    <t>Speed</t>
  </si>
  <si>
    <t>Direction</t>
  </si>
  <si>
    <t>Contact 1 Calculation</t>
  </si>
  <si>
    <t>Contact 2 Calculation</t>
  </si>
  <si>
    <t>Sunnyside</t>
  </si>
  <si>
    <t>Distance</t>
  </si>
  <si>
    <t>NM</t>
  </si>
  <si>
    <t>KTS</t>
  </si>
  <si>
    <t>Knots</t>
  </si>
  <si>
    <t>Course</t>
  </si>
  <si>
    <t>True</t>
  </si>
  <si>
    <t>Relative</t>
  </si>
  <si>
    <t>Deg</t>
  </si>
  <si>
    <t>Bearing</t>
  </si>
  <si>
    <t>Contact 1</t>
  </si>
  <si>
    <t xml:space="preserve">Contact 2 </t>
  </si>
  <si>
    <t xml:space="preserve">Contact 3 </t>
  </si>
  <si>
    <t xml:space="preserve">First Point: </t>
  </si>
  <si>
    <t>Second Point:</t>
  </si>
  <si>
    <t>Delta Period in Minutes:</t>
  </si>
  <si>
    <t>Contact Speed and Course Calculator</t>
  </si>
  <si>
    <t>Contacts 2 True Speed &amp; Direction</t>
  </si>
  <si>
    <t>Own Ship Calculations</t>
  </si>
  <si>
    <t>Reciprocal Course</t>
  </si>
  <si>
    <t>Reciprocal</t>
  </si>
  <si>
    <t>Longitude 1</t>
  </si>
  <si>
    <t>Longitude 2</t>
  </si>
  <si>
    <t>km</t>
  </si>
  <si>
    <t>radians</t>
  </si>
  <si>
    <t>Convert</t>
  </si>
  <si>
    <t>Seconds</t>
  </si>
  <si>
    <t>Latitude</t>
  </si>
  <si>
    <t>Longitude</t>
  </si>
  <si>
    <t>Distance  &amp; Bearing between two points on earth</t>
  </si>
  <si>
    <t>Convert Degrees Minutes Seconds to Degrees</t>
  </si>
  <si>
    <t>Latitude 1</t>
  </si>
  <si>
    <t>Latitude 2</t>
  </si>
  <si>
    <t>Latitude:</t>
  </si>
  <si>
    <t>Distance between Isobars in millimeters:</t>
  </si>
  <si>
    <t>Wind Speed as Calculated from Isobar four millibars Spacing</t>
  </si>
  <si>
    <t>Distance between 10 degrees in millimeters:</t>
  </si>
  <si>
    <t>Wind Speed at Location:</t>
  </si>
  <si>
    <t>Lat in Rad</t>
  </si>
  <si>
    <t xml:space="preserve">Wind speed = 6.8 x G/sinLat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</si>
</sst>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Milano LET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Milano LET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Cambria"/>
      <family val="1"/>
      <scheme val="major"/>
    </font>
    <font>
      <sz val="11"/>
      <color rgb="FFFFFF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lightTrellis">
        <bgColor rgb="FFFFFF00"/>
      </patternFill>
    </fill>
    <fill>
      <patternFill patternType="lightTrellis">
        <bgColor rgb="FFFFC000"/>
      </patternFill>
    </fill>
    <fill>
      <patternFill patternType="lightTrellis">
        <bgColor rgb="FF92D050"/>
      </patternFill>
    </fill>
    <fill>
      <patternFill patternType="lightTrellis">
        <bgColor theme="8" tint="0.39994506668294322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125">
        <bgColor theme="8" tint="0.79998168889431442"/>
      </patternFill>
    </fill>
  </fills>
  <borders count="2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ck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/>
    <xf numFmtId="0" fontId="0" fillId="0" borderId="1" xfId="0" applyBorder="1"/>
    <xf numFmtId="164" fontId="2" fillId="3" borderId="1" xfId="0" applyNumberFormat="1" applyFont="1" applyFill="1" applyBorder="1"/>
    <xf numFmtId="0" fontId="3" fillId="2" borderId="0" xfId="0" applyFont="1" applyFill="1"/>
    <xf numFmtId="0" fontId="1" fillId="4" borderId="0" xfId="0" applyFont="1" applyFill="1"/>
    <xf numFmtId="0" fontId="0" fillId="4" borderId="0" xfId="0" applyFill="1"/>
    <xf numFmtId="0" fontId="3" fillId="0" borderId="0" xfId="0" applyFont="1"/>
    <xf numFmtId="0" fontId="0" fillId="2" borderId="3" xfId="0" applyFill="1" applyBorder="1"/>
    <xf numFmtId="0" fontId="0" fillId="5" borderId="2" xfId="0" applyFill="1" applyBorder="1"/>
    <xf numFmtId="0" fontId="3" fillId="5" borderId="2" xfId="0" applyFont="1" applyFill="1" applyBorder="1"/>
    <xf numFmtId="0" fontId="0" fillId="5" borderId="0" xfId="0" applyFill="1"/>
    <xf numFmtId="0" fontId="0" fillId="5" borderId="3" xfId="0" applyFill="1" applyBorder="1"/>
    <xf numFmtId="0" fontId="3" fillId="5" borderId="3" xfId="0" applyFont="1" applyFill="1" applyBorder="1"/>
    <xf numFmtId="0" fontId="0" fillId="6" borderId="2" xfId="0" applyFill="1" applyBorder="1"/>
    <xf numFmtId="0" fontId="3" fillId="6" borderId="2" xfId="0" applyFont="1" applyFill="1" applyBorder="1"/>
    <xf numFmtId="0" fontId="0" fillId="6" borderId="0" xfId="0" applyFill="1"/>
    <xf numFmtId="0" fontId="3" fillId="6" borderId="0" xfId="0" applyFont="1" applyFill="1"/>
    <xf numFmtId="0" fontId="4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5" borderId="11" xfId="0" applyFill="1" applyBorder="1"/>
    <xf numFmtId="0" fontId="0" fillId="5" borderId="13" xfId="0" applyFill="1" applyBorder="1"/>
    <xf numFmtId="0" fontId="0" fillId="5" borderId="9" xfId="0" applyFill="1" applyBorder="1"/>
    <xf numFmtId="0" fontId="0" fillId="6" borderId="11" xfId="0" applyFill="1" applyBorder="1"/>
    <xf numFmtId="0" fontId="0" fillId="6" borderId="13" xfId="0" applyFill="1" applyBorder="1"/>
    <xf numFmtId="0" fontId="5" fillId="5" borderId="2" xfId="0" applyFont="1" applyFill="1" applyBorder="1"/>
    <xf numFmtId="0" fontId="5" fillId="6" borderId="2" xfId="0" applyFont="1" applyFill="1" applyBorder="1"/>
    <xf numFmtId="0" fontId="0" fillId="7" borderId="2" xfId="0" applyFill="1" applyBorder="1"/>
    <xf numFmtId="0" fontId="3" fillId="7" borderId="2" xfId="0" applyFont="1" applyFill="1" applyBorder="1"/>
    <xf numFmtId="0" fontId="0" fillId="7" borderId="11" xfId="0" applyFill="1" applyBorder="1"/>
    <xf numFmtId="0" fontId="0" fillId="7" borderId="0" xfId="0" applyFill="1"/>
    <xf numFmtId="0" fontId="0" fillId="7" borderId="15" xfId="0" applyFill="1" applyBorder="1"/>
    <xf numFmtId="0" fontId="3" fillId="7" borderId="15" xfId="0" applyFont="1" applyFill="1" applyBorder="1"/>
    <xf numFmtId="0" fontId="0" fillId="7" borderId="16" xfId="0" applyFill="1" applyBorder="1"/>
    <xf numFmtId="0" fontId="0" fillId="5" borderId="2" xfId="0" applyFill="1" applyBorder="1" applyAlignment="1">
      <alignment horizontal="right"/>
    </xf>
    <xf numFmtId="0" fontId="7" fillId="0" borderId="1" xfId="0" applyFont="1" applyBorder="1"/>
    <xf numFmtId="0" fontId="5" fillId="7" borderId="2" xfId="0" applyFont="1" applyFill="1" applyBorder="1"/>
    <xf numFmtId="164" fontId="0" fillId="0" borderId="0" xfId="0" applyNumberFormat="1"/>
    <xf numFmtId="0" fontId="7" fillId="0" borderId="1" xfId="0" applyFont="1" applyBorder="1" applyProtection="1">
      <protection locked="0"/>
    </xf>
    <xf numFmtId="0" fontId="8" fillId="4" borderId="0" xfId="0" applyFont="1" applyFill="1"/>
    <xf numFmtId="0" fontId="0" fillId="2" borderId="3" xfId="0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4" fillId="5" borderId="0" xfId="0" applyFont="1" applyFill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right"/>
    </xf>
    <xf numFmtId="0" fontId="4" fillId="6" borderId="0" xfId="0" applyFont="1" applyFill="1" applyAlignment="1">
      <alignment horizontal="right"/>
    </xf>
    <xf numFmtId="0" fontId="4" fillId="7" borderId="2" xfId="0" applyFont="1" applyFill="1" applyBorder="1" applyAlignment="1">
      <alignment horizontal="right"/>
    </xf>
    <xf numFmtId="0" fontId="4" fillId="7" borderId="0" xfId="0" applyFont="1" applyFill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5" borderId="12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10" fillId="5" borderId="10" xfId="0" applyFont="1" applyFill="1" applyBorder="1"/>
    <xf numFmtId="0" fontId="10" fillId="6" borderId="10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left"/>
    </xf>
    <xf numFmtId="0" fontId="0" fillId="7" borderId="13" xfId="0" applyFill="1" applyBorder="1"/>
    <xf numFmtId="0" fontId="12" fillId="5" borderId="3" xfId="0" applyFont="1" applyFill="1" applyBorder="1"/>
    <xf numFmtId="0" fontId="12" fillId="6" borderId="2" xfId="0" applyFont="1" applyFill="1" applyBorder="1"/>
    <xf numFmtId="0" fontId="12" fillId="6" borderId="0" xfId="0" applyFont="1" applyFill="1" applyAlignment="1">
      <alignment horizontal="right"/>
    </xf>
    <xf numFmtId="0" fontId="12" fillId="7" borderId="2" xfId="0" applyFont="1" applyFill="1" applyBorder="1" applyAlignment="1">
      <alignment horizontal="right"/>
    </xf>
    <xf numFmtId="0" fontId="8" fillId="5" borderId="0" xfId="0" quotePrefix="1" applyFont="1" applyFill="1" applyAlignment="1">
      <alignment horizontal="right" wrapText="1"/>
    </xf>
    <xf numFmtId="0" fontId="8" fillId="5" borderId="0" xfId="0" applyFont="1" applyFill="1" applyAlignment="1">
      <alignment horizontal="right"/>
    </xf>
    <xf numFmtId="0" fontId="8" fillId="6" borderId="0" xfId="0" quotePrefix="1" applyFont="1" applyFill="1" applyAlignment="1">
      <alignment horizontal="right"/>
    </xf>
    <xf numFmtId="0" fontId="8" fillId="6" borderId="0" xfId="0" applyFont="1" applyFill="1" applyAlignment="1">
      <alignment horizontal="right"/>
    </xf>
    <xf numFmtId="0" fontId="8" fillId="7" borderId="0" xfId="0" quotePrefix="1" applyFont="1" applyFill="1" applyAlignment="1">
      <alignment horizontal="right"/>
    </xf>
    <xf numFmtId="0" fontId="8" fillId="7" borderId="0" xfId="0" applyFont="1" applyFill="1" applyAlignment="1">
      <alignment horizontal="right"/>
    </xf>
    <xf numFmtId="0" fontId="13" fillId="12" borderId="1" xfId="0" applyFont="1" applyFill="1" applyBorder="1" applyProtection="1">
      <protection locked="0"/>
    </xf>
    <xf numFmtId="0" fontId="13" fillId="12" borderId="4" xfId="0" applyFont="1" applyFill="1" applyBorder="1" applyProtection="1">
      <protection locked="0"/>
    </xf>
    <xf numFmtId="0" fontId="13" fillId="13" borderId="1" xfId="0" applyFont="1" applyFill="1" applyBorder="1" applyProtection="1">
      <protection locked="0"/>
    </xf>
    <xf numFmtId="0" fontId="13" fillId="13" borderId="17" xfId="0" applyFont="1" applyFill="1" applyBorder="1" applyProtection="1">
      <protection locked="0"/>
    </xf>
    <xf numFmtId="0" fontId="13" fillId="14" borderId="1" xfId="0" applyFont="1" applyFill="1" applyBorder="1" applyProtection="1">
      <protection locked="0"/>
    </xf>
    <xf numFmtId="164" fontId="11" fillId="12" borderId="19" xfId="0" applyNumberFormat="1" applyFont="1" applyFill="1" applyBorder="1"/>
    <xf numFmtId="164" fontId="11" fillId="12" borderId="18" xfId="0" applyNumberFormat="1" applyFont="1" applyFill="1" applyBorder="1"/>
    <xf numFmtId="164" fontId="11" fillId="12" borderId="1" xfId="0" applyNumberFormat="1" applyFont="1" applyFill="1" applyBorder="1"/>
    <xf numFmtId="164" fontId="11" fillId="13" borderId="19" xfId="0" applyNumberFormat="1" applyFont="1" applyFill="1" applyBorder="1"/>
    <xf numFmtId="164" fontId="11" fillId="13" borderId="18" xfId="0" applyNumberFormat="1" applyFont="1" applyFill="1" applyBorder="1"/>
    <xf numFmtId="164" fontId="11" fillId="13" borderId="1" xfId="0" applyNumberFormat="1" applyFont="1" applyFill="1" applyBorder="1"/>
    <xf numFmtId="164" fontId="11" fillId="14" borderId="19" xfId="0" applyNumberFormat="1" applyFont="1" applyFill="1" applyBorder="1"/>
    <xf numFmtId="164" fontId="11" fillId="14" borderId="18" xfId="0" applyNumberFormat="1" applyFont="1" applyFill="1" applyBorder="1"/>
    <xf numFmtId="164" fontId="11" fillId="14" borderId="1" xfId="0" applyNumberFormat="1" applyFont="1" applyFill="1" applyBorder="1"/>
    <xf numFmtId="0" fontId="9" fillId="2" borderId="1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1" fillId="2" borderId="0" xfId="0" applyFont="1" applyFill="1"/>
    <xf numFmtId="0" fontId="0" fillId="2" borderId="13" xfId="0" applyFill="1" applyBorder="1"/>
    <xf numFmtId="0" fontId="9" fillId="2" borderId="5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1" fillId="8" borderId="21" xfId="0" applyFont="1" applyFill="1" applyBorder="1"/>
    <xf numFmtId="0" fontId="0" fillId="9" borderId="22" xfId="0" applyFill="1" applyBorder="1"/>
    <xf numFmtId="0" fontId="0" fillId="10" borderId="22" xfId="0" applyFill="1" applyBorder="1"/>
    <xf numFmtId="0" fontId="0" fillId="11" borderId="22" xfId="0" applyFill="1" applyBorder="1"/>
    <xf numFmtId="0" fontId="0" fillId="11" borderId="23" xfId="0" applyFill="1" applyBorder="1"/>
    <xf numFmtId="0" fontId="0" fillId="8" borderId="22" xfId="0" applyFill="1" applyBorder="1"/>
    <xf numFmtId="0" fontId="0" fillId="15" borderId="13" xfId="0" applyFill="1" applyBorder="1"/>
    <xf numFmtId="0" fontId="0" fillId="15" borderId="16" xfId="0" applyFill="1" applyBorder="1"/>
    <xf numFmtId="0" fontId="0" fillId="15" borderId="12" xfId="0" applyFill="1" applyBorder="1"/>
    <xf numFmtId="0" fontId="0" fillId="15" borderId="0" xfId="0" applyFill="1"/>
    <xf numFmtId="164" fontId="0" fillId="15" borderId="0" xfId="0" applyNumberFormat="1" applyFill="1"/>
    <xf numFmtId="0" fontId="4" fillId="15" borderId="0" xfId="0" applyFont="1" applyFill="1"/>
    <xf numFmtId="0" fontId="0" fillId="15" borderId="5" xfId="0" applyFill="1" applyBorder="1"/>
    <xf numFmtId="0" fontId="0" fillId="15" borderId="6" xfId="0" applyFill="1" applyBorder="1"/>
    <xf numFmtId="0" fontId="0" fillId="15" borderId="7" xfId="0" applyFill="1" applyBorder="1"/>
    <xf numFmtId="0" fontId="4" fillId="16" borderId="0" xfId="0" applyFont="1" applyFill="1"/>
    <xf numFmtId="0" fontId="4" fillId="16" borderId="13" xfId="0" applyFont="1" applyFill="1" applyBorder="1"/>
    <xf numFmtId="0" fontId="0" fillId="16" borderId="0" xfId="0" applyFill="1"/>
    <xf numFmtId="0" fontId="0" fillId="16" borderId="13" xfId="0" applyFill="1" applyBorder="1"/>
    <xf numFmtId="0" fontId="5" fillId="15" borderId="0" xfId="0" applyFont="1" applyFill="1"/>
    <xf numFmtId="0" fontId="17" fillId="15" borderId="12" xfId="0" applyFont="1" applyFill="1" applyBorder="1"/>
    <xf numFmtId="0" fontId="15" fillId="15" borderId="12" xfId="0" applyFont="1" applyFill="1" applyBorder="1"/>
    <xf numFmtId="0" fontId="15" fillId="15" borderId="0" xfId="0" applyFont="1" applyFill="1"/>
    <xf numFmtId="0" fontId="3" fillId="15" borderId="12" xfId="0" applyFont="1" applyFill="1" applyBorder="1"/>
    <xf numFmtId="0" fontId="3" fillId="15" borderId="0" xfId="0" applyFont="1" applyFill="1"/>
    <xf numFmtId="0" fontId="16" fillId="15" borderId="12" xfId="0" applyFont="1" applyFill="1" applyBorder="1"/>
    <xf numFmtId="164" fontId="12" fillId="6" borderId="24" xfId="0" applyNumberFormat="1" applyFont="1" applyFill="1" applyBorder="1"/>
    <xf numFmtId="0" fontId="8" fillId="15" borderId="0" xfId="0" applyFont="1" applyFill="1"/>
    <xf numFmtId="0" fontId="16" fillId="15" borderId="0" xfId="0" applyFont="1" applyFill="1"/>
    <xf numFmtId="0" fontId="12" fillId="15" borderId="12" xfId="0" applyFont="1" applyFill="1" applyBorder="1"/>
    <xf numFmtId="0" fontId="12" fillId="15" borderId="0" xfId="0" applyFont="1" applyFill="1"/>
    <xf numFmtId="0" fontId="3" fillId="2" borderId="24" xfId="0" applyFont="1" applyFill="1" applyBorder="1"/>
    <xf numFmtId="0" fontId="3" fillId="6" borderId="24" xfId="0" applyFont="1" applyFill="1" applyBorder="1"/>
    <xf numFmtId="0" fontId="3" fillId="15" borderId="14" xfId="0" applyFont="1" applyFill="1" applyBorder="1"/>
    <xf numFmtId="0" fontId="3" fillId="6" borderId="25" xfId="0" applyFont="1" applyFill="1" applyBorder="1"/>
    <xf numFmtId="0" fontId="3" fillId="15" borderId="15" xfId="0" applyFont="1" applyFill="1" applyBorder="1"/>
    <xf numFmtId="0" fontId="21" fillId="2" borderId="5" xfId="0" applyFont="1" applyFill="1" applyBorder="1"/>
    <xf numFmtId="0" fontId="0" fillId="2" borderId="6" xfId="0" applyFill="1" applyBorder="1"/>
    <xf numFmtId="0" fontId="20" fillId="2" borderId="6" xfId="0" applyFont="1" applyFill="1" applyBorder="1"/>
    <xf numFmtId="0" fontId="0" fillId="2" borderId="12" xfId="0" applyFill="1" applyBorder="1"/>
    <xf numFmtId="0" fontId="0" fillId="2" borderId="0" xfId="0" applyFill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" xfId="0" applyFill="1" applyBorder="1" applyProtection="1">
      <protection locked="0"/>
    </xf>
    <xf numFmtId="164" fontId="13" fillId="2" borderId="1" xfId="0" applyNumberFormat="1" applyFont="1" applyFill="1" applyBorder="1"/>
    <xf numFmtId="0" fontId="11" fillId="2" borderId="0" xfId="0" applyFont="1" applyFill="1" applyAlignment="1">
      <alignment horizontal="right"/>
    </xf>
    <xf numFmtId="0" fontId="22" fillId="2" borderId="12" xfId="0" applyFont="1" applyFill="1" applyBorder="1"/>
    <xf numFmtId="0" fontId="22" fillId="2" borderId="0" xfId="0" applyFont="1" applyFill="1"/>
    <xf numFmtId="0" fontId="19" fillId="1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15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CCFF99"/>
      <color rgb="FFFFCCFF"/>
      <color rgb="FFFFCC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zoomScaleNormal="100" workbookViewId="0">
      <selection activeCell="V9" sqref="V9"/>
    </sheetView>
  </sheetViews>
  <sheetFormatPr defaultRowHeight="18"/>
  <cols>
    <col min="1" max="1" width="45.109375" customWidth="1"/>
    <col min="2" max="2" width="11.88671875" customWidth="1"/>
    <col min="3" max="3" width="9.109375" style="7"/>
    <col min="4" max="4" width="3.88671875" customWidth="1"/>
    <col min="5" max="5" width="9.33203125" customWidth="1"/>
    <col min="6" max="6" width="9.109375" style="7"/>
    <col min="7" max="7" width="14.88671875" customWidth="1"/>
    <col min="8" max="8" width="12.109375" customWidth="1"/>
    <col min="9" max="9" width="14.44140625" customWidth="1"/>
    <col min="10" max="10" width="10" bestFit="1" customWidth="1"/>
    <col min="11" max="11" width="10.44140625" customWidth="1"/>
    <col min="12" max="12" width="10.5546875" customWidth="1"/>
    <col min="13" max="13" width="16" customWidth="1"/>
    <col min="24" max="24" width="12" bestFit="1" customWidth="1"/>
    <col min="43" max="43" width="10.33203125" customWidth="1"/>
  </cols>
  <sheetData>
    <row r="1" spans="1:30" ht="61.5" customHeight="1" thickTop="1" thickBot="1">
      <c r="A1" s="91" t="s">
        <v>24</v>
      </c>
      <c r="B1" s="18"/>
      <c r="C1" s="92" t="s">
        <v>40</v>
      </c>
      <c r="D1" s="18"/>
      <c r="E1" s="18"/>
      <c r="F1" s="18"/>
      <c r="G1" s="18"/>
      <c r="H1" s="18"/>
      <c r="I1" s="18"/>
      <c r="J1" s="18"/>
      <c r="K1" s="18"/>
      <c r="L1" s="18"/>
      <c r="M1" s="19"/>
    </row>
    <row r="2" spans="1:30" ht="27" thickTop="1" thickBot="1">
      <c r="A2" s="86"/>
      <c r="B2" s="87"/>
      <c r="C2" s="40">
        <v>4</v>
      </c>
      <c r="D2" s="1" t="s">
        <v>27</v>
      </c>
      <c r="E2" s="88"/>
      <c r="F2" s="40">
        <v>0</v>
      </c>
      <c r="G2" s="89" t="s">
        <v>3</v>
      </c>
      <c r="H2" s="93"/>
      <c r="I2" s="1"/>
      <c r="J2" s="37">
        <f>IF(F2+180&gt;360,F2-180,F2+180)</f>
        <v>180</v>
      </c>
      <c r="K2" s="89" t="s">
        <v>3</v>
      </c>
      <c r="L2" s="1"/>
      <c r="M2" s="90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21" customHeight="1" thickTop="1" thickBot="1">
      <c r="A3" s="20"/>
      <c r="B3" s="8"/>
      <c r="C3" s="43" t="s">
        <v>0</v>
      </c>
      <c r="D3" s="8"/>
      <c r="E3" s="42"/>
      <c r="F3" s="43" t="s">
        <v>2</v>
      </c>
      <c r="G3" s="8"/>
      <c r="H3" s="98"/>
      <c r="I3" s="8"/>
      <c r="J3" s="43" t="s">
        <v>43</v>
      </c>
      <c r="K3" s="8"/>
      <c r="L3" s="8"/>
      <c r="M3" s="21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4.6" thickTop="1" thickBot="1">
      <c r="A4" s="58" t="s">
        <v>34</v>
      </c>
      <c r="B4" s="9"/>
      <c r="C4" s="10"/>
      <c r="D4" s="9"/>
      <c r="E4" s="36"/>
      <c r="F4" s="10"/>
      <c r="G4" s="9"/>
      <c r="H4" s="94"/>
      <c r="I4" s="9"/>
      <c r="J4" s="27" t="s">
        <v>28</v>
      </c>
      <c r="K4" s="27" t="s">
        <v>29</v>
      </c>
      <c r="L4" s="27" t="s">
        <v>44</v>
      </c>
      <c r="M4" s="22"/>
      <c r="S4" s="6"/>
      <c r="T4" s="6" t="s">
        <v>5</v>
      </c>
      <c r="U4" s="6"/>
      <c r="V4" s="6">
        <f>(F2*2*PI())/360</f>
        <v>0</v>
      </c>
      <c r="W4" s="6" t="s">
        <v>6</v>
      </c>
      <c r="X4" s="6"/>
      <c r="Y4" s="6"/>
      <c r="Z4" s="6"/>
      <c r="AA4" s="6"/>
      <c r="AB4" s="6"/>
      <c r="AC4" s="6"/>
      <c r="AD4" s="6"/>
    </row>
    <row r="5" spans="1:30" ht="24.6" thickTop="1" thickBot="1">
      <c r="A5" s="53" t="s">
        <v>37</v>
      </c>
      <c r="B5" s="44" t="s">
        <v>25</v>
      </c>
      <c r="C5" s="72">
        <v>8</v>
      </c>
      <c r="D5" s="11" t="s">
        <v>26</v>
      </c>
      <c r="E5" s="44" t="s">
        <v>33</v>
      </c>
      <c r="F5" s="72">
        <v>15</v>
      </c>
      <c r="G5" s="11" t="s">
        <v>32</v>
      </c>
      <c r="H5" s="94"/>
      <c r="I5" s="66" t="s">
        <v>30</v>
      </c>
      <c r="J5" s="77">
        <f>V20</f>
        <v>5.6174138443382216</v>
      </c>
      <c r="K5" s="78">
        <f>IF(X20&gt;=360,X20-360,X20)</f>
        <v>43.902613332609427</v>
      </c>
      <c r="L5" s="79">
        <f>IF(K5+180&gt;=360,K5-180,K5+180)</f>
        <v>223.90261333260943</v>
      </c>
      <c r="M5" s="23" t="s">
        <v>3</v>
      </c>
      <c r="S5" s="6"/>
      <c r="T5" s="6" t="s">
        <v>8</v>
      </c>
      <c r="U5" s="6"/>
      <c r="V5" s="6">
        <f>C2*COS(V4)</f>
        <v>4</v>
      </c>
      <c r="W5" s="6"/>
      <c r="X5" s="6">
        <f>C2*SIN(V4)</f>
        <v>0</v>
      </c>
      <c r="Y5" s="6"/>
      <c r="Z5" s="6"/>
      <c r="AA5" s="6"/>
      <c r="AB5" s="6"/>
      <c r="AC5" s="6"/>
      <c r="AD5" s="6"/>
    </row>
    <row r="6" spans="1:30" ht="24.6" thickTop="1" thickBot="1">
      <c r="A6" s="53" t="s">
        <v>38</v>
      </c>
      <c r="B6" s="44" t="s">
        <v>25</v>
      </c>
      <c r="C6" s="72">
        <v>9.8000000000000007</v>
      </c>
      <c r="D6" s="11" t="s">
        <v>26</v>
      </c>
      <c r="E6" s="44" t="s">
        <v>33</v>
      </c>
      <c r="F6" s="72">
        <v>37.5</v>
      </c>
      <c r="G6" s="11" t="s">
        <v>32</v>
      </c>
      <c r="H6" s="94"/>
      <c r="I6" s="67" t="s">
        <v>31</v>
      </c>
      <c r="J6" s="77">
        <f>V17</f>
        <v>3.8955987090857094</v>
      </c>
      <c r="K6" s="78">
        <f>IF(Z17&gt;=360,Z17-360,Z17)</f>
        <v>89.302006416219001</v>
      </c>
      <c r="L6" s="79">
        <f>IF(K6+180&gt;=360,K6-180,K6+180)</f>
        <v>269.302006416219</v>
      </c>
      <c r="M6" s="23" t="s">
        <v>3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4.6" thickTop="1" thickBot="1">
      <c r="A7" s="54" t="s">
        <v>39</v>
      </c>
      <c r="B7" s="50"/>
      <c r="C7" s="73">
        <v>60</v>
      </c>
      <c r="D7" s="12" t="s">
        <v>4</v>
      </c>
      <c r="E7" s="45"/>
      <c r="F7" s="13"/>
      <c r="G7" s="12"/>
      <c r="H7" s="94"/>
      <c r="I7" s="62"/>
      <c r="J7" s="12"/>
      <c r="K7" s="12"/>
      <c r="L7" s="12"/>
      <c r="M7" s="2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24.6" thickTop="1" thickBot="1">
      <c r="A8" s="59" t="s">
        <v>35</v>
      </c>
      <c r="B8" s="51"/>
      <c r="C8" s="15"/>
      <c r="D8" s="14"/>
      <c r="E8" s="46"/>
      <c r="F8" s="15"/>
      <c r="G8" s="14"/>
      <c r="H8" s="95"/>
      <c r="I8" s="63"/>
      <c r="J8" s="28" t="s">
        <v>28</v>
      </c>
      <c r="K8" s="28" t="s">
        <v>29</v>
      </c>
      <c r="L8" s="28" t="s">
        <v>44</v>
      </c>
      <c r="M8" s="25"/>
      <c r="S8" s="41" t="s">
        <v>22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24.6" thickTop="1" thickBot="1">
      <c r="A9" s="55" t="s">
        <v>37</v>
      </c>
      <c r="B9" s="47" t="s">
        <v>25</v>
      </c>
      <c r="C9" s="74">
        <v>9.8000000000000007</v>
      </c>
      <c r="D9" s="16" t="s">
        <v>26</v>
      </c>
      <c r="E9" s="47" t="s">
        <v>33</v>
      </c>
      <c r="F9" s="74">
        <v>37.5</v>
      </c>
      <c r="G9" s="16" t="s">
        <v>32</v>
      </c>
      <c r="H9" s="95"/>
      <c r="I9" s="68" t="s">
        <v>30</v>
      </c>
      <c r="J9" s="80">
        <f>Y23</f>
        <v>5.5494180150622796</v>
      </c>
      <c r="K9" s="81">
        <f>IF(AA23&gt;=360,AA23-360,AA23)</f>
        <v>315.4178495166708</v>
      </c>
      <c r="L9" s="82">
        <f>IF(K9+180&gt;=360,K9-180,K9+180)</f>
        <v>135.4178495166708</v>
      </c>
      <c r="M9" s="26" t="s">
        <v>3</v>
      </c>
      <c r="S9" s="6"/>
      <c r="T9" s="6" t="s">
        <v>7</v>
      </c>
      <c r="U9" s="6"/>
      <c r="V9" s="6">
        <f>F5*2*PI()/360</f>
        <v>0.26179938779914941</v>
      </c>
      <c r="W9" s="6"/>
      <c r="X9" s="6"/>
      <c r="Y9" s="6"/>
      <c r="Z9" s="6"/>
      <c r="AA9" s="6"/>
      <c r="AB9" s="6"/>
      <c r="AC9" s="6"/>
      <c r="AD9" s="6"/>
    </row>
    <row r="10" spans="1:30" ht="24.6" thickTop="1" thickBot="1">
      <c r="A10" s="55" t="s">
        <v>38</v>
      </c>
      <c r="B10" s="47" t="s">
        <v>25</v>
      </c>
      <c r="C10" s="74">
        <v>8</v>
      </c>
      <c r="D10" s="16" t="s">
        <v>26</v>
      </c>
      <c r="E10" s="47" t="s">
        <v>33</v>
      </c>
      <c r="F10" s="74">
        <v>15</v>
      </c>
      <c r="G10" s="16" t="s">
        <v>32</v>
      </c>
      <c r="H10" s="95"/>
      <c r="I10" s="69" t="s">
        <v>31</v>
      </c>
      <c r="J10" s="80">
        <f>V37</f>
        <v>3.8955987090857094</v>
      </c>
      <c r="K10" s="81">
        <f>IF(Z37&gt;=360,Z37-360,Z37)</f>
        <v>89.302006416219001</v>
      </c>
      <c r="L10" s="82">
        <f>IF(K10+180&gt;=360,K10-180,K10+180)</f>
        <v>269.302006416219</v>
      </c>
      <c r="M10" s="26" t="s">
        <v>3</v>
      </c>
      <c r="S10" s="6"/>
      <c r="T10" s="6" t="s">
        <v>9</v>
      </c>
      <c r="U10" s="6"/>
      <c r="V10" s="6">
        <f>C5*COS(V9)</f>
        <v>7.7274066103125465</v>
      </c>
      <c r="W10" s="6" t="s">
        <v>12</v>
      </c>
      <c r="X10" s="6">
        <f>C5*SIN(V9)</f>
        <v>2.0705523608201659</v>
      </c>
      <c r="Y10" s="6" t="s">
        <v>13</v>
      </c>
      <c r="Z10" s="6"/>
      <c r="AA10" s="6"/>
      <c r="AB10" s="6"/>
      <c r="AC10" s="6"/>
      <c r="AD10" s="6"/>
    </row>
    <row r="11" spans="1:30" ht="24.6" thickTop="1" thickBot="1">
      <c r="A11" s="55" t="s">
        <v>39</v>
      </c>
      <c r="B11" s="47"/>
      <c r="C11" s="75">
        <v>60</v>
      </c>
      <c r="D11" s="16" t="s">
        <v>4</v>
      </c>
      <c r="E11" s="47"/>
      <c r="F11" s="17"/>
      <c r="G11" s="16"/>
      <c r="H11" s="95"/>
      <c r="I11" s="64"/>
      <c r="J11" s="16"/>
      <c r="K11" s="16"/>
      <c r="L11" s="16"/>
      <c r="M11" s="2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24.6" thickTop="1" thickBot="1">
      <c r="A12" s="60" t="s">
        <v>36</v>
      </c>
      <c r="B12" s="48"/>
      <c r="C12" s="30"/>
      <c r="D12" s="29"/>
      <c r="E12" s="48"/>
      <c r="F12" s="30"/>
      <c r="G12" s="29"/>
      <c r="H12" s="96"/>
      <c r="I12" s="65"/>
      <c r="J12" s="38" t="s">
        <v>28</v>
      </c>
      <c r="K12" s="38" t="s">
        <v>29</v>
      </c>
      <c r="L12" s="38" t="s">
        <v>44</v>
      </c>
      <c r="M12" s="31"/>
      <c r="S12" s="6"/>
      <c r="T12" s="6" t="s">
        <v>10</v>
      </c>
      <c r="U12" s="6"/>
      <c r="V12" s="6">
        <f>F6*2*PI()/360</f>
        <v>0.6544984694978736</v>
      </c>
      <c r="W12" s="6"/>
      <c r="X12" s="6"/>
      <c r="Y12" s="6"/>
      <c r="Z12" s="6"/>
      <c r="AA12" s="6"/>
      <c r="AB12" s="6"/>
      <c r="AC12" s="6"/>
      <c r="AD12" s="6"/>
    </row>
    <row r="13" spans="1:30" ht="24.6" thickTop="1" thickBot="1">
      <c r="A13" s="56" t="s">
        <v>37</v>
      </c>
      <c r="B13" s="49" t="s">
        <v>25</v>
      </c>
      <c r="C13" s="76">
        <v>9.8000000000000007</v>
      </c>
      <c r="D13" s="32" t="s">
        <v>26</v>
      </c>
      <c r="E13" s="49" t="s">
        <v>33</v>
      </c>
      <c r="F13" s="76">
        <v>142.5</v>
      </c>
      <c r="G13" s="32" t="s">
        <v>32</v>
      </c>
      <c r="H13" s="96"/>
      <c r="I13" s="70" t="s">
        <v>30</v>
      </c>
      <c r="J13" s="83">
        <f>Y42</f>
        <v>5.6174138443382189</v>
      </c>
      <c r="K13" s="84">
        <f>IF(AA42&gt;=360,AA42-360,AA42)</f>
        <v>316.09738666739065</v>
      </c>
      <c r="L13" s="85">
        <f>IF(K13+180&gt;=360,K13-180,K13+180)</f>
        <v>136.09738666739065</v>
      </c>
      <c r="M13" s="61" t="s">
        <v>3</v>
      </c>
      <c r="S13" s="6"/>
      <c r="T13" s="6" t="s">
        <v>11</v>
      </c>
      <c r="U13" s="6"/>
      <c r="V13" s="6">
        <f>C6*COS(V12)</f>
        <v>7.7748627348541053</v>
      </c>
      <c r="W13" s="6" t="s">
        <v>12</v>
      </c>
      <c r="X13" s="6">
        <f>C6*SIN(V12)</f>
        <v>5.9658620042854631</v>
      </c>
      <c r="Y13" s="6" t="s">
        <v>13</v>
      </c>
      <c r="Z13" s="6"/>
      <c r="AA13" s="6"/>
      <c r="AB13" s="6"/>
      <c r="AC13" s="6"/>
      <c r="AD13" s="6"/>
    </row>
    <row r="14" spans="1:30" ht="24.6" thickTop="1" thickBot="1">
      <c r="A14" s="56" t="s">
        <v>38</v>
      </c>
      <c r="B14" s="49" t="s">
        <v>25</v>
      </c>
      <c r="C14" s="76">
        <v>8</v>
      </c>
      <c r="D14" s="32" t="s">
        <v>26</v>
      </c>
      <c r="E14" s="49" t="s">
        <v>33</v>
      </c>
      <c r="F14" s="76">
        <v>165</v>
      </c>
      <c r="G14" s="32" t="s">
        <v>32</v>
      </c>
      <c r="H14" s="96"/>
      <c r="I14" s="71" t="s">
        <v>31</v>
      </c>
      <c r="J14" s="83">
        <f>V58</f>
        <v>3.8955987090857045</v>
      </c>
      <c r="K14" s="84">
        <f>IF(Z58&gt;=360,Z58-360,Z58)</f>
        <v>270.697993583781</v>
      </c>
      <c r="L14" s="85">
        <f>IF(K14+180&gt;=360,K14-180,K14+180)</f>
        <v>90.697993583780999</v>
      </c>
      <c r="M14" s="61" t="s">
        <v>3</v>
      </c>
      <c r="N14" s="39"/>
      <c r="S14" s="6"/>
      <c r="T14" s="6" t="s">
        <v>14</v>
      </c>
      <c r="U14" s="6"/>
      <c r="V14" s="6">
        <f>V13-V10</f>
        <v>4.7456124541558786E-2</v>
      </c>
      <c r="W14" s="6" t="s">
        <v>12</v>
      </c>
      <c r="X14" s="6">
        <f>X13-X10</f>
        <v>3.8953096434652972</v>
      </c>
      <c r="Y14" s="6" t="s">
        <v>13</v>
      </c>
      <c r="Z14" s="6"/>
      <c r="AA14" s="6"/>
      <c r="AB14" s="6"/>
      <c r="AC14" s="6"/>
      <c r="AD14" s="6"/>
    </row>
    <row r="15" spans="1:30" ht="24.6" thickTop="1" thickBot="1">
      <c r="A15" s="57" t="s">
        <v>39</v>
      </c>
      <c r="B15" s="33"/>
      <c r="C15" s="76">
        <v>60</v>
      </c>
      <c r="D15" s="33" t="s">
        <v>4</v>
      </c>
      <c r="E15" s="33"/>
      <c r="F15" s="34"/>
      <c r="G15" s="33"/>
      <c r="H15" s="97"/>
      <c r="I15" s="33"/>
      <c r="J15" s="33"/>
      <c r="K15" s="33"/>
      <c r="L15" s="33"/>
      <c r="M15" s="35"/>
      <c r="S15" s="6"/>
      <c r="T15" s="6" t="s">
        <v>15</v>
      </c>
      <c r="U15" s="6"/>
      <c r="V15" s="6">
        <f>60/C7</f>
        <v>1</v>
      </c>
      <c r="W15" s="6"/>
      <c r="X15" s="6">
        <f>60/C7</f>
        <v>1</v>
      </c>
      <c r="Y15" s="6"/>
      <c r="Z15" s="6"/>
      <c r="AA15" s="6"/>
      <c r="AB15" s="6"/>
      <c r="AC15" s="6"/>
      <c r="AD15" s="6"/>
    </row>
    <row r="16" spans="1:30" ht="18.600000000000001" thickTop="1">
      <c r="S16" s="5" t="s">
        <v>17</v>
      </c>
      <c r="T16" s="6"/>
      <c r="U16" s="6"/>
      <c r="V16" s="6">
        <f>V14*V15</f>
        <v>4.7456124541558786E-2</v>
      </c>
      <c r="W16" s="6" t="s">
        <v>12</v>
      </c>
      <c r="X16" s="6">
        <f>X14*X15</f>
        <v>3.8953096434652972</v>
      </c>
      <c r="Y16" s="6" t="s">
        <v>13</v>
      </c>
      <c r="Z16" s="6"/>
      <c r="AA16" s="6"/>
      <c r="AB16" s="6"/>
      <c r="AC16" s="6"/>
      <c r="AD16" s="6"/>
    </row>
    <row r="17" spans="11:30">
      <c r="S17" s="6"/>
      <c r="T17" s="6"/>
      <c r="U17" s="6"/>
      <c r="V17" s="6">
        <f>SQRT(V16*V16+X16*X16)</f>
        <v>3.8955987090857094</v>
      </c>
      <c r="W17" s="6"/>
      <c r="X17" s="6">
        <f>ATAN(X16/V16)</f>
        <v>1.5586140406001234</v>
      </c>
      <c r="Y17" s="6" t="s">
        <v>19</v>
      </c>
      <c r="Z17" s="6">
        <f>IF(X17*360/(2*PI())&lt;0,(X17*360/(2*PI()))+360,X17*360/(2*PI()))</f>
        <v>89.302006416219001</v>
      </c>
      <c r="AA17" s="6" t="s">
        <v>3</v>
      </c>
      <c r="AB17" s="6"/>
      <c r="AC17" s="6"/>
      <c r="AD17" s="6"/>
    </row>
    <row r="18" spans="11:30">
      <c r="S18" s="5" t="s">
        <v>16</v>
      </c>
      <c r="T18" s="6"/>
      <c r="U18" s="6"/>
      <c r="V18" s="6">
        <f>V5+V16</f>
        <v>4.0474561245415588</v>
      </c>
      <c r="W18" s="6" t="s">
        <v>12</v>
      </c>
      <c r="X18" s="6">
        <f>X5+X16</f>
        <v>3.8953096434652972</v>
      </c>
      <c r="Y18" s="6" t="s">
        <v>13</v>
      </c>
      <c r="Z18" s="6"/>
      <c r="AA18" s="6"/>
      <c r="AB18" s="6"/>
      <c r="AC18" s="6"/>
      <c r="AD18" s="6"/>
    </row>
    <row r="19" spans="11:30">
      <c r="S19" s="6"/>
      <c r="T19" s="6" t="s">
        <v>18</v>
      </c>
      <c r="U19" s="6"/>
      <c r="V19" s="6">
        <f>ATAN(X18/V18)</f>
        <v>0.76624515288399486</v>
      </c>
      <c r="W19" s="6" t="s">
        <v>19</v>
      </c>
      <c r="X19" s="6">
        <f>V19*360/(2*PI())</f>
        <v>43.902613332609427</v>
      </c>
      <c r="Y19" s="6"/>
      <c r="Z19" s="6"/>
      <c r="AA19" s="6"/>
      <c r="AB19" s="6"/>
      <c r="AC19" s="6"/>
      <c r="AD19" s="6"/>
    </row>
    <row r="20" spans="11:30">
      <c r="K20" s="52"/>
      <c r="S20" s="6"/>
      <c r="T20" s="6" t="s">
        <v>20</v>
      </c>
      <c r="U20" s="6"/>
      <c r="V20" s="6">
        <f>SQRT(V18*V18+X18*X18)</f>
        <v>5.6174138443382216</v>
      </c>
      <c r="W20" s="6" t="s">
        <v>20</v>
      </c>
      <c r="X20" s="6">
        <f>IF(X19&lt;0,360+X19,X19)</f>
        <v>43.902613332609427</v>
      </c>
      <c r="Y20" s="6" t="s">
        <v>21</v>
      </c>
      <c r="Z20" s="6"/>
      <c r="AA20" s="6"/>
      <c r="AB20" s="6"/>
      <c r="AC20" s="6"/>
      <c r="AD20" s="6"/>
    </row>
    <row r="21" spans="11:30" ht="18.600000000000001" thickBot="1"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1:30" ht="19.2" thickTop="1" thickBot="1">
      <c r="S22" s="2">
        <f>C2</f>
        <v>4</v>
      </c>
      <c r="T22" s="1" t="s">
        <v>1</v>
      </c>
      <c r="U22" s="1" t="s">
        <v>2</v>
      </c>
      <c r="V22" s="2">
        <f>F2</f>
        <v>0</v>
      </c>
      <c r="W22" s="1" t="s">
        <v>3</v>
      </c>
      <c r="X22" s="1"/>
      <c r="Y22" s="1" t="s">
        <v>41</v>
      </c>
      <c r="Z22" s="1"/>
      <c r="AA22" s="1"/>
      <c r="AB22" s="1"/>
      <c r="AC22" s="1"/>
      <c r="AD22" s="1"/>
    </row>
    <row r="23" spans="11:30" ht="19.2" thickTop="1" thickBot="1">
      <c r="S23" s="1"/>
      <c r="T23" s="1"/>
      <c r="U23" s="1"/>
      <c r="V23" s="1"/>
      <c r="W23" s="1"/>
      <c r="X23" s="1"/>
      <c r="Y23" s="3">
        <f>V40</f>
        <v>5.5494180150622796</v>
      </c>
      <c r="Z23" s="4" t="s">
        <v>1</v>
      </c>
      <c r="AA23" s="3">
        <f>X40</f>
        <v>315.4178495166708</v>
      </c>
      <c r="AB23" s="4" t="s">
        <v>3</v>
      </c>
      <c r="AC23" s="1"/>
      <c r="AD23" s="1"/>
    </row>
    <row r="24" spans="11:30" ht="18.600000000000001" thickTop="1">
      <c r="S24" s="5" t="s">
        <v>42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1:30">
      <c r="S25" s="6"/>
      <c r="T25" s="6" t="s">
        <v>5</v>
      </c>
      <c r="U25" s="6"/>
      <c r="V25" s="6">
        <f>(V22*2*PI())/360</f>
        <v>0</v>
      </c>
      <c r="W25" s="6" t="s">
        <v>6</v>
      </c>
      <c r="X25" s="6"/>
      <c r="Y25" s="6"/>
      <c r="Z25" s="6"/>
      <c r="AA25" s="6"/>
      <c r="AB25" s="6"/>
      <c r="AC25" s="6"/>
      <c r="AD25" s="6"/>
    </row>
    <row r="26" spans="11:30">
      <c r="S26" s="6"/>
      <c r="T26" s="6" t="s">
        <v>8</v>
      </c>
      <c r="U26" s="6"/>
      <c r="V26" s="6">
        <f>S22*COS(V25)</f>
        <v>4</v>
      </c>
      <c r="W26" s="6"/>
      <c r="X26" s="6">
        <f>S22*SIN(V25)</f>
        <v>0</v>
      </c>
      <c r="Y26" s="6"/>
      <c r="Z26" s="6"/>
      <c r="AA26" s="6"/>
      <c r="AB26" s="6"/>
      <c r="AC26" s="6"/>
      <c r="AD26" s="6"/>
    </row>
    <row r="27" spans="11:30"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1:30" ht="21">
      <c r="S28" s="41" t="s">
        <v>23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1:30">
      <c r="S29" s="6"/>
      <c r="T29" s="6" t="s">
        <v>7</v>
      </c>
      <c r="U29" s="6"/>
      <c r="V29" s="6">
        <f>F9*2*PI()/360</f>
        <v>0.6544984694978736</v>
      </c>
      <c r="W29" s="6"/>
      <c r="X29" s="6"/>
      <c r="Y29" s="6"/>
      <c r="Z29" s="6"/>
      <c r="AA29" s="6"/>
      <c r="AB29" s="6"/>
      <c r="AC29" s="6"/>
      <c r="AD29" s="6"/>
    </row>
    <row r="30" spans="11:30">
      <c r="S30" s="6"/>
      <c r="T30" s="6" t="s">
        <v>9</v>
      </c>
      <c r="U30" s="6"/>
      <c r="V30" s="6">
        <f>C9*COS(V29)</f>
        <v>7.7748627348541053</v>
      </c>
      <c r="W30" s="6" t="s">
        <v>12</v>
      </c>
      <c r="X30" s="6">
        <f>C9*SIN(V29)</f>
        <v>5.9658620042854631</v>
      </c>
      <c r="Y30" s="6" t="s">
        <v>13</v>
      </c>
      <c r="Z30" s="6"/>
      <c r="AA30" s="6"/>
      <c r="AB30" s="6"/>
      <c r="AC30" s="6"/>
      <c r="AD30" s="6"/>
    </row>
    <row r="31" spans="11:30"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1:30">
      <c r="S32" s="6"/>
      <c r="T32" s="6" t="s">
        <v>10</v>
      </c>
      <c r="U32" s="6"/>
      <c r="V32" s="6">
        <f>F10*2*PI()/360</f>
        <v>0.26179938779914941</v>
      </c>
      <c r="W32" s="6"/>
      <c r="X32" s="6"/>
      <c r="Y32" s="6"/>
      <c r="Z32" s="6"/>
      <c r="AA32" s="6"/>
      <c r="AB32" s="6"/>
      <c r="AC32" s="6"/>
      <c r="AD32" s="6"/>
    </row>
    <row r="33" spans="19:30">
      <c r="S33" s="6"/>
      <c r="T33" s="6" t="s">
        <v>11</v>
      </c>
      <c r="U33" s="6"/>
      <c r="V33" s="6">
        <f>C10*COS(V32)</f>
        <v>7.7274066103125465</v>
      </c>
      <c r="W33" s="6" t="s">
        <v>12</v>
      </c>
      <c r="X33" s="6">
        <f>C10*SIN(V32)</f>
        <v>2.0705523608201659</v>
      </c>
      <c r="Y33" s="6" t="s">
        <v>13</v>
      </c>
      <c r="Z33" s="6"/>
      <c r="AA33" s="6"/>
      <c r="AB33" s="6"/>
      <c r="AC33" s="6"/>
      <c r="AD33" s="6"/>
    </row>
    <row r="34" spans="19:30">
      <c r="S34" s="6"/>
      <c r="T34" s="6" t="s">
        <v>14</v>
      </c>
      <c r="U34" s="6"/>
      <c r="V34" s="6">
        <f>V33-V30</f>
        <v>-4.7456124541558786E-2</v>
      </c>
      <c r="W34" s="6" t="s">
        <v>12</v>
      </c>
      <c r="X34" s="6">
        <f>X33-X30</f>
        <v>-3.8953096434652972</v>
      </c>
      <c r="Y34" s="6" t="s">
        <v>13</v>
      </c>
      <c r="Z34" s="6"/>
      <c r="AA34" s="6"/>
      <c r="AB34" s="6"/>
      <c r="AC34" s="6"/>
      <c r="AD34" s="6"/>
    </row>
    <row r="35" spans="19:30">
      <c r="S35" s="6"/>
      <c r="T35" s="6" t="s">
        <v>15</v>
      </c>
      <c r="U35" s="6"/>
      <c r="V35" s="6">
        <f>60/C11</f>
        <v>1</v>
      </c>
      <c r="W35" s="6"/>
      <c r="X35" s="6">
        <f>60/C11</f>
        <v>1</v>
      </c>
      <c r="Y35" s="6"/>
      <c r="Z35" s="6"/>
      <c r="AA35" s="6"/>
      <c r="AB35" s="6"/>
      <c r="AC35" s="6"/>
      <c r="AD35" s="6"/>
    </row>
    <row r="36" spans="19:30">
      <c r="S36" s="5" t="s">
        <v>17</v>
      </c>
      <c r="T36" s="6"/>
      <c r="U36" s="6"/>
      <c r="V36" s="6">
        <f>V34*V35</f>
        <v>-4.7456124541558786E-2</v>
      </c>
      <c r="W36" s="6" t="s">
        <v>12</v>
      </c>
      <c r="X36" s="6">
        <f>X34*X35</f>
        <v>-3.8953096434652972</v>
      </c>
      <c r="Y36" s="6" t="s">
        <v>13</v>
      </c>
      <c r="Z36" s="6"/>
      <c r="AA36" s="6"/>
      <c r="AB36" s="6"/>
      <c r="AC36" s="6"/>
      <c r="AD36" s="6"/>
    </row>
    <row r="37" spans="19:30">
      <c r="S37" s="6"/>
      <c r="T37" s="6"/>
      <c r="U37" s="6"/>
      <c r="V37" s="6">
        <f>SQRT(V36*V36+X36*X36)</f>
        <v>3.8955987090857094</v>
      </c>
      <c r="W37" s="6"/>
      <c r="X37" s="6">
        <f>ATAN(X36/V36)</f>
        <v>1.5586140406001234</v>
      </c>
      <c r="Y37" s="6" t="s">
        <v>19</v>
      </c>
      <c r="Z37" s="6">
        <f>IF(X37*360/(2*PI())&lt;0,(X37*360/(2*PI()))+360,X37*360/(2*PI()))</f>
        <v>89.302006416219001</v>
      </c>
      <c r="AA37" s="6" t="s">
        <v>3</v>
      </c>
      <c r="AB37" s="6"/>
      <c r="AC37" s="6"/>
      <c r="AD37" s="6"/>
    </row>
    <row r="38" spans="19:30">
      <c r="S38" s="5" t="s">
        <v>16</v>
      </c>
      <c r="T38" s="6"/>
      <c r="U38" s="6"/>
      <c r="V38" s="6">
        <f>V26+V36</f>
        <v>3.9525438754584412</v>
      </c>
      <c r="W38" s="6" t="s">
        <v>12</v>
      </c>
      <c r="X38" s="6">
        <f>X26+X36</f>
        <v>-3.8953096434652972</v>
      </c>
      <c r="Y38" s="6" t="s">
        <v>13</v>
      </c>
      <c r="Z38" s="6"/>
      <c r="AA38" s="6"/>
      <c r="AB38" s="6"/>
      <c r="AC38" s="6"/>
      <c r="AD38" s="6"/>
    </row>
    <row r="39" spans="19:30">
      <c r="S39" s="6"/>
      <c r="T39" s="6" t="s">
        <v>18</v>
      </c>
      <c r="U39" s="6"/>
      <c r="V39" s="6">
        <f>ATAN(X38/V38)</f>
        <v>-0.77810531355367563</v>
      </c>
      <c r="W39" s="6" t="s">
        <v>19</v>
      </c>
      <c r="X39" s="6">
        <f>V39*360/(2*PI())</f>
        <v>-44.582150483329187</v>
      </c>
      <c r="Y39" s="6"/>
      <c r="Z39" s="6"/>
      <c r="AA39" s="6"/>
      <c r="AB39" s="6"/>
      <c r="AC39" s="6"/>
      <c r="AD39" s="6"/>
    </row>
    <row r="40" spans="19:30" ht="18.600000000000001" thickBot="1">
      <c r="S40" s="6"/>
      <c r="T40" s="6" t="s">
        <v>20</v>
      </c>
      <c r="U40" s="6"/>
      <c r="V40" s="6">
        <f>SQRT(V38*V38+X38*X38)</f>
        <v>5.5494180150622796</v>
      </c>
      <c r="W40" s="6" t="s">
        <v>20</v>
      </c>
      <c r="X40" s="6">
        <f>IF(X39&lt;0,360+X39,X39)</f>
        <v>315.4178495166708</v>
      </c>
      <c r="Y40" s="6" t="s">
        <v>21</v>
      </c>
      <c r="Z40" s="6"/>
      <c r="AA40" s="6"/>
      <c r="AB40" s="6"/>
      <c r="AC40" s="6"/>
      <c r="AD40" s="6"/>
    </row>
    <row r="41" spans="19:30" ht="19.2" thickTop="1" thickBot="1">
      <c r="S41" s="2">
        <f>C2</f>
        <v>4</v>
      </c>
      <c r="T41" s="1" t="s">
        <v>1</v>
      </c>
      <c r="U41" s="1" t="s">
        <v>2</v>
      </c>
      <c r="V41" s="2">
        <f>F2</f>
        <v>0</v>
      </c>
      <c r="W41" s="1" t="s">
        <v>3</v>
      </c>
      <c r="X41" s="1"/>
      <c r="Y41" s="1" t="s">
        <v>41</v>
      </c>
      <c r="Z41" s="1"/>
      <c r="AA41" s="1"/>
      <c r="AB41" s="1"/>
      <c r="AC41" s="1"/>
      <c r="AD41" s="1"/>
    </row>
    <row r="42" spans="19:30" ht="19.2" thickTop="1" thickBot="1">
      <c r="S42" s="1"/>
      <c r="T42" s="1"/>
      <c r="U42" s="1"/>
      <c r="V42" s="1"/>
      <c r="W42" s="1"/>
      <c r="X42" s="1"/>
      <c r="Y42" s="3">
        <f>V61</f>
        <v>5.6174138443382189</v>
      </c>
      <c r="Z42" s="4" t="s">
        <v>1</v>
      </c>
      <c r="AA42" s="3">
        <f>X61</f>
        <v>316.09738666739065</v>
      </c>
      <c r="AB42" s="4" t="s">
        <v>3</v>
      </c>
      <c r="AC42" s="1"/>
      <c r="AD42" s="1"/>
    </row>
    <row r="43" spans="19:30" ht="18.600000000000001" thickTop="1"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9:30"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9:30">
      <c r="S45" s="5" t="s">
        <v>42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9:30">
      <c r="S46" s="6"/>
      <c r="T46" s="6" t="s">
        <v>5</v>
      </c>
      <c r="U46" s="6"/>
      <c r="V46" s="6">
        <f>(V41*2*PI())/360</f>
        <v>0</v>
      </c>
      <c r="W46" s="6" t="s">
        <v>6</v>
      </c>
      <c r="X46" s="6"/>
      <c r="Y46" s="6"/>
      <c r="Z46" s="6"/>
      <c r="AA46" s="6"/>
      <c r="AB46" s="6"/>
      <c r="AC46" s="6"/>
      <c r="AD46" s="6"/>
    </row>
    <row r="47" spans="19:30">
      <c r="S47" s="6"/>
      <c r="T47" s="6" t="s">
        <v>8</v>
      </c>
      <c r="U47" s="6"/>
      <c r="V47" s="6">
        <f>S41*COS(V46)</f>
        <v>4</v>
      </c>
      <c r="W47" s="6"/>
      <c r="X47" s="6">
        <f>S41*SIN(V46)</f>
        <v>0</v>
      </c>
      <c r="Y47" s="6"/>
      <c r="Z47" s="6"/>
      <c r="AA47" s="6"/>
      <c r="AB47" s="6"/>
      <c r="AC47" s="6"/>
      <c r="AD47" s="6"/>
    </row>
    <row r="48" spans="19:30"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19:30">
      <c r="S49" s="5" t="s">
        <v>23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19:30">
      <c r="S50" s="6"/>
      <c r="T50" s="6" t="s">
        <v>7</v>
      </c>
      <c r="U50" s="6"/>
      <c r="V50" s="6">
        <f>F13*2*PI()/360</f>
        <v>2.4870941840919198</v>
      </c>
      <c r="W50" s="6"/>
      <c r="X50" s="6"/>
      <c r="Y50" s="6"/>
      <c r="Z50" s="6"/>
      <c r="AA50" s="6"/>
      <c r="AB50" s="6"/>
      <c r="AC50" s="6"/>
      <c r="AD50" s="6"/>
    </row>
    <row r="51" spans="19:30">
      <c r="S51" s="6"/>
      <c r="T51" s="6" t="s">
        <v>9</v>
      </c>
      <c r="U51" s="6"/>
      <c r="V51" s="6">
        <f>C13*COS(V50)</f>
        <v>-7.7748627348541062</v>
      </c>
      <c r="W51" s="6" t="s">
        <v>12</v>
      </c>
      <c r="X51" s="6">
        <f>C13*SIN(V50)</f>
        <v>5.9658620042854604</v>
      </c>
      <c r="Y51" s="6" t="s">
        <v>13</v>
      </c>
      <c r="Z51" s="6"/>
      <c r="AA51" s="6"/>
      <c r="AB51" s="6"/>
      <c r="AC51" s="6"/>
      <c r="AD51" s="6"/>
    </row>
    <row r="52" spans="19:30"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9:30">
      <c r="S53" s="6"/>
      <c r="T53" s="6" t="s">
        <v>10</v>
      </c>
      <c r="U53" s="6"/>
      <c r="V53" s="6">
        <f>F14*2*PI()/360</f>
        <v>2.8797932657906435</v>
      </c>
      <c r="W53" s="6"/>
      <c r="X53" s="6"/>
      <c r="Y53" s="6"/>
      <c r="Z53" s="6"/>
      <c r="AA53" s="6"/>
      <c r="AB53" s="6"/>
      <c r="AC53" s="6"/>
      <c r="AD53" s="6"/>
    </row>
    <row r="54" spans="19:30">
      <c r="S54" s="6"/>
      <c r="T54" s="6" t="s">
        <v>11</v>
      </c>
      <c r="U54" s="6"/>
      <c r="V54" s="6">
        <f>C14*COS(V53)</f>
        <v>-7.7274066103125456</v>
      </c>
      <c r="W54" s="6" t="s">
        <v>12</v>
      </c>
      <c r="X54" s="6">
        <f>C14*SIN(V53)</f>
        <v>2.0705523608201681</v>
      </c>
      <c r="Y54" s="6" t="s">
        <v>13</v>
      </c>
      <c r="Z54" s="6"/>
      <c r="AA54" s="6"/>
      <c r="AB54" s="6"/>
      <c r="AC54" s="6"/>
      <c r="AD54" s="6"/>
    </row>
    <row r="55" spans="19:30">
      <c r="S55" s="6"/>
      <c r="T55" s="6" t="s">
        <v>14</v>
      </c>
      <c r="U55" s="6"/>
      <c r="V55" s="6">
        <f>V54-V51</f>
        <v>4.7456124541560563E-2</v>
      </c>
      <c r="W55" s="6" t="s">
        <v>12</v>
      </c>
      <c r="X55" s="6">
        <f>X54-X51</f>
        <v>-3.8953096434652923</v>
      </c>
      <c r="Y55" s="6" t="s">
        <v>13</v>
      </c>
      <c r="Z55" s="6"/>
      <c r="AA55" s="6"/>
      <c r="AB55" s="6"/>
      <c r="AC55" s="6"/>
      <c r="AD55" s="6"/>
    </row>
    <row r="56" spans="19:30">
      <c r="S56" s="6"/>
      <c r="T56" s="6" t="s">
        <v>15</v>
      </c>
      <c r="U56" s="6"/>
      <c r="V56" s="6">
        <f>60/C15</f>
        <v>1</v>
      </c>
      <c r="W56" s="6"/>
      <c r="X56" s="6">
        <f>60/C15</f>
        <v>1</v>
      </c>
      <c r="Y56" s="6"/>
      <c r="Z56" s="6"/>
      <c r="AA56" s="6"/>
      <c r="AB56" s="6"/>
      <c r="AC56" s="6"/>
      <c r="AD56" s="6"/>
    </row>
    <row r="57" spans="19:30">
      <c r="S57" s="5" t="s">
        <v>17</v>
      </c>
      <c r="T57" s="6"/>
      <c r="U57" s="6"/>
      <c r="V57" s="6">
        <f>V55*V56</f>
        <v>4.7456124541560563E-2</v>
      </c>
      <c r="W57" s="6" t="s">
        <v>12</v>
      </c>
      <c r="X57" s="6">
        <f>X55*X56</f>
        <v>-3.8953096434652923</v>
      </c>
      <c r="Y57" s="6" t="s">
        <v>13</v>
      </c>
      <c r="Z57" s="6"/>
      <c r="AA57" s="6"/>
      <c r="AB57" s="6"/>
      <c r="AC57" s="6"/>
      <c r="AD57" s="6"/>
    </row>
    <row r="58" spans="19:30">
      <c r="S58" s="6"/>
      <c r="T58" s="6"/>
      <c r="U58" s="6"/>
      <c r="V58" s="6">
        <f>SQRT(V57*V57+X57*X57)</f>
        <v>3.8955987090857045</v>
      </c>
      <c r="W58" s="6"/>
      <c r="X58" s="6">
        <f>ATAN(X57/V57)</f>
        <v>-1.558614040600123</v>
      </c>
      <c r="Y58" s="6" t="s">
        <v>19</v>
      </c>
      <c r="Z58" s="6">
        <f>IF(X58*360/(2*PI())&lt;0,(X58*360/(2*PI()))+360,X58*360/(2*PI()))</f>
        <v>270.697993583781</v>
      </c>
      <c r="AA58" s="6" t="s">
        <v>3</v>
      </c>
      <c r="AB58" s="6"/>
      <c r="AC58" s="6"/>
      <c r="AD58" s="6"/>
    </row>
    <row r="59" spans="19:30">
      <c r="S59" s="5" t="s">
        <v>16</v>
      </c>
      <c r="T59" s="6"/>
      <c r="U59" s="6"/>
      <c r="V59" s="6">
        <f>V47+V57</f>
        <v>4.0474561245415606</v>
      </c>
      <c r="W59" s="6" t="s">
        <v>12</v>
      </c>
      <c r="X59" s="6">
        <f>X47+X57</f>
        <v>-3.8953096434652923</v>
      </c>
      <c r="Y59" s="6" t="s">
        <v>13</v>
      </c>
      <c r="Z59" s="6"/>
      <c r="AA59" s="6"/>
      <c r="AB59" s="6"/>
      <c r="AC59" s="6"/>
      <c r="AD59" s="6"/>
    </row>
    <row r="60" spans="19:30">
      <c r="S60" s="6"/>
      <c r="T60" s="6" t="s">
        <v>18</v>
      </c>
      <c r="U60" s="6"/>
      <c r="V60" s="6">
        <f>ATAN(X59/V59)</f>
        <v>-0.76624515288399397</v>
      </c>
      <c r="W60" s="6" t="s">
        <v>19</v>
      </c>
      <c r="X60" s="6">
        <f>V60*360/(2*PI())</f>
        <v>-43.90261333260937</v>
      </c>
      <c r="Y60" s="6"/>
      <c r="Z60" s="6"/>
      <c r="AA60" s="6"/>
      <c r="AB60" s="6"/>
      <c r="AC60" s="6"/>
      <c r="AD60" s="6"/>
    </row>
    <row r="61" spans="19:30">
      <c r="S61" s="6"/>
      <c r="T61" s="6" t="s">
        <v>20</v>
      </c>
      <c r="U61" s="6"/>
      <c r="V61" s="6">
        <f>SQRT(V59*V59+X59*X59)</f>
        <v>5.6174138443382189</v>
      </c>
      <c r="W61" s="6" t="s">
        <v>20</v>
      </c>
      <c r="X61" s="6">
        <f>IF(X60&lt;0,360+X60,X60)</f>
        <v>316.09738666739065</v>
      </c>
      <c r="Y61" s="6" t="s">
        <v>21</v>
      </c>
      <c r="Z61" s="6"/>
      <c r="AA61" s="6"/>
      <c r="AB61" s="6"/>
      <c r="AC61" s="6"/>
      <c r="AD61" s="6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workbookViewId="0">
      <selection activeCell="G17" sqref="G17"/>
    </sheetView>
  </sheetViews>
  <sheetFormatPr defaultRowHeight="14.4"/>
  <cols>
    <col min="1" max="1" width="13.5546875" customWidth="1"/>
    <col min="4" max="4" width="13.44140625" customWidth="1"/>
    <col min="6" max="6" width="12.44140625" customWidth="1"/>
  </cols>
  <sheetData>
    <row r="1" spans="1:10" ht="32.4" thickTop="1" thickBot="1">
      <c r="A1" s="142" t="s">
        <v>53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5" thickTop="1">
      <c r="A2" s="105"/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5.6">
      <c r="A3" s="113"/>
      <c r="B3" s="112" t="s">
        <v>3</v>
      </c>
      <c r="C3" s="112" t="s">
        <v>4</v>
      </c>
      <c r="D3" s="108" t="s">
        <v>3</v>
      </c>
      <c r="E3" s="108" t="s">
        <v>19</v>
      </c>
      <c r="F3" s="102"/>
      <c r="G3" s="104" t="s">
        <v>3</v>
      </c>
      <c r="H3" s="104" t="s">
        <v>4</v>
      </c>
      <c r="I3" s="108" t="s">
        <v>3</v>
      </c>
      <c r="J3" s="109" t="s">
        <v>19</v>
      </c>
    </row>
    <row r="4" spans="1:10" ht="18">
      <c r="A4" s="114" t="s">
        <v>55</v>
      </c>
      <c r="B4" s="124">
        <v>45</v>
      </c>
      <c r="C4" s="124">
        <v>0</v>
      </c>
      <c r="D4" s="110">
        <f>C4/60+B4</f>
        <v>45</v>
      </c>
      <c r="E4" s="110">
        <f>D4/(360/(2*PI()))</f>
        <v>0.78539816339744828</v>
      </c>
      <c r="F4" s="115" t="s">
        <v>45</v>
      </c>
      <c r="G4" s="124">
        <v>114</v>
      </c>
      <c r="H4" s="124">
        <v>0</v>
      </c>
      <c r="I4" s="110">
        <f>H4/60+G4</f>
        <v>114</v>
      </c>
      <c r="J4" s="111">
        <f>I4/(360/(2*PI()))</f>
        <v>1.9896753472735356</v>
      </c>
    </row>
    <row r="5" spans="1:10" ht="18">
      <c r="A5" s="114" t="s">
        <v>56</v>
      </c>
      <c r="B5" s="124">
        <v>45</v>
      </c>
      <c r="C5" s="124">
        <v>0</v>
      </c>
      <c r="D5" s="110">
        <f>C5/60+B5</f>
        <v>45</v>
      </c>
      <c r="E5" s="110">
        <f>D5/(360/(2*PI()))</f>
        <v>0.78539816339744828</v>
      </c>
      <c r="F5" s="115" t="s">
        <v>46</v>
      </c>
      <c r="G5" s="124">
        <v>115</v>
      </c>
      <c r="H5" s="124">
        <v>0</v>
      </c>
      <c r="I5" s="110">
        <f>H5/60+G5</f>
        <v>115</v>
      </c>
      <c r="J5" s="111">
        <f>I5/(360/(2*PI()))</f>
        <v>2.0071286397934789</v>
      </c>
    </row>
    <row r="6" spans="1:10">
      <c r="A6" s="101"/>
      <c r="B6" s="102"/>
      <c r="C6" s="102"/>
      <c r="D6" s="102"/>
      <c r="E6" s="102"/>
      <c r="F6" s="102"/>
      <c r="G6" s="102"/>
      <c r="H6" s="102"/>
      <c r="I6" s="102"/>
      <c r="J6" s="99"/>
    </row>
    <row r="7" spans="1:10" ht="21">
      <c r="A7" s="118" t="s">
        <v>25</v>
      </c>
      <c r="B7" s="119">
        <f>ACOS(SIN(E4)*SIN(E5)+COS(E4)*COS(E5)*COS(J5-J4))*6371</f>
        <v>78.626187676866394</v>
      </c>
      <c r="C7" s="120" t="s">
        <v>47</v>
      </c>
      <c r="D7" s="121" t="s">
        <v>33</v>
      </c>
      <c r="E7" s="119">
        <f>IF(ATAN2(COS(E4)*SIN(E5)-SIN(E4)*COS(E5)*COS(J5-J4), SIN(J5-J4)*COS(J5))&lt;0, ATAN2(COS(E4)*SIN(E5)-SIN(E4)*COS(E5)*COS(J5-J4), SIN(J5-J4)*COS(J5))+2*PI(), ATAN2(COS(E4)*SIN(E5)-SIN(E4)*COS(E5)*COS(J5-J4), SIN(J5-J4)*COS(J5)))</f>
        <v>4.7227133777234913</v>
      </c>
      <c r="F7" s="120" t="s">
        <v>48</v>
      </c>
      <c r="G7" s="103"/>
      <c r="H7" s="103"/>
      <c r="I7" s="102"/>
      <c r="J7" s="99"/>
    </row>
    <row r="8" spans="1:10" ht="21">
      <c r="A8" s="122"/>
      <c r="B8" s="119">
        <f>B7/1.85</f>
        <v>42.500641987495349</v>
      </c>
      <c r="C8" s="120" t="s">
        <v>26</v>
      </c>
      <c r="D8" s="123"/>
      <c r="E8" s="119">
        <f>IF(((360/(2*PI()))*E7)&lt;0,((360/(2*PI()))*E7)+360, ((360/(2*PI()))*E7))</f>
        <v>270.59154439352943</v>
      </c>
      <c r="F8" s="120" t="s">
        <v>3</v>
      </c>
      <c r="G8" s="102"/>
      <c r="H8" s="103"/>
      <c r="I8" s="102"/>
      <c r="J8" s="99"/>
    </row>
    <row r="9" spans="1:10" ht="21.6" thickBot="1">
      <c r="A9" s="122"/>
      <c r="B9" s="123"/>
      <c r="C9" s="123"/>
      <c r="D9" s="123"/>
      <c r="E9" s="123"/>
      <c r="F9" s="123"/>
      <c r="G9" s="102"/>
      <c r="H9" s="102"/>
      <c r="I9" s="102"/>
      <c r="J9" s="99"/>
    </row>
    <row r="10" spans="1:10" ht="27" thickTop="1" thickBot="1">
      <c r="A10" s="145" t="s">
        <v>54</v>
      </c>
      <c r="B10" s="146"/>
      <c r="C10" s="146"/>
      <c r="D10" s="146"/>
      <c r="E10" s="146"/>
      <c r="F10" s="146"/>
      <c r="G10" s="146"/>
      <c r="H10" s="146"/>
      <c r="I10" s="146"/>
      <c r="J10" s="147"/>
    </row>
    <row r="11" spans="1:10" ht="15" thickTop="1">
      <c r="A11" s="101"/>
      <c r="B11" s="102"/>
      <c r="C11" s="102"/>
      <c r="D11" s="102"/>
      <c r="E11" s="102"/>
      <c r="F11" s="102"/>
      <c r="G11" s="102"/>
      <c r="H11" s="102"/>
      <c r="I11" s="102"/>
      <c r="J11" s="99"/>
    </row>
    <row r="12" spans="1:10" ht="18">
      <c r="A12" s="114" t="s">
        <v>49</v>
      </c>
      <c r="B12" s="115" t="s">
        <v>3</v>
      </c>
      <c r="C12" s="115" t="s">
        <v>4</v>
      </c>
      <c r="D12" s="115" t="s">
        <v>50</v>
      </c>
      <c r="E12" s="115"/>
      <c r="F12" s="115"/>
      <c r="G12" s="115" t="s">
        <v>3</v>
      </c>
      <c r="H12" s="115" t="s">
        <v>4</v>
      </c>
      <c r="I12" s="115" t="s">
        <v>50</v>
      </c>
      <c r="J12" s="99"/>
    </row>
    <row r="13" spans="1:10" ht="18">
      <c r="A13" s="114" t="s">
        <v>51</v>
      </c>
      <c r="B13" s="124">
        <v>45</v>
      </c>
      <c r="C13" s="124">
        <v>59</v>
      </c>
      <c r="D13" s="124">
        <v>59</v>
      </c>
      <c r="E13" s="117"/>
      <c r="F13" s="115" t="s">
        <v>52</v>
      </c>
      <c r="G13" s="124">
        <v>114</v>
      </c>
      <c r="H13" s="124">
        <v>10</v>
      </c>
      <c r="I13" s="124">
        <v>33</v>
      </c>
      <c r="J13" s="99"/>
    </row>
    <row r="14" spans="1:10" ht="18">
      <c r="A14" s="116"/>
      <c r="B14" s="115" t="s">
        <v>3</v>
      </c>
      <c r="C14" s="115" t="s">
        <v>4</v>
      </c>
      <c r="D14" s="117"/>
      <c r="E14" s="117"/>
      <c r="F14" s="117"/>
      <c r="G14" s="115" t="s">
        <v>3</v>
      </c>
      <c r="H14" s="115" t="s">
        <v>4</v>
      </c>
      <c r="I14" s="117"/>
      <c r="J14" s="99"/>
    </row>
    <row r="15" spans="1:10" ht="18">
      <c r="A15" s="116"/>
      <c r="B15" s="125">
        <f>B13</f>
        <v>45</v>
      </c>
      <c r="C15" s="125">
        <f>C13+D13/60</f>
        <v>59.983333333333334</v>
      </c>
      <c r="D15" s="117"/>
      <c r="E15" s="117"/>
      <c r="F15" s="117"/>
      <c r="G15" s="125">
        <f>G13</f>
        <v>114</v>
      </c>
      <c r="H15" s="125">
        <f>H13+I13/60</f>
        <v>10.55</v>
      </c>
      <c r="I15" s="117"/>
      <c r="J15" s="99"/>
    </row>
    <row r="16" spans="1:10" ht="18">
      <c r="A16" s="116"/>
      <c r="B16" s="115" t="s">
        <v>3</v>
      </c>
      <c r="C16" s="117"/>
      <c r="D16" s="117"/>
      <c r="E16" s="117"/>
      <c r="F16" s="117"/>
      <c r="G16" s="115" t="s">
        <v>3</v>
      </c>
      <c r="H16" s="117"/>
      <c r="I16" s="117"/>
      <c r="J16" s="99"/>
    </row>
    <row r="17" spans="1:10" ht="18.600000000000001" thickBot="1">
      <c r="A17" s="126"/>
      <c r="B17" s="127">
        <f>B15+C15/60</f>
        <v>45.999722222222225</v>
      </c>
      <c r="C17" s="128"/>
      <c r="D17" s="128"/>
      <c r="E17" s="128"/>
      <c r="F17" s="128"/>
      <c r="G17" s="127">
        <f>G15+H15/60</f>
        <v>114.17583333333333</v>
      </c>
      <c r="H17" s="128"/>
      <c r="I17" s="128"/>
      <c r="J17" s="100"/>
    </row>
    <row r="18" spans="1:10" ht="15" thickTop="1"/>
  </sheetData>
  <mergeCells count="2">
    <mergeCell ref="A1:J1"/>
    <mergeCell ref="A10:J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"/>
  <sheetViews>
    <sheetView workbookViewId="0">
      <selection activeCell="J7" sqref="J7"/>
    </sheetView>
  </sheetViews>
  <sheetFormatPr defaultRowHeight="14.4"/>
  <cols>
    <col min="4" max="4" width="42" customWidth="1"/>
    <col min="5" max="5" width="9.5546875" bestFit="1" customWidth="1"/>
  </cols>
  <sheetData>
    <row r="1" spans="1:8" ht="15" thickBot="1"/>
    <row r="2" spans="1:8" ht="18" thickTop="1">
      <c r="A2" s="129" t="s">
        <v>59</v>
      </c>
      <c r="B2" s="130"/>
      <c r="C2" s="130"/>
      <c r="D2" s="130"/>
      <c r="E2" s="131" t="s">
        <v>63</v>
      </c>
      <c r="F2" s="130"/>
      <c r="G2" s="130"/>
      <c r="H2" s="19"/>
    </row>
    <row r="3" spans="1:8" ht="15" thickBot="1">
      <c r="A3" s="132"/>
      <c r="B3" s="1"/>
      <c r="C3" s="1"/>
      <c r="D3" s="1"/>
      <c r="E3" s="1"/>
      <c r="F3" s="1"/>
      <c r="G3" s="1"/>
      <c r="H3" s="90"/>
    </row>
    <row r="4" spans="1:8" ht="15.6" thickTop="1" thickBot="1">
      <c r="A4" s="132" t="s">
        <v>57</v>
      </c>
      <c r="B4" s="137">
        <v>22</v>
      </c>
      <c r="C4" s="1"/>
      <c r="D4" s="133" t="s">
        <v>58</v>
      </c>
      <c r="E4" s="137">
        <v>17</v>
      </c>
      <c r="F4" s="1"/>
      <c r="G4" s="1"/>
      <c r="H4" s="90"/>
    </row>
    <row r="5" spans="1:8" ht="15.6" thickTop="1" thickBot="1">
      <c r="A5" s="140" t="s">
        <v>62</v>
      </c>
      <c r="B5" s="141">
        <f>B4*2*PI()/360</f>
        <v>0.38397243543875248</v>
      </c>
      <c r="C5" s="1"/>
      <c r="D5" s="133" t="s">
        <v>60</v>
      </c>
      <c r="E5" s="137">
        <v>30</v>
      </c>
      <c r="F5" s="1"/>
      <c r="G5" s="1"/>
      <c r="H5" s="90"/>
    </row>
    <row r="6" spans="1:8" ht="15" thickTop="1">
      <c r="A6" s="132"/>
      <c r="B6" s="1"/>
      <c r="C6" s="1"/>
      <c r="D6" s="1"/>
      <c r="E6" s="1"/>
      <c r="F6" s="1"/>
      <c r="G6" s="1"/>
      <c r="H6" s="90"/>
    </row>
    <row r="7" spans="1:8" ht="15" thickBot="1">
      <c r="A7" s="132"/>
      <c r="B7" s="1"/>
      <c r="C7" s="1"/>
      <c r="D7" s="1"/>
      <c r="E7" s="1"/>
      <c r="F7" s="1"/>
      <c r="G7" s="1"/>
      <c r="H7" s="90"/>
    </row>
    <row r="8" spans="1:8" ht="24.6" thickTop="1" thickBot="1">
      <c r="A8" s="132"/>
      <c r="B8" s="1"/>
      <c r="C8" s="1"/>
      <c r="D8" s="139" t="s">
        <v>61</v>
      </c>
      <c r="E8" s="138">
        <f>6.8*((4/E4)*(E5/10))/SIN(B5)</f>
        <v>12.81344238025927</v>
      </c>
      <c r="F8" s="1"/>
      <c r="G8" s="1"/>
      <c r="H8" s="90"/>
    </row>
    <row r="9" spans="1:8" ht="15.6" thickTop="1" thickBot="1">
      <c r="A9" s="134"/>
      <c r="B9" s="135"/>
      <c r="C9" s="135"/>
      <c r="D9" s="135"/>
      <c r="E9" s="135"/>
      <c r="F9" s="135"/>
      <c r="G9" s="135"/>
      <c r="H9" s="136"/>
    </row>
    <row r="10" spans="1:8" ht="15" thickTop="1"/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True Coarse</vt:lpstr>
      <vt:lpstr>Distance L&amp;L</vt:lpstr>
      <vt:lpstr>Wind Speed</vt:lpstr>
      <vt:lpstr>Calculator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Boat Calculations</dc:title>
  <dc:subject>True Course &amp; Speed-wind</dc:subject>
  <dc:creator>Terry Sparks</dc:creator>
  <cp:lastModifiedBy>Terry Sparks </cp:lastModifiedBy>
  <dcterms:created xsi:type="dcterms:W3CDTF">2009-04-16T17:08:22Z</dcterms:created>
  <dcterms:modified xsi:type="dcterms:W3CDTF">2023-07-14T23:40:05Z</dcterms:modified>
</cp:coreProperties>
</file>