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tacccd\Desktop\Tulip Thistle Accountancy\Content Blog\"/>
    </mc:Choice>
  </mc:AlternateContent>
  <workbookProtection workbookAlgorithmName="SHA-512" workbookHashValue="1JVEW5/AATULRMaE6hTUGFl0DddIPpJgku4mlmUpxvH8AHekkm0Jirq6cJCOoBn5mR0IhAhgwPsMkrjKvzAR8g==" workbookSaltValue="XUdr2I3pIiZ3nrJpyNkQPQ==" workbookSpinCount="100000" lockStructure="1"/>
  <bookViews>
    <workbookView xWindow="0" yWindow="0" windowWidth="23040" windowHeight="9048" xr2:uid="{F2453C8C-39B1-4986-BA04-6ADD1CBC9149}"/>
  </bookViews>
  <sheets>
    <sheet name="Sheet1" sheetId="1" r:id="rId1"/>
  </sheets>
  <definedNames>
    <definedName name="_xlnm.Print_Area" localSheetId="0">Sheet1!$A$1:$M$43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F17" i="1"/>
  <c r="F24" i="1" s="1"/>
  <c r="E17" i="1"/>
  <c r="E24" i="1" s="1"/>
  <c r="D17" i="1"/>
  <c r="D24" i="1" s="1"/>
  <c r="E22" i="1"/>
  <c r="F22" i="1"/>
  <c r="H24" i="1" l="1"/>
  <c r="I24" i="1"/>
  <c r="F9" i="1"/>
  <c r="F7" i="1"/>
  <c r="K9" i="1" s="1"/>
  <c r="E7" i="1"/>
  <c r="K11" i="1" l="1"/>
  <c r="I10" i="1"/>
  <c r="D9" i="1"/>
  <c r="I13" i="1"/>
  <c r="H13" i="1"/>
  <c r="I9" i="1"/>
  <c r="D7" i="1"/>
  <c r="K15" i="1" l="1"/>
  <c r="F23" i="1" s="1"/>
  <c r="F26" i="1" s="1"/>
  <c r="H9" i="1"/>
  <c r="H11" i="1"/>
  <c r="I11" i="1"/>
  <c r="I8" i="1"/>
  <c r="H15" i="1" l="1"/>
  <c r="D23" i="1" s="1"/>
  <c r="D26" i="1" s="1"/>
  <c r="I15" i="1"/>
  <c r="E23" i="1" s="1"/>
  <c r="E26" i="1" l="1"/>
  <c r="H23" i="1"/>
  <c r="I23" i="1"/>
  <c r="I16" i="1"/>
  <c r="K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ttacccd</author>
  </authors>
  <commentList>
    <comment ref="I24" authorId="0" shapeId="0" xr:uid="{74673642-0DCD-4BDC-AFF9-F41EC52FAD0E}">
      <text>
        <r>
          <rPr>
            <b/>
            <sz val="9"/>
            <color indexed="81"/>
            <rFont val="Tahoma"/>
            <family val="2"/>
          </rPr>
          <t>Tulip Thistle Accountancy</t>
        </r>
        <r>
          <rPr>
            <sz val="9"/>
            <color indexed="81"/>
            <rFont val="Tahoma"/>
            <family val="2"/>
          </rPr>
          <t xml:space="preserve">
National Insurance Contributions are the same in the whole of the UK</t>
        </r>
      </text>
    </comment>
  </commentList>
</comments>
</file>

<file path=xl/sharedStrings.xml><?xml version="1.0" encoding="utf-8"?>
<sst xmlns="http://schemas.openxmlformats.org/spreadsheetml/2006/main" count="54" uniqueCount="46">
  <si>
    <t>2017/2018</t>
  </si>
  <si>
    <t>2018/2019</t>
  </si>
  <si>
    <t>Basic Rate</t>
  </si>
  <si>
    <t>Higher Rate</t>
  </si>
  <si>
    <t>Personal Allowance</t>
  </si>
  <si>
    <t>&gt; £150,000</t>
  </si>
  <si>
    <t>£</t>
  </si>
  <si>
    <t>Tax %</t>
  </si>
  <si>
    <t>Starter Rate</t>
  </si>
  <si>
    <t>Intermediate Rate</t>
  </si>
  <si>
    <t>Tax Payable</t>
  </si>
  <si>
    <t>UK basis</t>
  </si>
  <si>
    <t>Net Take Home Pay</t>
  </si>
  <si>
    <t>Salary</t>
  </si>
  <si>
    <t>Employee National Insurance</t>
  </si>
  <si>
    <t>Take Home Pay</t>
  </si>
  <si>
    <t>Scottish Tax Payer</t>
  </si>
  <si>
    <t>rest of UK</t>
  </si>
  <si>
    <t>National Insurance</t>
  </si>
  <si>
    <t>1. This calculator assumes standard personal allowance.</t>
  </si>
  <si>
    <t>Notes</t>
  </si>
  <si>
    <t>2017/2018
(A)</t>
  </si>
  <si>
    <t>2018/2019
(B)</t>
  </si>
  <si>
    <t>2018/2019
(C)</t>
  </si>
  <si>
    <t>2. No adjustments for any specific allowances (e.g. marriage, blind person)</t>
  </si>
  <si>
    <t>2017/2018 Scottish
(B-A)</t>
  </si>
  <si>
    <t>2018/2019 rest of UK
(B-C)</t>
  </si>
  <si>
    <t>Change 18/19 Scottish vs.</t>
  </si>
  <si>
    <t>positive number = saving</t>
  </si>
  <si>
    <t>Tulip Thistle Accountancy</t>
  </si>
  <si>
    <t>Contact Tulip Thistle Accountancy:</t>
  </si>
  <si>
    <t>Telephone: 01721 613425 / 01899 642405  E-mail: accountancy@tulipthistle.co.uk  W: www.tulipthistle.co.uk</t>
  </si>
  <si>
    <t>Your Salary</t>
  </si>
  <si>
    <t>2018/2019 Scottish Draft Budget Tax Bands &amp; Rates changes:  Take Home Pay Calculator</t>
  </si>
  <si>
    <t>All number in £'s</t>
  </si>
  <si>
    <t>&lt;-------ENTER YOUR SALARY HERE &amp; PRESS "ENTER"</t>
  </si>
  <si>
    <t>Disclaimer: the information in this document is for general information purposes only. we make no representations or warranties of any kind, express or</t>
  </si>
  <si>
    <t>implied, about the completeness, accuracy, reliability, suitability with respect to it. Any reliance you place on this information is strictly at your own risk.</t>
  </si>
  <si>
    <t>How to use the tool?</t>
  </si>
  <si>
    <t>1. In the Yellow cell, input the Salary you want to calculate take-home pay for. Press "ENTER"/"RETURN" key and the calculator will update.</t>
  </si>
  <si>
    <t>4. Calculator is for use by Employees only</t>
  </si>
  <si>
    <t>2. Interpretation Example: a person taxable in Scotland with a salary of £30,000,  will pay £30 less (a positive/"black" number means a saving) than they would have</t>
  </si>
  <si>
    <t>done during 2017/2018, and will have to pay £40 more (a negative/"red" number means additional tax to pay), than if they lived in the rest of the UK.</t>
  </si>
  <si>
    <t>3. No adjustment for any other factors (salary sacrifice, pension contributions, student loans, taxable benefits etc.)</t>
  </si>
  <si>
    <t>Additional Rate - 45%</t>
  </si>
  <si>
    <t>Additional Rate - 46%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</si>
</sst>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(#,##0.00\)"/>
    <numFmt numFmtId="165" formatCode="#,##0;[Red]\(#,##0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25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5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165" fontId="0" fillId="0" borderId="0" xfId="0" applyNumberFormat="1" applyProtection="1"/>
    <xf numFmtId="9" fontId="0" fillId="0" borderId="0" xfId="0" applyNumberFormat="1" applyProtection="1"/>
    <xf numFmtId="164" fontId="0" fillId="0" borderId="0" xfId="0" applyNumberFormat="1" applyProtection="1"/>
    <xf numFmtId="165" fontId="0" fillId="0" borderId="0" xfId="0" applyNumberFormat="1" applyAlignment="1" applyProtection="1">
      <alignment horizontal="right"/>
    </xf>
    <xf numFmtId="165" fontId="1" fillId="0" borderId="0" xfId="0" applyNumberFormat="1" applyFont="1" applyProtection="1"/>
    <xf numFmtId="0" fontId="3" fillId="0" borderId="0" xfId="0" applyFont="1" applyProtection="1"/>
    <xf numFmtId="164" fontId="3" fillId="0" borderId="1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" xfId="0" quotePrefix="1" applyFont="1" applyFill="1" applyBorder="1" applyAlignment="1" applyProtection="1">
      <alignment horizontal="center" wrapText="1"/>
    </xf>
    <xf numFmtId="165" fontId="0" fillId="0" borderId="6" xfId="0" applyNumberFormat="1" applyBorder="1" applyAlignment="1" applyProtection="1">
      <alignment horizontal="center"/>
    </xf>
    <xf numFmtId="165" fontId="0" fillId="0" borderId="2" xfId="0" applyNumberFormat="1" applyFill="1" applyBorder="1" applyAlignment="1" applyProtection="1">
      <alignment horizontal="center"/>
    </xf>
    <xf numFmtId="165" fontId="0" fillId="0" borderId="7" xfId="0" applyNumberFormat="1" applyBorder="1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/>
    </xf>
    <xf numFmtId="165" fontId="1" fillId="0" borderId="1" xfId="0" applyNumberFormat="1" applyFont="1" applyFill="1" applyBorder="1" applyAlignment="1" applyProtection="1">
      <alignment horizontal="center"/>
    </xf>
    <xf numFmtId="165" fontId="1" fillId="0" borderId="5" xfId="0" applyNumberFormat="1" applyFont="1" applyBorder="1" applyAlignment="1" applyProtection="1">
      <alignment horizontal="center"/>
    </xf>
    <xf numFmtId="0" fontId="0" fillId="0" borderId="0" xfId="0" quotePrefix="1" applyProtection="1"/>
    <xf numFmtId="165" fontId="6" fillId="2" borderId="0" xfId="0" applyNumberFormat="1" applyFont="1" applyFill="1" applyAlignment="1" applyProtection="1">
      <alignment vertical="center"/>
      <protection locked="0"/>
    </xf>
    <xf numFmtId="0" fontId="0" fillId="0" borderId="0" xfId="0" applyFont="1" applyProtection="1"/>
    <xf numFmtId="0" fontId="1" fillId="0" borderId="0" xfId="0" applyFont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3" fillId="0" borderId="10" xfId="0" quotePrefix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434340</xdr:colOff>
      <xdr:row>0</xdr:row>
      <xdr:rowOff>22860</xdr:rowOff>
    </xdr:from>
    <xdr:to>
      <xdr:col>12</xdr:col>
      <xdr:colOff>632460</xdr:colOff>
      <xdr:row>3</xdr:row>
      <xdr:rowOff>255579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E246919-726D-448D-82EF-FDBFA055A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2920" y="22860"/>
          <a:ext cx="1066800" cy="781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A7DE8-773B-46F6-AEF9-9A464BF4BACB}">
  <sheetPr>
    <pageSetUpPr fitToPage="1"/>
  </sheetPr>
  <dimension ref="A1:P44"/>
  <sheetViews>
    <sheetView showGridLines="0" tabSelected="1" workbookViewId="0">
      <selection activeCell="D4" sqref="D4"/>
    </sheetView>
  </sheetViews>
  <sheetFormatPr defaultRowHeight="14.4" outlineLevelRow="1" x14ac:dyDescent="0.3"/>
  <cols>
    <col min="1" max="1" width="2.5546875" style="2" customWidth="1"/>
    <col min="2" max="2" width="24.6640625" style="2" customWidth="1"/>
    <col min="3" max="3" width="5.77734375" style="2" bestFit="1" customWidth="1"/>
    <col min="4" max="4" width="9.88671875" style="2" customWidth="1"/>
    <col min="5" max="5" width="9.88671875" style="2" bestFit="1" customWidth="1"/>
    <col min="6" max="6" width="9.88671875" style="2" customWidth="1"/>
    <col min="7" max="7" width="8.88671875" style="2"/>
    <col min="8" max="8" width="9.88671875" style="2" bestFit="1" customWidth="1"/>
    <col min="9" max="9" width="11.77734375" style="2" customWidth="1"/>
    <col min="10" max="10" width="8.88671875" style="2"/>
    <col min="11" max="11" width="10" style="2" bestFit="1" customWidth="1"/>
    <col min="12" max="12" width="12.6640625" style="2" customWidth="1"/>
    <col min="13" max="13" width="10.109375" style="2" customWidth="1"/>
    <col min="14" max="16384" width="8.88671875" style="2"/>
  </cols>
  <sheetData>
    <row r="1" spans="1:16" x14ac:dyDescent="0.3">
      <c r="A1" s="1" t="s">
        <v>29</v>
      </c>
    </row>
    <row r="2" spans="1:16" x14ac:dyDescent="0.3">
      <c r="A2" s="3" t="s">
        <v>33</v>
      </c>
    </row>
    <row r="4" spans="1:16" ht="43.2" customHeight="1" x14ac:dyDescent="0.3">
      <c r="B4" s="4" t="s">
        <v>32</v>
      </c>
      <c r="C4" s="1"/>
      <c r="D4" s="31">
        <v>30000</v>
      </c>
      <c r="E4" s="5" t="s">
        <v>35</v>
      </c>
    </row>
    <row r="5" spans="1:16" hidden="1" outlineLevel="1" x14ac:dyDescent="0.3">
      <c r="F5" s="6" t="s">
        <v>11</v>
      </c>
      <c r="H5" s="33" t="s">
        <v>10</v>
      </c>
      <c r="I5" s="33"/>
    </row>
    <row r="6" spans="1:16" hidden="1" outlineLevel="1" x14ac:dyDescent="0.3">
      <c r="B6" s="7" t="s">
        <v>6</v>
      </c>
      <c r="C6" s="7" t="s">
        <v>7</v>
      </c>
      <c r="D6" s="8" t="s">
        <v>0</v>
      </c>
      <c r="E6" s="8" t="s">
        <v>1</v>
      </c>
      <c r="F6" s="8" t="s">
        <v>1</v>
      </c>
      <c r="H6" s="8" t="s">
        <v>0</v>
      </c>
      <c r="I6" s="8" t="s">
        <v>1</v>
      </c>
      <c r="K6" s="8" t="s">
        <v>1</v>
      </c>
    </row>
    <row r="7" spans="1:16" hidden="1" outlineLevel="1" x14ac:dyDescent="0.3">
      <c r="B7" s="2" t="s">
        <v>4</v>
      </c>
      <c r="D7" s="9">
        <f>IF(D4&lt;=100000,11500,IF(D4&gt;=100000+2*11500,0,11500-(D4-100000)/2))</f>
        <v>11500</v>
      </c>
      <c r="E7" s="9">
        <f>IF(D4&lt;=100000,11850,IF(D4&gt;=100000+2*11850,0,11850-(D4-100000)/2))</f>
        <v>11850</v>
      </c>
      <c r="F7" s="9">
        <f>IF(D4&lt;=100000,11850,IF(D4&gt;=100000+2*11850,0,11850-(D4-100000)/2))</f>
        <v>11850</v>
      </c>
    </row>
    <row r="8" spans="1:16" hidden="1" outlineLevel="1" x14ac:dyDescent="0.3">
      <c r="B8" s="2" t="s">
        <v>8</v>
      </c>
      <c r="C8" s="10">
        <v>0.19</v>
      </c>
      <c r="D8" s="9"/>
      <c r="E8" s="9">
        <v>13850</v>
      </c>
      <c r="F8" s="9"/>
      <c r="I8" s="9">
        <f>-IF(D4-E7&lt;=0,0,IF(D4-E8&gt;0,(E8-11850)*C8,(D4-E7)*C8))</f>
        <v>-380</v>
      </c>
    </row>
    <row r="9" spans="1:16" hidden="1" outlineLevel="1" x14ac:dyDescent="0.3">
      <c r="B9" s="2" t="s">
        <v>2</v>
      </c>
      <c r="C9" s="10">
        <v>0.2</v>
      </c>
      <c r="D9" s="9">
        <f>43000-11500</f>
        <v>31500</v>
      </c>
      <c r="E9" s="9">
        <v>24000</v>
      </c>
      <c r="F9" s="9">
        <f>46350-11850</f>
        <v>34500</v>
      </c>
      <c r="H9" s="9">
        <f>-IF(D4-D7&lt;=0,0,IF(D4-D9-D7&gt;0,D9*C9,(D4-D7)*C9))</f>
        <v>-3700</v>
      </c>
      <c r="I9" s="9">
        <f>-IF(D4-E8&lt;=0,0,IF(D4-E9&gt;0,(E9-E8)*C9,(D4-E8)*C9))</f>
        <v>-2030</v>
      </c>
      <c r="K9" s="9">
        <f>-IF(D4-F7&lt;=0,0,IF(D4-F9-F7&gt;0,F9*C9,(D4-F7)*C9))</f>
        <v>-3630</v>
      </c>
      <c r="N9" s="9"/>
    </row>
    <row r="10" spans="1:16" hidden="1" outlineLevel="1" x14ac:dyDescent="0.3">
      <c r="B10" s="2" t="s">
        <v>9</v>
      </c>
      <c r="C10" s="10">
        <v>0.21</v>
      </c>
      <c r="D10" s="9"/>
      <c r="E10" s="9">
        <v>44274</v>
      </c>
      <c r="F10" s="9"/>
      <c r="H10" s="9"/>
      <c r="I10" s="9">
        <f>-IF(D4-E9&lt;=0,0,IF(D4-E10&gt;0,(E10-E9)*C10,(D4-E9)*C10))</f>
        <v>-1260</v>
      </c>
      <c r="K10" s="9"/>
      <c r="N10" s="9"/>
      <c r="P10" s="9"/>
    </row>
    <row r="11" spans="1:16" hidden="1" outlineLevel="1" x14ac:dyDescent="0.3">
      <c r="B11" s="2" t="s">
        <v>3</v>
      </c>
      <c r="C11" s="10">
        <v>0.4</v>
      </c>
      <c r="D11" s="9">
        <v>150000</v>
      </c>
      <c r="F11" s="9">
        <v>150000</v>
      </c>
      <c r="H11" s="9">
        <f>-IF(D4-D9-D7&lt;0,0,IF(150000&gt;D4-D11&gt;0,(D4-D7-D9)*C11,(D11-D9)*C11))</f>
        <v>0</v>
      </c>
      <c r="I11" s="9">
        <f>-IF(D4-E10&lt;0,0,IF(150000&gt;D4-E12&gt;0,(D4-E10+11850-E7)*C12,(E12-E10)*C12))</f>
        <v>0</v>
      </c>
      <c r="K11" s="11">
        <f>-IF(D4-F9-F7&lt;0,0,IF(150000&gt;D4-F11&gt;0,(D4-F7-F9)*C11,(F11-F9)*C11))</f>
        <v>0</v>
      </c>
      <c r="N11" s="9"/>
      <c r="O11" s="9"/>
      <c r="P11" s="9"/>
    </row>
    <row r="12" spans="1:16" hidden="1" outlineLevel="1" x14ac:dyDescent="0.3">
      <c r="B12" s="2" t="s">
        <v>3</v>
      </c>
      <c r="C12" s="10">
        <v>0.41</v>
      </c>
      <c r="D12" s="9"/>
      <c r="E12" s="9">
        <v>150000</v>
      </c>
      <c r="F12" s="9"/>
      <c r="H12" s="9"/>
      <c r="I12" s="9"/>
      <c r="K12" s="11"/>
      <c r="N12" s="9"/>
      <c r="O12" s="9"/>
      <c r="P12" s="9"/>
    </row>
    <row r="13" spans="1:16" hidden="1" outlineLevel="1" x14ac:dyDescent="0.3">
      <c r="B13" s="2" t="s">
        <v>44</v>
      </c>
      <c r="C13" s="10">
        <v>0.45</v>
      </c>
      <c r="D13" s="12" t="s">
        <v>5</v>
      </c>
      <c r="E13" s="12"/>
      <c r="F13" s="12" t="s">
        <v>5</v>
      </c>
      <c r="H13" s="9">
        <f>-IF(D4&gt;D11,(D4-D11)*C13,0)</f>
        <v>0</v>
      </c>
      <c r="I13" s="9">
        <f>-IF(D4&gt;D11,(D4-D11)*C14,0)</f>
        <v>0</v>
      </c>
      <c r="K13" s="11"/>
      <c r="N13" s="9"/>
      <c r="O13" s="9"/>
      <c r="P13" s="9"/>
    </row>
    <row r="14" spans="1:16" hidden="1" outlineLevel="1" x14ac:dyDescent="0.3">
      <c r="B14" s="2" t="s">
        <v>45</v>
      </c>
      <c r="C14" s="10">
        <v>0.46</v>
      </c>
      <c r="D14" s="12"/>
      <c r="E14" s="12" t="s">
        <v>5</v>
      </c>
      <c r="F14" s="12"/>
      <c r="H14" s="9"/>
      <c r="N14" s="9"/>
      <c r="O14" s="9"/>
      <c r="P14" s="9"/>
    </row>
    <row r="15" spans="1:16" hidden="1" outlineLevel="1" x14ac:dyDescent="0.3">
      <c r="D15" s="11"/>
      <c r="E15" s="11"/>
      <c r="F15" s="11"/>
      <c r="H15" s="13">
        <f>SUM(H7:H14)</f>
        <v>-3700</v>
      </c>
      <c r="I15" s="13">
        <f>SUM(I7:I14)</f>
        <v>-3670</v>
      </c>
      <c r="K15" s="13">
        <f>SUM(K7:K14)</f>
        <v>-3630</v>
      </c>
      <c r="O15" s="9"/>
    </row>
    <row r="16" spans="1:16" hidden="1" outlineLevel="1" x14ac:dyDescent="0.3">
      <c r="D16" s="11"/>
      <c r="E16" s="11"/>
      <c r="F16" s="11"/>
      <c r="I16" s="9">
        <f>I15-H15</f>
        <v>30</v>
      </c>
      <c r="K16" s="9">
        <f>I15-K15</f>
        <v>-40</v>
      </c>
    </row>
    <row r="17" spans="2:14" hidden="1" outlineLevel="1" x14ac:dyDescent="0.3">
      <c r="B17" s="2" t="s">
        <v>18</v>
      </c>
      <c r="D17" s="11">
        <f>-IF($D$4&lt;8164,0,IF(D4&lt;=45000,(D4-8164)*0.12,IF(D4&gt;45000,((45000-8164)*0.12+(D4-45000)*0.02),0)))</f>
        <v>-2620.3199999999997</v>
      </c>
      <c r="E17" s="11">
        <f>-IF($D$4&lt;8424,0,IF(D4&lt;=46350,(D4-8424)*0.12,IF(D4&gt;46350,((46350-8424)*0.12+(D4-46350)*0.02),0)))</f>
        <v>-2589.12</v>
      </c>
      <c r="F17" s="11">
        <f>-IF($D$4&lt;8424,0,IF(D4&lt;=46350,(D4-8424)*0.12,IF(D4&gt;46350,((46350-8424)*0.12+(D4-46350)*0.02),0)))</f>
        <v>-2589.12</v>
      </c>
      <c r="I17" s="9"/>
      <c r="K17" s="9"/>
    </row>
    <row r="18" spans="2:14" hidden="1" outlineLevel="1" x14ac:dyDescent="0.3">
      <c r="D18" s="11"/>
      <c r="E18" s="11"/>
      <c r="F18" s="11"/>
      <c r="I18" s="9"/>
      <c r="K18" s="9"/>
    </row>
    <row r="19" spans="2:14" collapsed="1" x14ac:dyDescent="0.3">
      <c r="D19" s="11"/>
      <c r="E19" s="11"/>
      <c r="F19" s="11"/>
      <c r="H19" s="36" t="s">
        <v>28</v>
      </c>
      <c r="I19" s="36"/>
      <c r="K19" s="9"/>
    </row>
    <row r="20" spans="2:14" x14ac:dyDescent="0.3">
      <c r="B20" s="14" t="s">
        <v>34</v>
      </c>
      <c r="D20" s="34" t="s">
        <v>16</v>
      </c>
      <c r="E20" s="34"/>
      <c r="F20" s="15" t="s">
        <v>17</v>
      </c>
      <c r="H20" s="35" t="s">
        <v>27</v>
      </c>
      <c r="I20" s="35"/>
      <c r="N20" s="9"/>
    </row>
    <row r="21" spans="2:14" ht="43.2" x14ac:dyDescent="0.3">
      <c r="B21" s="1" t="s">
        <v>12</v>
      </c>
      <c r="D21" s="16" t="s">
        <v>21</v>
      </c>
      <c r="E21" s="17" t="s">
        <v>22</v>
      </c>
      <c r="F21" s="18" t="s">
        <v>23</v>
      </c>
      <c r="H21" s="19" t="s">
        <v>25</v>
      </c>
      <c r="I21" s="19" t="s">
        <v>26</v>
      </c>
    </row>
    <row r="22" spans="2:14" x14ac:dyDescent="0.3">
      <c r="B22" s="2" t="s">
        <v>13</v>
      </c>
      <c r="D22" s="20">
        <f>$D$4</f>
        <v>30000</v>
      </c>
      <c r="E22" s="21">
        <f t="shared" ref="E22:F22" si="0">$D$4</f>
        <v>30000</v>
      </c>
      <c r="F22" s="22">
        <f t="shared" si="0"/>
        <v>30000</v>
      </c>
    </row>
    <row r="23" spans="2:14" x14ac:dyDescent="0.3">
      <c r="B23" s="2" t="s">
        <v>10</v>
      </c>
      <c r="D23" s="20">
        <f>H15</f>
        <v>-3700</v>
      </c>
      <c r="E23" s="21">
        <f>I15</f>
        <v>-3670</v>
      </c>
      <c r="F23" s="22">
        <f>K15</f>
        <v>-3630</v>
      </c>
      <c r="H23" s="23">
        <f>E23-D23</f>
        <v>30</v>
      </c>
      <c r="I23" s="23">
        <f>E23-F23</f>
        <v>-40</v>
      </c>
    </row>
    <row r="24" spans="2:14" x14ac:dyDescent="0.3">
      <c r="B24" s="2" t="s">
        <v>14</v>
      </c>
      <c r="D24" s="20">
        <f>D17</f>
        <v>-2620.3199999999997</v>
      </c>
      <c r="E24" s="21">
        <f>E17</f>
        <v>-2589.12</v>
      </c>
      <c r="F24" s="22">
        <f>F17</f>
        <v>-2589.12</v>
      </c>
      <c r="H24" s="23">
        <f>E24-D24</f>
        <v>31.199999999999818</v>
      </c>
      <c r="I24" s="23">
        <f>E24-F24</f>
        <v>0</v>
      </c>
    </row>
    <row r="25" spans="2:14" x14ac:dyDescent="0.3">
      <c r="D25" s="24"/>
      <c r="E25" s="25"/>
      <c r="F25" s="26"/>
    </row>
    <row r="26" spans="2:14" x14ac:dyDescent="0.3">
      <c r="B26" s="7" t="s">
        <v>15</v>
      </c>
      <c r="D26" s="27">
        <f>SUM(D22:D25)</f>
        <v>23679.68</v>
      </c>
      <c r="E26" s="28">
        <f t="shared" ref="E26:F26" si="1">SUM(E22:E25)</f>
        <v>23740.880000000001</v>
      </c>
      <c r="F26" s="29">
        <f t="shared" si="1"/>
        <v>23780.880000000001</v>
      </c>
    </row>
    <row r="27" spans="2:14" ht="10.8" customHeight="1" x14ac:dyDescent="0.3"/>
    <row r="28" spans="2:14" x14ac:dyDescent="0.3">
      <c r="B28" s="1" t="s">
        <v>20</v>
      </c>
    </row>
    <row r="29" spans="2:14" x14ac:dyDescent="0.3">
      <c r="B29" s="2" t="s">
        <v>19</v>
      </c>
    </row>
    <row r="30" spans="2:14" x14ac:dyDescent="0.3">
      <c r="B30" s="30" t="s">
        <v>24</v>
      </c>
    </row>
    <row r="31" spans="2:14" x14ac:dyDescent="0.3">
      <c r="B31" s="2" t="s">
        <v>43</v>
      </c>
    </row>
    <row r="32" spans="2:14" x14ac:dyDescent="0.3">
      <c r="B32" s="2" t="s">
        <v>40</v>
      </c>
    </row>
    <row r="33" spans="2:2" ht="10.8" customHeight="1" x14ac:dyDescent="0.3"/>
    <row r="34" spans="2:2" x14ac:dyDescent="0.3">
      <c r="B34" s="7" t="s">
        <v>38</v>
      </c>
    </row>
    <row r="35" spans="2:2" x14ac:dyDescent="0.3">
      <c r="B35" s="32" t="s">
        <v>39</v>
      </c>
    </row>
    <row r="36" spans="2:2" x14ac:dyDescent="0.3">
      <c r="B36" s="2" t="s">
        <v>41</v>
      </c>
    </row>
    <row r="37" spans="2:2" x14ac:dyDescent="0.3">
      <c r="B37" s="2" t="s">
        <v>42</v>
      </c>
    </row>
    <row r="38" spans="2:2" ht="10.8" customHeight="1" x14ac:dyDescent="0.3"/>
    <row r="39" spans="2:2" x14ac:dyDescent="0.3">
      <c r="B39" s="3" t="s">
        <v>30</v>
      </c>
    </row>
    <row r="40" spans="2:2" x14ac:dyDescent="0.3">
      <c r="B40" s="2" t="s">
        <v>31</v>
      </c>
    </row>
    <row r="42" spans="2:2" x14ac:dyDescent="0.3">
      <c r="B42" s="14" t="s">
        <v>36</v>
      </c>
    </row>
    <row r="43" spans="2:2" x14ac:dyDescent="0.3">
      <c r="B43" s="14" t="s">
        <v>37</v>
      </c>
    </row>
    <row r="44" spans="2:2" x14ac:dyDescent="0.3">
      <c r="B44" s="14"/>
    </row>
  </sheetData>
  <sheetProtection algorithmName="SHA-512" hashValue="neeX2J7jx/kAPMo86wZnGRmqpXn2IpYjG7z0XZQ+FQm1E+eYC5ylzFqOyhRW1DQbyIvV9w3nUrzrKzLNYXABNA==" saltValue="DZ/MTiKegt2ETCQqZ+99QQ==" spinCount="100000" sheet="1" objects="1" scenarios="1"/>
  <mergeCells count="4">
    <mergeCell ref="H5:I5"/>
    <mergeCell ref="D20:E20"/>
    <mergeCell ref="H20:I20"/>
    <mergeCell ref="H19:I19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ttacccd</dc:creator>
  <cp:lastModifiedBy>ttacccd</cp:lastModifiedBy>
  <cp:lastPrinted>2017-12-15T15:16:19Z</cp:lastPrinted>
  <dcterms:created xsi:type="dcterms:W3CDTF">2017-12-14T15:31:28Z</dcterms:created>
  <dcterms:modified xsi:type="dcterms:W3CDTF">2017-12-15T15:24:08Z</dcterms:modified>
</cp:coreProperties>
</file>