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829" activeTab="1"/>
  </bookViews>
  <sheets>
    <sheet name="Particulate Solid Properties " sheetId="6" r:id="rId1"/>
    <sheet name="FULL-Steep Hopper-Filling Load" sheetId="2" r:id="rId2"/>
    <sheet name="FULL-Steep Hopper-Discharge" sheetId="7" r:id="rId3"/>
    <sheet name="HALF-Steep Hopper-Filling Load " sheetId="8" r:id="rId4"/>
    <sheet name="HALF-Steep Hopper-Discharge " sheetId="9" r:id="rId5"/>
    <sheet name="Sayfa1" sheetId="10" r:id="rId6"/>
  </sheets>
  <calcPr calcId="152511"/>
</workbook>
</file>

<file path=xl/calcChain.xml><?xml version="1.0" encoding="utf-8"?>
<calcChain xmlns="http://schemas.openxmlformats.org/spreadsheetml/2006/main">
  <c r="S8" i="10" l="1"/>
  <c r="T8" i="10"/>
  <c r="S9" i="10"/>
  <c r="T9" i="10"/>
  <c r="S10" i="10"/>
  <c r="T10" i="10"/>
  <c r="S11" i="10"/>
  <c r="T11" i="10"/>
  <c r="S12" i="10"/>
  <c r="T12" i="10"/>
  <c r="S13" i="10"/>
  <c r="T13" i="10"/>
  <c r="S14" i="10"/>
  <c r="T14" i="10"/>
  <c r="S15" i="10"/>
  <c r="T15" i="10"/>
  <c r="S16" i="10"/>
  <c r="T16" i="10"/>
  <c r="S17" i="10"/>
  <c r="T17" i="10"/>
  <c r="S18" i="10"/>
  <c r="T18" i="10"/>
  <c r="S19" i="10"/>
  <c r="T19" i="10"/>
  <c r="S20" i="10"/>
  <c r="T20" i="10"/>
  <c r="S21" i="10"/>
  <c r="T21" i="10"/>
  <c r="T7" i="10"/>
  <c r="S7" i="10"/>
  <c r="I8" i="10"/>
  <c r="J8" i="10"/>
  <c r="I9" i="10"/>
  <c r="J9" i="10"/>
  <c r="I10" i="10"/>
  <c r="J10" i="10"/>
  <c r="I11" i="10"/>
  <c r="J11" i="10"/>
  <c r="I12" i="10"/>
  <c r="J12" i="10"/>
  <c r="I13" i="10"/>
  <c r="J13" i="10"/>
  <c r="I14" i="10"/>
  <c r="J14" i="10"/>
  <c r="I15" i="10"/>
  <c r="J15" i="10"/>
  <c r="I16" i="10"/>
  <c r="J16" i="10"/>
  <c r="I17" i="10"/>
  <c r="J17" i="10"/>
  <c r="I18" i="10"/>
  <c r="J18" i="10"/>
  <c r="I19" i="10"/>
  <c r="J19" i="10"/>
  <c r="I20" i="10"/>
  <c r="J20" i="10"/>
  <c r="I21" i="10"/>
  <c r="J21" i="10"/>
  <c r="I22" i="10"/>
  <c r="J22" i="10"/>
  <c r="I23" i="10"/>
  <c r="J23" i="10"/>
  <c r="I24" i="10"/>
  <c r="J24" i="10"/>
  <c r="I25" i="10"/>
  <c r="J25" i="10"/>
  <c r="J7" i="10"/>
  <c r="I7" i="10"/>
  <c r="I35" i="9" l="1"/>
  <c r="Q35" i="9"/>
  <c r="I34" i="9"/>
  <c r="Q34" i="9"/>
  <c r="I32" i="8"/>
  <c r="P32" i="8"/>
  <c r="I33" i="8"/>
  <c r="P33" i="8"/>
  <c r="I38" i="7"/>
  <c r="Q38" i="7"/>
  <c r="I39" i="7"/>
  <c r="Q39" i="7"/>
  <c r="I40" i="7"/>
  <c r="Q40" i="7"/>
  <c r="I36" i="2"/>
  <c r="P36" i="2"/>
  <c r="I37" i="2"/>
  <c r="P37" i="2"/>
  <c r="I38" i="2"/>
  <c r="P38" i="2"/>
  <c r="I30" i="9" l="1"/>
  <c r="Q30" i="9"/>
  <c r="I31" i="9"/>
  <c r="Q31" i="9"/>
  <c r="I32" i="9"/>
  <c r="Q32" i="9"/>
  <c r="I33" i="9"/>
  <c r="Q33" i="9"/>
  <c r="I30" i="2"/>
  <c r="P30" i="2"/>
  <c r="I31" i="2"/>
  <c r="P31" i="2"/>
  <c r="I32" i="2"/>
  <c r="P32" i="2"/>
  <c r="I33" i="2"/>
  <c r="P33" i="2"/>
  <c r="I34" i="2"/>
  <c r="P34" i="2"/>
  <c r="I35" i="2"/>
  <c r="P35" i="2"/>
  <c r="I28" i="8"/>
  <c r="P28" i="8"/>
  <c r="I29" i="8"/>
  <c r="P29" i="8"/>
  <c r="I30" i="8"/>
  <c r="P30" i="8"/>
  <c r="I31" i="8"/>
  <c r="P31" i="8"/>
  <c r="I36" i="7"/>
  <c r="Q36" i="7"/>
  <c r="I37" i="7"/>
  <c r="Q37" i="7"/>
  <c r="I32" i="7"/>
  <c r="Q32" i="7"/>
  <c r="I33" i="7"/>
  <c r="Q33" i="7"/>
  <c r="I34" i="7"/>
  <c r="Q34" i="7"/>
  <c r="I35" i="7"/>
  <c r="Q35" i="7"/>
  <c r="P29" i="2" l="1"/>
  <c r="Q20" i="2"/>
  <c r="I29" i="9"/>
  <c r="D6" i="9"/>
  <c r="Q20" i="8"/>
  <c r="D6" i="8"/>
  <c r="D6" i="7"/>
  <c r="D6" i="2"/>
  <c r="Q29" i="9" l="1"/>
  <c r="Q28" i="9"/>
  <c r="I28" i="9"/>
  <c r="Q27" i="9"/>
  <c r="I27" i="9"/>
  <c r="Q26" i="9"/>
  <c r="I26" i="9"/>
  <c r="Q25" i="9"/>
  <c r="I25" i="9"/>
  <c r="Q24" i="9"/>
  <c r="I24" i="9"/>
  <c r="Q23" i="9"/>
  <c r="P23" i="9"/>
  <c r="P24" i="9" s="1"/>
  <c r="I23" i="9"/>
  <c r="J23" i="9" s="1"/>
  <c r="J24" i="9" s="1"/>
  <c r="J25" i="9" s="1"/>
  <c r="J26" i="9" s="1"/>
  <c r="J27" i="9" s="1"/>
  <c r="J28" i="9" s="1"/>
  <c r="J29" i="9" s="1"/>
  <c r="J30" i="9" s="1"/>
  <c r="R22" i="9"/>
  <c r="D13" i="9"/>
  <c r="D14" i="9" s="1"/>
  <c r="D15" i="9" s="1"/>
  <c r="P27" i="8"/>
  <c r="I27" i="8"/>
  <c r="P26" i="8"/>
  <c r="I26" i="8"/>
  <c r="P25" i="8"/>
  <c r="I25" i="8"/>
  <c r="P24" i="8"/>
  <c r="I24" i="8"/>
  <c r="P23" i="8"/>
  <c r="I23" i="8"/>
  <c r="P22" i="8"/>
  <c r="I22" i="8"/>
  <c r="P21" i="8"/>
  <c r="O21" i="8"/>
  <c r="O22" i="8" s="1"/>
  <c r="I21" i="8"/>
  <c r="J21" i="8" s="1"/>
  <c r="J22" i="8" s="1"/>
  <c r="J23" i="8" s="1"/>
  <c r="D14" i="8"/>
  <c r="K20" i="8" s="1"/>
  <c r="D13" i="8"/>
  <c r="O21" i="2"/>
  <c r="O22" i="2" s="1"/>
  <c r="O23" i="2" s="1"/>
  <c r="O24" i="2" s="1"/>
  <c r="O25" i="2" s="1"/>
  <c r="O26" i="2" s="1"/>
  <c r="O27" i="2" s="1"/>
  <c r="O28" i="2" s="1"/>
  <c r="O29" i="2" s="1"/>
  <c r="P22" i="2"/>
  <c r="P23" i="2"/>
  <c r="P24" i="2"/>
  <c r="P25" i="2"/>
  <c r="P26" i="2"/>
  <c r="P27" i="2"/>
  <c r="P28" i="2"/>
  <c r="P21" i="2"/>
  <c r="I29" i="2"/>
  <c r="I28" i="2"/>
  <c r="I27" i="2"/>
  <c r="I26" i="2"/>
  <c r="I25" i="2"/>
  <c r="I24" i="2"/>
  <c r="I23" i="2"/>
  <c r="I22" i="2"/>
  <c r="I21" i="2"/>
  <c r="J21" i="2" s="1"/>
  <c r="Q31" i="7"/>
  <c r="I31" i="7"/>
  <c r="Q24" i="7"/>
  <c r="Q25" i="7"/>
  <c r="Q26" i="7"/>
  <c r="Q27" i="7"/>
  <c r="Q28" i="7"/>
  <c r="Q29" i="7"/>
  <c r="Q30" i="7"/>
  <c r="Q23" i="7"/>
  <c r="P23" i="7"/>
  <c r="P24" i="7" s="1"/>
  <c r="P25" i="7" s="1"/>
  <c r="P26" i="7" s="1"/>
  <c r="P27" i="7" s="1"/>
  <c r="P28" i="7" s="1"/>
  <c r="P29" i="7" s="1"/>
  <c r="P30" i="7" s="1"/>
  <c r="P31" i="7" s="1"/>
  <c r="P32" i="7" s="1"/>
  <c r="I24" i="7"/>
  <c r="I25" i="7"/>
  <c r="I26" i="7"/>
  <c r="I27" i="7"/>
  <c r="I28" i="7"/>
  <c r="I29" i="7"/>
  <c r="I30" i="7"/>
  <c r="I23" i="7"/>
  <c r="J23" i="7" s="1"/>
  <c r="D16" i="9" l="1"/>
  <c r="K30" i="9" s="1"/>
  <c r="L30" i="9" s="1"/>
  <c r="M30" i="9" s="1"/>
  <c r="L35" i="9"/>
  <c r="M35" i="9" s="1"/>
  <c r="J31" i="9"/>
  <c r="J24" i="7"/>
  <c r="J25" i="7" s="1"/>
  <c r="J26" i="7" s="1"/>
  <c r="J27" i="7" s="1"/>
  <c r="J28" i="7" s="1"/>
  <c r="J29" i="7" s="1"/>
  <c r="J30" i="7" s="1"/>
  <c r="Q29" i="2"/>
  <c r="O30" i="2"/>
  <c r="P33" i="7"/>
  <c r="R32" i="7"/>
  <c r="R31" i="7"/>
  <c r="K21" i="8"/>
  <c r="L21" i="8" s="1"/>
  <c r="M21" i="8" s="1"/>
  <c r="J31" i="7"/>
  <c r="J32" i="7" s="1"/>
  <c r="P25" i="9"/>
  <c r="R24" i="9"/>
  <c r="K29" i="9"/>
  <c r="L29" i="9" s="1"/>
  <c r="M29" i="9" s="1"/>
  <c r="K27" i="9"/>
  <c r="L27" i="9" s="1"/>
  <c r="M27" i="9" s="1"/>
  <c r="K25" i="9"/>
  <c r="L25" i="9" s="1"/>
  <c r="M25" i="9" s="1"/>
  <c r="K23" i="9"/>
  <c r="L23" i="9" s="1"/>
  <c r="M23" i="9" s="1"/>
  <c r="K22" i="9"/>
  <c r="K28" i="9"/>
  <c r="L28" i="9" s="1"/>
  <c r="M28" i="9" s="1"/>
  <c r="K26" i="9"/>
  <c r="L26" i="9" s="1"/>
  <c r="M26" i="9" s="1"/>
  <c r="K24" i="9"/>
  <c r="L24" i="9" s="1"/>
  <c r="M24" i="9" s="1"/>
  <c r="R23" i="9"/>
  <c r="K23" i="8"/>
  <c r="L23" i="8" s="1"/>
  <c r="M23" i="8" s="1"/>
  <c r="J24" i="8"/>
  <c r="J25" i="8" s="1"/>
  <c r="J26" i="8" s="1"/>
  <c r="J27" i="8" s="1"/>
  <c r="J28" i="8" s="1"/>
  <c r="O23" i="8"/>
  <c r="Q22" i="8"/>
  <c r="K25" i="8"/>
  <c r="L25" i="8" s="1"/>
  <c r="M25" i="8" s="1"/>
  <c r="L20" i="8"/>
  <c r="R20" i="8" s="1"/>
  <c r="Q21" i="8"/>
  <c r="K22" i="8"/>
  <c r="L22" i="8" s="1"/>
  <c r="M22" i="8" s="1"/>
  <c r="K24" i="8"/>
  <c r="L24" i="8" s="1"/>
  <c r="M24" i="8" s="1"/>
  <c r="K26" i="8"/>
  <c r="L26" i="8" s="1"/>
  <c r="M26" i="8" s="1"/>
  <c r="J22" i="2"/>
  <c r="J23" i="2" s="1"/>
  <c r="J24" i="2" s="1"/>
  <c r="J25" i="2" s="1"/>
  <c r="J26" i="2" s="1"/>
  <c r="J27" i="2" s="1"/>
  <c r="J28" i="2" s="1"/>
  <c r="J29" i="2" s="1"/>
  <c r="J30" i="2" s="1"/>
  <c r="D38" i="6"/>
  <c r="D37" i="6"/>
  <c r="R23" i="7"/>
  <c r="R22" i="7"/>
  <c r="D13" i="7"/>
  <c r="D14" i="7" s="1"/>
  <c r="D15" i="7" s="1"/>
  <c r="D16" i="7" s="1"/>
  <c r="D16" i="6"/>
  <c r="D15" i="6"/>
  <c r="D10" i="6"/>
  <c r="D9" i="6"/>
  <c r="K30" i="7" l="1"/>
  <c r="L30" i="7" s="1"/>
  <c r="M30" i="7" s="1"/>
  <c r="K31" i="9"/>
  <c r="L31" i="9" s="1"/>
  <c r="M31" i="9" s="1"/>
  <c r="J32" i="9"/>
  <c r="K28" i="8"/>
  <c r="L28" i="8" s="1"/>
  <c r="M28" i="8" s="1"/>
  <c r="J29" i="8"/>
  <c r="Q30" i="2"/>
  <c r="O31" i="2"/>
  <c r="J31" i="2"/>
  <c r="R33" i="7"/>
  <c r="P34" i="7"/>
  <c r="K32" i="7"/>
  <c r="L32" i="7" s="1"/>
  <c r="J33" i="7"/>
  <c r="K31" i="7"/>
  <c r="L31" i="7" s="1"/>
  <c r="M31" i="7" s="1"/>
  <c r="T31" i="7" s="1"/>
  <c r="K27" i="8"/>
  <c r="L27" i="8" s="1"/>
  <c r="M27" i="8" s="1"/>
  <c r="T23" i="9"/>
  <c r="S23" i="9"/>
  <c r="S24" i="9"/>
  <c r="T24" i="9"/>
  <c r="P26" i="9"/>
  <c r="R25" i="9"/>
  <c r="L22" i="9"/>
  <c r="S21" i="8"/>
  <c r="R21" i="8"/>
  <c r="S22" i="8"/>
  <c r="R22" i="8"/>
  <c r="M20" i="8"/>
  <c r="S20" i="8" s="1"/>
  <c r="O24" i="8"/>
  <c r="Q23" i="8"/>
  <c r="R25" i="7"/>
  <c r="K22" i="7"/>
  <c r="L22" i="7" s="1"/>
  <c r="K25" i="7"/>
  <c r="L25" i="7" s="1"/>
  <c r="M25" i="7" s="1"/>
  <c r="K29" i="7"/>
  <c r="L29" i="7" s="1"/>
  <c r="M29" i="7" s="1"/>
  <c r="R24" i="7"/>
  <c r="K24" i="7"/>
  <c r="L24" i="7" s="1"/>
  <c r="M24" i="7" s="1"/>
  <c r="K28" i="7"/>
  <c r="L28" i="7" s="1"/>
  <c r="M28" i="7" s="1"/>
  <c r="K23" i="7"/>
  <c r="L23" i="7" s="1"/>
  <c r="M23" i="7" s="1"/>
  <c r="T23" i="7" s="1"/>
  <c r="K27" i="7"/>
  <c r="L27" i="7" s="1"/>
  <c r="M27" i="7" s="1"/>
  <c r="K26" i="7"/>
  <c r="L26" i="7" s="1"/>
  <c r="M26" i="7" s="1"/>
  <c r="J33" i="9" l="1"/>
  <c r="K32" i="9"/>
  <c r="K29" i="8"/>
  <c r="L29" i="8" s="1"/>
  <c r="M29" i="8" s="1"/>
  <c r="J30" i="8"/>
  <c r="J32" i="2"/>
  <c r="Q31" i="2"/>
  <c r="O32" i="2"/>
  <c r="P35" i="7"/>
  <c r="R34" i="7"/>
  <c r="K33" i="7"/>
  <c r="L33" i="7" s="1"/>
  <c r="J34" i="7"/>
  <c r="M32" i="7"/>
  <c r="T32" i="7" s="1"/>
  <c r="S32" i="7"/>
  <c r="S31" i="7"/>
  <c r="S22" i="9"/>
  <c r="M22" i="9"/>
  <c r="T25" i="9"/>
  <c r="S25" i="9"/>
  <c r="P27" i="9"/>
  <c r="R26" i="9"/>
  <c r="S23" i="8"/>
  <c r="R23" i="8"/>
  <c r="O25" i="8"/>
  <c r="Q24" i="8"/>
  <c r="D14" i="2"/>
  <c r="K30" i="2" s="1"/>
  <c r="L30" i="2" s="1"/>
  <c r="M30" i="2" s="1"/>
  <c r="S30" i="2" s="1"/>
  <c r="D13" i="2"/>
  <c r="M22" i="7"/>
  <c r="S22" i="7"/>
  <c r="T24" i="7"/>
  <c r="S24" i="7"/>
  <c r="T25" i="7"/>
  <c r="S25" i="7"/>
  <c r="R26" i="7"/>
  <c r="S23" i="7"/>
  <c r="Q21" i="2"/>
  <c r="R30" i="2" l="1"/>
  <c r="K31" i="2"/>
  <c r="L31" i="2" s="1"/>
  <c r="M31" i="2" s="1"/>
  <c r="S31" i="2" s="1"/>
  <c r="K33" i="9"/>
  <c r="L33" i="9" s="1"/>
  <c r="M33" i="9" s="1"/>
  <c r="J34" i="9"/>
  <c r="L32" i="9"/>
  <c r="K30" i="8"/>
  <c r="L30" i="8" s="1"/>
  <c r="J31" i="8"/>
  <c r="Q32" i="2"/>
  <c r="O33" i="2"/>
  <c r="K32" i="2"/>
  <c r="L32" i="2" s="1"/>
  <c r="M32" i="2" s="1"/>
  <c r="J33" i="2"/>
  <c r="R35" i="7"/>
  <c r="P36" i="7"/>
  <c r="K34" i="7"/>
  <c r="J35" i="7"/>
  <c r="S33" i="7"/>
  <c r="M33" i="7"/>
  <c r="T33" i="7" s="1"/>
  <c r="S26" i="9"/>
  <c r="T26" i="9"/>
  <c r="P28" i="9"/>
  <c r="R27" i="9"/>
  <c r="T22" i="9"/>
  <c r="S24" i="8"/>
  <c r="R24" i="8"/>
  <c r="O26" i="8"/>
  <c r="Q25" i="8"/>
  <c r="K24" i="2"/>
  <c r="L24" i="2" s="1"/>
  <c r="M24" i="2" s="1"/>
  <c r="K28" i="2"/>
  <c r="L28" i="2" s="1"/>
  <c r="M28" i="2" s="1"/>
  <c r="K25" i="2"/>
  <c r="L25" i="2" s="1"/>
  <c r="M25" i="2" s="1"/>
  <c r="K29" i="2"/>
  <c r="L29" i="2" s="1"/>
  <c r="K26" i="2"/>
  <c r="L26" i="2" s="1"/>
  <c r="M26" i="2" s="1"/>
  <c r="K20" i="2"/>
  <c r="K27" i="2"/>
  <c r="L27" i="2" s="1"/>
  <c r="M27" i="2" s="1"/>
  <c r="K21" i="2"/>
  <c r="L21" i="2" s="1"/>
  <c r="M21" i="2" s="1"/>
  <c r="S21" i="2" s="1"/>
  <c r="K22" i="2"/>
  <c r="L22" i="2" s="1"/>
  <c r="M22" i="2" s="1"/>
  <c r="K23" i="2"/>
  <c r="L23" i="2" s="1"/>
  <c r="M23" i="2" s="1"/>
  <c r="T26" i="7"/>
  <c r="S26" i="7"/>
  <c r="R27" i="7"/>
  <c r="T22" i="7"/>
  <c r="Q22" i="2"/>
  <c r="K31" i="8" l="1"/>
  <c r="L31" i="8" s="1"/>
  <c r="M31" i="8" s="1"/>
  <c r="J32" i="8"/>
  <c r="J35" i="9"/>
  <c r="K34" i="9"/>
  <c r="R31" i="2"/>
  <c r="M32" i="9"/>
  <c r="M30" i="8"/>
  <c r="K33" i="2"/>
  <c r="L33" i="2" s="1"/>
  <c r="M33" i="2" s="1"/>
  <c r="J34" i="2"/>
  <c r="Q33" i="2"/>
  <c r="O34" i="2"/>
  <c r="R32" i="2"/>
  <c r="S32" i="2"/>
  <c r="R21" i="2"/>
  <c r="R36" i="7"/>
  <c r="P37" i="7"/>
  <c r="K35" i="7"/>
  <c r="L35" i="7" s="1"/>
  <c r="M35" i="7" s="1"/>
  <c r="T35" i="7" s="1"/>
  <c r="J36" i="7"/>
  <c r="L34" i="7"/>
  <c r="M29" i="2"/>
  <c r="S29" i="2" s="1"/>
  <c r="R29" i="2"/>
  <c r="P29" i="9"/>
  <c r="P30" i="9" s="1"/>
  <c r="R28" i="9"/>
  <c r="T27" i="9"/>
  <c r="S27" i="9"/>
  <c r="O27" i="8"/>
  <c r="O28" i="8" s="1"/>
  <c r="Q26" i="8"/>
  <c r="S25" i="8"/>
  <c r="R25" i="8"/>
  <c r="L20" i="2"/>
  <c r="R20" i="2" s="1"/>
  <c r="R30" i="7"/>
  <c r="R28" i="7"/>
  <c r="S27" i="7"/>
  <c r="T27" i="7"/>
  <c r="S22" i="2"/>
  <c r="R22" i="2"/>
  <c r="Q23" i="2"/>
  <c r="L34" i="9" l="1"/>
  <c r="K38" i="9"/>
  <c r="R37" i="7"/>
  <c r="P38" i="7"/>
  <c r="J33" i="8"/>
  <c r="L33" i="8" s="1"/>
  <c r="M33" i="8" s="1"/>
  <c r="K32" i="8"/>
  <c r="R30" i="9"/>
  <c r="P31" i="9"/>
  <c r="Q28" i="8"/>
  <c r="O29" i="8"/>
  <c r="Q34" i="2"/>
  <c r="O35" i="2"/>
  <c r="R33" i="2"/>
  <c r="S33" i="2"/>
  <c r="K34" i="2"/>
  <c r="J35" i="2"/>
  <c r="S35" i="7"/>
  <c r="K36" i="7"/>
  <c r="J37" i="7"/>
  <c r="J38" i="7" s="1"/>
  <c r="M34" i="7"/>
  <c r="S34" i="7"/>
  <c r="S28" i="9"/>
  <c r="T28" i="9"/>
  <c r="R29" i="9"/>
  <c r="R26" i="8"/>
  <c r="S26" i="8"/>
  <c r="Q27" i="8"/>
  <c r="M20" i="2"/>
  <c r="S20" i="2" s="1"/>
  <c r="T30" i="7"/>
  <c r="S30" i="7"/>
  <c r="T28" i="7"/>
  <c r="S28" i="7"/>
  <c r="R29" i="7"/>
  <c r="S23" i="2"/>
  <c r="R23" i="2"/>
  <c r="Q24" i="2"/>
  <c r="J39" i="7" l="1"/>
  <c r="K38" i="7"/>
  <c r="L38" i="7" s="1"/>
  <c r="M38" i="7" s="1"/>
  <c r="L32" i="8"/>
  <c r="K34" i="8"/>
  <c r="M34" i="9"/>
  <c r="M38" i="9" s="1"/>
  <c r="L38" i="9"/>
  <c r="R38" i="7"/>
  <c r="S38" i="7" s="1"/>
  <c r="P39" i="7"/>
  <c r="R31" i="9"/>
  <c r="P32" i="9"/>
  <c r="S30" i="9"/>
  <c r="T30" i="9"/>
  <c r="Q29" i="8"/>
  <c r="O30" i="8"/>
  <c r="R28" i="8"/>
  <c r="S28" i="8"/>
  <c r="Q35" i="2"/>
  <c r="O36" i="2"/>
  <c r="K35" i="2"/>
  <c r="L35" i="2" s="1"/>
  <c r="M35" i="2" s="1"/>
  <c r="S35" i="2" s="1"/>
  <c r="J36" i="2"/>
  <c r="L34" i="2"/>
  <c r="K37" i="7"/>
  <c r="L37" i="7" s="1"/>
  <c r="L36" i="7"/>
  <c r="T34" i="7"/>
  <c r="T29" i="9"/>
  <c r="S29" i="9"/>
  <c r="S27" i="8"/>
  <c r="R27" i="8"/>
  <c r="T29" i="7"/>
  <c r="S29" i="7"/>
  <c r="Q25" i="2"/>
  <c r="S24" i="2"/>
  <c r="R24" i="2"/>
  <c r="R39" i="7" l="1"/>
  <c r="P40" i="7"/>
  <c r="R40" i="7" s="1"/>
  <c r="M32" i="8"/>
  <c r="M34" i="8" s="1"/>
  <c r="L34" i="8"/>
  <c r="T38" i="7"/>
  <c r="J40" i="7"/>
  <c r="L40" i="7" s="1"/>
  <c r="M40" i="7" s="1"/>
  <c r="K39" i="7"/>
  <c r="L39" i="7" s="1"/>
  <c r="M39" i="7" s="1"/>
  <c r="R32" i="9"/>
  <c r="P33" i="9"/>
  <c r="T31" i="9"/>
  <c r="S31" i="9"/>
  <c r="O31" i="8"/>
  <c r="Q30" i="8"/>
  <c r="R29" i="8"/>
  <c r="S29" i="8"/>
  <c r="J37" i="2"/>
  <c r="K36" i="2"/>
  <c r="L36" i="2" s="1"/>
  <c r="M36" i="2" s="1"/>
  <c r="Q36" i="2"/>
  <c r="O37" i="2"/>
  <c r="R35" i="2"/>
  <c r="M34" i="2"/>
  <c r="R34" i="2"/>
  <c r="K42" i="7"/>
  <c r="M36" i="7"/>
  <c r="S36" i="7"/>
  <c r="M37" i="7"/>
  <c r="T37" i="7" s="1"/>
  <c r="S37" i="7"/>
  <c r="R25" i="2"/>
  <c r="S25" i="2"/>
  <c r="Q26" i="2"/>
  <c r="Q31" i="8" l="1"/>
  <c r="O32" i="8"/>
  <c r="L42" i="7"/>
  <c r="S40" i="7"/>
  <c r="T40" i="7"/>
  <c r="R33" i="9"/>
  <c r="S33" i="9" s="1"/>
  <c r="P34" i="9"/>
  <c r="S39" i="7"/>
  <c r="T39" i="7"/>
  <c r="T33" i="9"/>
  <c r="S32" i="9"/>
  <c r="T32" i="9"/>
  <c r="R30" i="8"/>
  <c r="S30" i="8"/>
  <c r="S31" i="8"/>
  <c r="R31" i="8"/>
  <c r="R36" i="2"/>
  <c r="S36" i="2"/>
  <c r="K37" i="2"/>
  <c r="L37" i="2" s="1"/>
  <c r="M37" i="2" s="1"/>
  <c r="J38" i="2"/>
  <c r="M38" i="2" s="1"/>
  <c r="Q37" i="2"/>
  <c r="O38" i="2"/>
  <c r="Q38" i="2" s="1"/>
  <c r="S34" i="2"/>
  <c r="T36" i="7"/>
  <c r="M42" i="7"/>
  <c r="Q27" i="2"/>
  <c r="S26" i="2"/>
  <c r="R26" i="2"/>
  <c r="R34" i="9" l="1"/>
  <c r="P35" i="9"/>
  <c r="R35" i="9" s="1"/>
  <c r="Q32" i="8"/>
  <c r="O33" i="8"/>
  <c r="Q33" i="8" s="1"/>
  <c r="M40" i="2"/>
  <c r="K40" i="2"/>
  <c r="R38" i="2"/>
  <c r="S38" i="2"/>
  <c r="R37" i="2"/>
  <c r="S37" i="2"/>
  <c r="L40" i="2"/>
  <c r="S27" i="2"/>
  <c r="R27" i="2"/>
  <c r="Q28" i="2"/>
  <c r="S35" i="9" l="1"/>
  <c r="T35" i="9"/>
  <c r="T34" i="9"/>
  <c r="T40" i="9" s="1"/>
  <c r="T41" i="9" s="1"/>
  <c r="S34" i="9"/>
  <c r="R40" i="9"/>
  <c r="R33" i="8"/>
  <c r="S33" i="8"/>
  <c r="R32" i="8"/>
  <c r="R36" i="8" s="1"/>
  <c r="R37" i="8" s="1"/>
  <c r="S32" i="8"/>
  <c r="Q36" i="8"/>
  <c r="S28" i="2"/>
  <c r="R28" i="2"/>
  <c r="S40" i="9" l="1"/>
  <c r="S41" i="9" s="1"/>
  <c r="V41" i="9" s="1"/>
  <c r="S36" i="8"/>
  <c r="S37" i="8" s="1"/>
  <c r="U37" i="8" s="1"/>
  <c r="S44" i="7"/>
  <c r="S45" i="7" s="1"/>
  <c r="R44" i="7"/>
  <c r="Q42" i="2"/>
  <c r="T44" i="7" l="1"/>
  <c r="T45" i="7" s="1"/>
  <c r="V45" i="7" s="1"/>
  <c r="R42" i="2"/>
  <c r="R43" i="2" s="1"/>
  <c r="S42" i="2" l="1"/>
  <c r="S43" i="2" s="1"/>
  <c r="U43" i="2" s="1"/>
</calcChain>
</file>

<file path=xl/sharedStrings.xml><?xml version="1.0" encoding="utf-8"?>
<sst xmlns="http://schemas.openxmlformats.org/spreadsheetml/2006/main" count="223" uniqueCount="63">
  <si>
    <t>:</t>
  </si>
  <si>
    <t>º</t>
  </si>
  <si>
    <t>slope of hopper to the vertical, β</t>
  </si>
  <si>
    <t>m</t>
  </si>
  <si>
    <r>
      <t>Wall friction coefficient (lower) ,</t>
    </r>
    <r>
      <rPr>
        <i/>
        <sz val="11"/>
        <color theme="1"/>
        <rFont val="Arial Tur"/>
        <charset val="162"/>
      </rPr>
      <t>μh=μm/aμ</t>
    </r>
  </si>
  <si>
    <t>t/m3</t>
  </si>
  <si>
    <t>h (m)</t>
  </si>
  <si>
    <t>b</t>
  </si>
  <si>
    <t>n</t>
  </si>
  <si>
    <t>a (m)</t>
  </si>
  <si>
    <t>A (m2)</t>
  </si>
  <si>
    <t>Pn (ton)</t>
  </si>
  <si>
    <t>Pt (ton)</t>
  </si>
  <si>
    <t>Perpendicular to Surface:</t>
  </si>
  <si>
    <t>Vertical Force=Pn*cos60+pt*cos30:</t>
  </si>
  <si>
    <t>ton</t>
  </si>
  <si>
    <t>top</t>
  </si>
  <si>
    <t>bottom</t>
  </si>
  <si>
    <t>=</t>
  </si>
  <si>
    <t>μeff=μh</t>
  </si>
  <si>
    <t>Particulate Solid Properties (Table E.1)</t>
  </si>
  <si>
    <t>Type of particulate solid</t>
  </si>
  <si>
    <t>Coal</t>
  </si>
  <si>
    <r>
      <t>Lower Unit Weight,</t>
    </r>
    <r>
      <rPr>
        <sz val="11"/>
        <color theme="1"/>
        <rFont val="Arial Tur"/>
        <charset val="162"/>
      </rPr>
      <t>γl</t>
    </r>
  </si>
  <si>
    <r>
      <t>Upper Unit Weight,</t>
    </r>
    <r>
      <rPr>
        <sz val="11"/>
        <color theme="1"/>
        <rFont val="Arial Tur"/>
        <charset val="162"/>
      </rPr>
      <t>γu</t>
    </r>
  </si>
  <si>
    <t>Mean Lateral Pressure, Km</t>
  </si>
  <si>
    <t>Wall Type</t>
  </si>
  <si>
    <r>
      <t xml:space="preserve">Wall Friction Coefficient, </t>
    </r>
    <r>
      <rPr>
        <sz val="11"/>
        <color theme="1"/>
        <rFont val="Arial Tur"/>
        <charset val="162"/>
      </rPr>
      <t>μ</t>
    </r>
    <r>
      <rPr>
        <i/>
        <sz val="11"/>
        <color theme="1"/>
        <rFont val="Calibri"/>
        <family val="2"/>
        <charset val="162"/>
      </rPr>
      <t>m</t>
    </r>
  </si>
  <si>
    <r>
      <t xml:space="preserve">Factor Lateral Pressure, </t>
    </r>
    <r>
      <rPr>
        <sz val="11"/>
        <color theme="1"/>
        <rFont val="Arial Tur"/>
        <charset val="162"/>
      </rPr>
      <t>α</t>
    </r>
    <r>
      <rPr>
        <i/>
        <sz val="11"/>
        <color theme="1"/>
        <rFont val="Calibri"/>
        <family val="2"/>
        <charset val="162"/>
        <scheme val="minor"/>
      </rPr>
      <t>K</t>
    </r>
  </si>
  <si>
    <r>
      <t>Factor Friction Coefficient, α</t>
    </r>
    <r>
      <rPr>
        <sz val="11"/>
        <color theme="1"/>
        <rFont val="Arial Tur"/>
        <charset val="162"/>
      </rPr>
      <t>μ</t>
    </r>
  </si>
  <si>
    <t>Upper Characteristic Value of K=Km*αK</t>
  </si>
  <si>
    <t>Lower Characteristic Value of K=Km/αK</t>
  </si>
  <si>
    <t>Upper Characteristic Value of μ=μm*αμ</t>
  </si>
  <si>
    <t>Lower Characteristic Value of μ=μm/αμ</t>
  </si>
  <si>
    <t xml:space="preserve">olduğu için, ‘steep hopper’ (dik bunker) sınıfına girmektedir. </t>
  </si>
  <si>
    <t>Hopper Shape Coefficient,S</t>
  </si>
  <si>
    <t>( square pyramid hoppers)</t>
  </si>
  <si>
    <t>unit weight of strored material,γu</t>
  </si>
  <si>
    <t>vertical height of hopper,hh</t>
  </si>
  <si>
    <r>
      <t>Ff=1-b/(1+tan</t>
    </r>
    <r>
      <rPr>
        <sz val="11"/>
        <color theme="1"/>
        <rFont val="Arial Tur"/>
        <charset val="162"/>
      </rPr>
      <t>β</t>
    </r>
    <r>
      <rPr>
        <sz val="11"/>
        <color theme="1"/>
        <rFont val="Calibri"/>
        <family val="2"/>
      </rPr>
      <t>/μh)</t>
    </r>
  </si>
  <si>
    <t>mean vertical stress, pv (t/m2)</t>
  </si>
  <si>
    <t>distance from apex of hopper,x (m)</t>
  </si>
  <si>
    <t>normal pressure pnf=pv*Ff (t/m2)</t>
  </si>
  <si>
    <t>max</t>
  </si>
  <si>
    <r>
      <t xml:space="preserve">Angle of internal Friction, </t>
    </r>
    <r>
      <rPr>
        <sz val="11"/>
        <color theme="1"/>
        <rFont val="Arial Tur"/>
        <charset val="162"/>
      </rPr>
      <t>ɸ</t>
    </r>
    <r>
      <rPr>
        <i/>
        <sz val="11"/>
        <color theme="1"/>
        <rFont val="Calibri"/>
        <family val="2"/>
        <charset val="162"/>
      </rPr>
      <t>im</t>
    </r>
  </si>
  <si>
    <t>Factor Friction Coefficient, αɸ</t>
  </si>
  <si>
    <t>Upper Characteristic Value of ɸi=ɸim*αɸ</t>
  </si>
  <si>
    <t>Lower Characteristic Value of ɸi=ɸim/αɸ</t>
  </si>
  <si>
    <r>
      <rPr>
        <sz val="11"/>
        <color theme="1"/>
        <rFont val="Arial Tur"/>
        <charset val="162"/>
      </rPr>
      <t>ɛ</t>
    </r>
    <r>
      <rPr>
        <sz val="11"/>
        <color theme="1"/>
        <rFont val="Calibri"/>
        <family val="2"/>
      </rPr>
      <t>=ɸwh+sin^-1(sinɸwh/sinɸi)</t>
    </r>
  </si>
  <si>
    <t>Fe=(1+sinɸi*cosɛ)/(1-sinɸi*cos(2β+ɛ)</t>
  </si>
  <si>
    <t>ɸwh=tan^-1(μh)</t>
  </si>
  <si>
    <t>ɸwh&lt;ɸi ok</t>
  </si>
  <si>
    <t>n=S(F*μeff*cotβ+F)-2</t>
  </si>
  <si>
    <t>FULL - Steep Hopper - Filling Load</t>
  </si>
  <si>
    <t>FULL - Steep Hopper - Discharge Load</t>
  </si>
  <si>
    <t>HALF - Steep Hopper - Filling Load</t>
  </si>
  <si>
    <t>HALF - Steep Hopper - Discharge Load</t>
  </si>
  <si>
    <t>D2</t>
  </si>
  <si>
    <t>Table 4.1 (Galvanized Carbon Steel)</t>
  </si>
  <si>
    <t>Dynamic Factor,Cb</t>
  </si>
  <si>
    <r>
      <t>frictional traction, ptf=pv*Ff*</t>
    </r>
    <r>
      <rPr>
        <sz val="11"/>
        <color theme="1"/>
        <rFont val="Arial Tur"/>
        <charset val="162"/>
      </rPr>
      <t>μ (t/m2)</t>
    </r>
  </si>
  <si>
    <t>normal pressure pne=pv*Ff (t/m2)</t>
  </si>
  <si>
    <r>
      <t>frictional traction, pte=pv*Ff*</t>
    </r>
    <r>
      <rPr>
        <sz val="11"/>
        <color theme="1"/>
        <rFont val="Arial Tur"/>
        <charset val="162"/>
      </rPr>
      <t>μ (t/m2)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</si>
</sst>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9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Arial Tur"/>
      <charset val="162"/>
    </font>
    <font>
      <sz val="11"/>
      <color theme="1"/>
      <name val="Arial Tur"/>
      <charset val="162"/>
    </font>
    <font>
      <sz val="11"/>
      <color theme="1"/>
      <name val="Calibri"/>
      <family val="2"/>
    </font>
    <font>
      <i/>
      <sz val="11"/>
      <color theme="1"/>
      <name val="Calibri"/>
      <family val="2"/>
      <charset val="162"/>
      <scheme val="minor"/>
    </font>
    <font>
      <i/>
      <sz val="11"/>
      <color theme="1"/>
      <name val="Calibri"/>
      <family val="2"/>
      <charset val="16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5" fillId="0" borderId="0" xfId="0" applyFont="1"/>
    <xf numFmtId="164" fontId="5" fillId="0" borderId="0" xfId="0" applyNumberFormat="1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2" xfId="0" applyFont="1" applyBorder="1" applyAlignment="1">
      <alignment vertical="center" wrapText="1"/>
    </xf>
    <xf numFmtId="2" fontId="0" fillId="0" borderId="0" xfId="0" applyNumberFormat="1" applyFont="1" applyBorder="1" applyAlignment="1">
      <alignment vertical="center"/>
    </xf>
    <xf numFmtId="165" fontId="0" fillId="0" borderId="0" xfId="0" applyNumberFormat="1" applyAlignment="1">
      <alignment vertical="center"/>
    </xf>
    <xf numFmtId="165" fontId="0" fillId="0" borderId="4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2" fontId="0" fillId="0" borderId="1" xfId="0" applyNumberFormat="1" applyFont="1" applyBorder="1" applyAlignment="1">
      <alignment vertical="center" wrapText="1"/>
    </xf>
    <xf numFmtId="0" fontId="3" fillId="0" borderId="0" xfId="0" applyFont="1"/>
    <xf numFmtId="165" fontId="5" fillId="0" borderId="0" xfId="0" applyNumberFormat="1" applyFont="1"/>
    <xf numFmtId="0" fontId="4" fillId="0" borderId="0" xfId="0" applyFont="1" applyAlignment="1">
      <alignment horizontal="right" vertical="center"/>
    </xf>
    <xf numFmtId="0" fontId="7" fillId="3" borderId="0" xfId="0" applyFont="1" applyFill="1" applyAlignment="1">
      <alignment vertical="center"/>
    </xf>
    <xf numFmtId="2" fontId="7" fillId="3" borderId="0" xfId="0" applyNumberFormat="1" applyFont="1" applyFill="1" applyAlignment="1">
      <alignment vertical="center"/>
    </xf>
    <xf numFmtId="0" fontId="0" fillId="3" borderId="0" xfId="0" applyFill="1" applyAlignment="1">
      <alignment vertical="center"/>
    </xf>
    <xf numFmtId="0" fontId="8" fillId="3" borderId="0" xfId="0" applyFont="1" applyFill="1" applyAlignment="1">
      <alignment horizontal="right" vertical="center"/>
    </xf>
    <xf numFmtId="0" fontId="8" fillId="3" borderId="0" xfId="0" applyFont="1" applyFill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165" fontId="0" fillId="0" borderId="0" xfId="0" applyNumberFormat="1"/>
    <xf numFmtId="2" fontId="0" fillId="0" borderId="0" xfId="0" applyNumberFormat="1"/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2" fontId="0" fillId="0" borderId="0" xfId="0" applyNumberFormat="1" applyAlignment="1">
      <alignment horizontal="right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65092611286837"/>
          <c:y val="8.4630317436735505E-2"/>
          <c:w val="0.62308027004645805"/>
          <c:h val="0.78383155020420658"/>
        </c:manualLayout>
      </c:layout>
      <c:scatterChart>
        <c:scatterStyle val="smoothMarker"/>
        <c:varyColors val="0"/>
        <c:ser>
          <c:idx val="1"/>
          <c:order val="0"/>
          <c:tx>
            <c:v>pnf</c:v>
          </c:tx>
          <c:marker>
            <c:symbol val="none"/>
          </c:marker>
          <c:xVal>
            <c:numRef>
              <c:f>'FULL-Steep Hopper-Filling Load'!$L$20:$L$39</c:f>
              <c:numCache>
                <c:formatCode>0.00</c:formatCode>
                <c:ptCount val="20"/>
                <c:pt idx="0">
                  <c:v>1.6157215667216498</c:v>
                </c:pt>
                <c:pt idx="1">
                  <c:v>1.7544175536550042</c:v>
                </c:pt>
                <c:pt idx="2">
                  <c:v>1.9743819232831219</c:v>
                </c:pt>
                <c:pt idx="3">
                  <c:v>2.128900780509428</c:v>
                </c:pt>
                <c:pt idx="4">
                  <c:v>2.2274879566837553</c:v>
                </c:pt>
                <c:pt idx="5">
                  <c:v>2.2769934072863278</c:v>
                </c:pt>
                <c:pt idx="6">
                  <c:v>2.2826124270150889</c:v>
                </c:pt>
                <c:pt idx="7">
                  <c:v>2.2484362853087903</c:v>
                </c:pt>
                <c:pt idx="8">
                  <c:v>2.1777799579767643</c:v>
                </c:pt>
                <c:pt idx="9">
                  <c:v>2.0733901791513181</c:v>
                </c:pt>
                <c:pt idx="10">
                  <c:v>1.9375842722158743</c:v>
                </c:pt>
                <c:pt idx="11">
                  <c:v>1.7723465533622638</c:v>
                </c:pt>
                <c:pt idx="12">
                  <c:v>1.5793974896906438</c:v>
                </c:pt>
                <c:pt idx="13">
                  <c:v>1.3652256921316996</c:v>
                </c:pt>
                <c:pt idx="14">
                  <c:v>1.1272164981414725</c:v>
                </c:pt>
                <c:pt idx="15">
                  <c:v>0.86050709889953225</c:v>
                </c:pt>
                <c:pt idx="16">
                  <c:v>0.57113847397280337</c:v>
                </c:pt>
                <c:pt idx="17">
                  <c:v>0.26007810279958321</c:v>
                </c:pt>
                <c:pt idx="18">
                  <c:v>0</c:v>
                </c:pt>
              </c:numCache>
            </c:numRef>
          </c:xVal>
          <c:yVal>
            <c:numRef>
              <c:f>'FULL-Steep Hopper-Filling Load'!$J$20:$J$39</c:f>
              <c:numCache>
                <c:formatCode>General</c:formatCode>
                <c:ptCount val="20"/>
                <c:pt idx="0">
                  <c:v>1.34</c:v>
                </c:pt>
                <c:pt idx="1">
                  <c:v>1.557445</c:v>
                </c:pt>
                <c:pt idx="2">
                  <c:v>1.992335</c:v>
                </c:pt>
                <c:pt idx="3">
                  <c:v>2.427225</c:v>
                </c:pt>
                <c:pt idx="4">
                  <c:v>2.8621150000000002</c:v>
                </c:pt>
                <c:pt idx="5">
                  <c:v>3.2970050000000004</c:v>
                </c:pt>
                <c:pt idx="6">
                  <c:v>3.7318950000000006</c:v>
                </c:pt>
                <c:pt idx="7">
                  <c:v>4.1667850000000008</c:v>
                </c:pt>
                <c:pt idx="8">
                  <c:v>4.6016750000000011</c:v>
                </c:pt>
                <c:pt idx="9">
                  <c:v>5.0365650000000013</c:v>
                </c:pt>
                <c:pt idx="10">
                  <c:v>5.4714550000000015</c:v>
                </c:pt>
                <c:pt idx="11">
                  <c:v>5.9063450000000017</c:v>
                </c:pt>
                <c:pt idx="12">
                  <c:v>6.341235000000002</c:v>
                </c:pt>
                <c:pt idx="13">
                  <c:v>6.7667690000000018</c:v>
                </c:pt>
                <c:pt idx="14">
                  <c:v>7.1923030000000017</c:v>
                </c:pt>
                <c:pt idx="15">
                  <c:v>7.6271930000000019</c:v>
                </c:pt>
                <c:pt idx="16">
                  <c:v>8.0620830000000012</c:v>
                </c:pt>
                <c:pt idx="17">
                  <c:v>8.4969730000000006</c:v>
                </c:pt>
                <c:pt idx="18">
                  <c:v>8.981618000000001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8875952"/>
        <c:axId val="438876512"/>
      </c:scatterChart>
      <c:valAx>
        <c:axId val="43887595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438876512"/>
        <c:crosses val="autoZero"/>
        <c:crossBetween val="midCat"/>
      </c:valAx>
      <c:valAx>
        <c:axId val="438876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88759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pt</a:t>
            </a:r>
            <a:r>
              <a:rPr lang="tr-TR"/>
              <a:t>f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65092611286837"/>
          <c:y val="8.4630317436735505E-2"/>
          <c:w val="0.62308027004645805"/>
          <c:h val="0.78383155020420658"/>
        </c:manualLayout>
      </c:layout>
      <c:scatterChart>
        <c:scatterStyle val="smoothMarker"/>
        <c:varyColors val="0"/>
        <c:ser>
          <c:idx val="1"/>
          <c:order val="0"/>
          <c:tx>
            <c:v>ptf</c:v>
          </c:tx>
          <c:marker>
            <c:symbol val="none"/>
          </c:marker>
          <c:xVal>
            <c:numRef>
              <c:f>'FULL-Steep Hopper-Filling Load'!$M$20:$M$38</c:f>
              <c:numCache>
                <c:formatCode>0.00</c:formatCode>
                <c:ptCount val="19"/>
                <c:pt idx="0">
                  <c:v>0.7076860462240826</c:v>
                </c:pt>
                <c:pt idx="1">
                  <c:v>0.76843488850089181</c:v>
                </c:pt>
                <c:pt idx="2">
                  <c:v>0.86477928239800739</c:v>
                </c:pt>
                <c:pt idx="3">
                  <c:v>0.93245854186312949</c:v>
                </c:pt>
                <c:pt idx="4">
                  <c:v>0.97563972502748486</c:v>
                </c:pt>
                <c:pt idx="5">
                  <c:v>0.99732311239141158</c:v>
                </c:pt>
                <c:pt idx="6">
                  <c:v>0.99978424303260893</c:v>
                </c:pt>
                <c:pt idx="7">
                  <c:v>0.98481509296525016</c:v>
                </c:pt>
                <c:pt idx="8">
                  <c:v>0.95386762159382277</c:v>
                </c:pt>
                <c:pt idx="9">
                  <c:v>0.90814489846827728</c:v>
                </c:pt>
                <c:pt idx="10">
                  <c:v>0.8486619112305529</c:v>
                </c:pt>
                <c:pt idx="11">
                  <c:v>0.77628779037267148</c:v>
                </c:pt>
                <c:pt idx="12">
                  <c:v>0.691776100484502</c:v>
                </c:pt>
                <c:pt idx="13">
                  <c:v>0.59796885315368442</c:v>
                </c:pt>
                <c:pt idx="14">
                  <c:v>0.49372082618596497</c:v>
                </c:pt>
                <c:pt idx="15">
                  <c:v>0.37690210931799512</c:v>
                </c:pt>
                <c:pt idx="16">
                  <c:v>0.25015865160008788</c:v>
                </c:pt>
                <c:pt idx="17">
                  <c:v>0.11391420902621745</c:v>
                </c:pt>
                <c:pt idx="18">
                  <c:v>0</c:v>
                </c:pt>
              </c:numCache>
            </c:numRef>
          </c:xVal>
          <c:yVal>
            <c:numRef>
              <c:f>'FULL-Steep Hopper-Filling Load'!$J$20:$J$39</c:f>
              <c:numCache>
                <c:formatCode>General</c:formatCode>
                <c:ptCount val="20"/>
                <c:pt idx="0">
                  <c:v>1.34</c:v>
                </c:pt>
                <c:pt idx="1">
                  <c:v>1.557445</c:v>
                </c:pt>
                <c:pt idx="2">
                  <c:v>1.992335</c:v>
                </c:pt>
                <c:pt idx="3">
                  <c:v>2.427225</c:v>
                </c:pt>
                <c:pt idx="4">
                  <c:v>2.8621150000000002</c:v>
                </c:pt>
                <c:pt idx="5">
                  <c:v>3.2970050000000004</c:v>
                </c:pt>
                <c:pt idx="6">
                  <c:v>3.7318950000000006</c:v>
                </c:pt>
                <c:pt idx="7">
                  <c:v>4.1667850000000008</c:v>
                </c:pt>
                <c:pt idx="8">
                  <c:v>4.6016750000000011</c:v>
                </c:pt>
                <c:pt idx="9">
                  <c:v>5.0365650000000013</c:v>
                </c:pt>
                <c:pt idx="10">
                  <c:v>5.4714550000000015</c:v>
                </c:pt>
                <c:pt idx="11">
                  <c:v>5.9063450000000017</c:v>
                </c:pt>
                <c:pt idx="12">
                  <c:v>6.341235000000002</c:v>
                </c:pt>
                <c:pt idx="13">
                  <c:v>6.7667690000000018</c:v>
                </c:pt>
                <c:pt idx="14">
                  <c:v>7.1923030000000017</c:v>
                </c:pt>
                <c:pt idx="15">
                  <c:v>7.6271930000000019</c:v>
                </c:pt>
                <c:pt idx="16">
                  <c:v>8.0620830000000012</c:v>
                </c:pt>
                <c:pt idx="17">
                  <c:v>8.4969730000000006</c:v>
                </c:pt>
                <c:pt idx="18">
                  <c:v>8.981618000000001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8878752"/>
        <c:axId val="438879312"/>
      </c:scatterChart>
      <c:valAx>
        <c:axId val="43887875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438879312"/>
        <c:crosses val="autoZero"/>
        <c:crossBetween val="midCat"/>
      </c:valAx>
      <c:valAx>
        <c:axId val="438879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88787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65092611286837"/>
          <c:y val="8.4630317436735505E-2"/>
          <c:w val="0.62308027004645805"/>
          <c:h val="0.78383155020420658"/>
        </c:manualLayout>
      </c:layout>
      <c:scatterChart>
        <c:scatterStyle val="smoothMarker"/>
        <c:varyColors val="0"/>
        <c:ser>
          <c:idx val="1"/>
          <c:order val="0"/>
          <c:tx>
            <c:v>pne</c:v>
          </c:tx>
          <c:marker>
            <c:symbol val="none"/>
          </c:marker>
          <c:xVal>
            <c:numRef>
              <c:f>'FULL-Steep Hopper-Discharge'!$L$22:$L$40</c:f>
              <c:numCache>
                <c:formatCode>0.00</c:formatCode>
                <c:ptCount val="19"/>
                <c:pt idx="0">
                  <c:v>1.6209126306397867</c:v>
                </c:pt>
                <c:pt idx="1">
                  <c:v>1.7594034253649173</c:v>
                </c:pt>
                <c:pt idx="2">
                  <c:v>1.9787752094276598</c:v>
                </c:pt>
                <c:pt idx="3">
                  <c:v>2.1325674505468211</c:v>
                </c:pt>
                <c:pt idx="4">
                  <c:v>2.2303768460140518</c:v>
                </c:pt>
                <c:pt idx="5">
                  <c:v>2.2791057500612069</c:v>
                </c:pt>
                <c:pt idx="6">
                  <c:v>2.2839845866354236</c:v>
                </c:pt>
                <c:pt idx="7">
                  <c:v>2.2491291622270544</c:v>
                </c:pt>
                <c:pt idx="8">
                  <c:v>2.1778721080451002</c:v>
                </c:pt>
                <c:pt idx="9">
                  <c:v>2.072973142033804</c:v>
                </c:pt>
                <c:pt idx="10">
                  <c:v>1.9367592885976688</c:v>
                </c:pt>
                <c:pt idx="11">
                  <c:v>1.7712221929335985</c:v>
                </c:pt>
                <c:pt idx="12">
                  <c:v>1.5780878975920327</c:v>
                </c:pt>
                <c:pt idx="13">
                  <c:v>1.3638494352756609</c:v>
                </c:pt>
                <c:pt idx="14">
                  <c:v>1.1258899853720001</c:v>
                </c:pt>
                <c:pt idx="15">
                  <c:v>0.85935411391232508</c:v>
                </c:pt>
                <c:pt idx="16">
                  <c:v>0.5702848892248612</c:v>
                </c:pt>
                <c:pt idx="17">
                  <c:v>0.25965116215157563</c:v>
                </c:pt>
                <c:pt idx="18">
                  <c:v>0</c:v>
                </c:pt>
              </c:numCache>
            </c:numRef>
          </c:xVal>
          <c:yVal>
            <c:numRef>
              <c:f>'FULL-Steep Hopper-Discharge'!$J$22:$J$41</c:f>
              <c:numCache>
                <c:formatCode>General</c:formatCode>
                <c:ptCount val="20"/>
                <c:pt idx="0">
                  <c:v>1.34</c:v>
                </c:pt>
                <c:pt idx="1">
                  <c:v>1.557445</c:v>
                </c:pt>
                <c:pt idx="2">
                  <c:v>1.992335</c:v>
                </c:pt>
                <c:pt idx="3">
                  <c:v>2.427225</c:v>
                </c:pt>
                <c:pt idx="4">
                  <c:v>2.8621150000000002</c:v>
                </c:pt>
                <c:pt idx="5">
                  <c:v>3.2970050000000004</c:v>
                </c:pt>
                <c:pt idx="6">
                  <c:v>3.7318950000000006</c:v>
                </c:pt>
                <c:pt idx="7">
                  <c:v>4.1667850000000008</c:v>
                </c:pt>
                <c:pt idx="8">
                  <c:v>4.6016750000000011</c:v>
                </c:pt>
                <c:pt idx="9">
                  <c:v>5.0365650000000013</c:v>
                </c:pt>
                <c:pt idx="10">
                  <c:v>5.4714550000000015</c:v>
                </c:pt>
                <c:pt idx="11">
                  <c:v>5.9063450000000017</c:v>
                </c:pt>
                <c:pt idx="12">
                  <c:v>6.341235000000002</c:v>
                </c:pt>
                <c:pt idx="13">
                  <c:v>6.7667690000000018</c:v>
                </c:pt>
                <c:pt idx="14">
                  <c:v>7.1923030000000017</c:v>
                </c:pt>
                <c:pt idx="15">
                  <c:v>7.6271930000000019</c:v>
                </c:pt>
                <c:pt idx="16">
                  <c:v>8.0620830000000012</c:v>
                </c:pt>
                <c:pt idx="17">
                  <c:v>8.4969730000000006</c:v>
                </c:pt>
                <c:pt idx="18">
                  <c:v>8.981618000000001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246192"/>
        <c:axId val="439246752"/>
      </c:scatterChart>
      <c:valAx>
        <c:axId val="43924619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439246752"/>
        <c:crosses val="autoZero"/>
        <c:crossBetween val="midCat"/>
      </c:valAx>
      <c:valAx>
        <c:axId val="439246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92461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65092611286837"/>
          <c:y val="8.4630317436735505E-2"/>
          <c:w val="0.62308027004645805"/>
          <c:h val="0.78383155020420658"/>
        </c:manualLayout>
      </c:layout>
      <c:scatterChart>
        <c:scatterStyle val="smoothMarker"/>
        <c:varyColors val="0"/>
        <c:ser>
          <c:idx val="1"/>
          <c:order val="0"/>
          <c:tx>
            <c:v>pte</c:v>
          </c:tx>
          <c:marker>
            <c:symbol val="none"/>
          </c:marker>
          <c:xVal>
            <c:numRef>
              <c:f>'FULL-Steep Hopper-Discharge'!$M$22:$M$40</c:f>
              <c:numCache>
                <c:formatCode>0.00</c:formatCode>
                <c:ptCount val="19"/>
                <c:pt idx="0">
                  <c:v>0.70995973222022657</c:v>
                </c:pt>
                <c:pt idx="1">
                  <c:v>0.77061870030983382</c:v>
                </c:pt>
                <c:pt idx="2">
                  <c:v>0.86670354172931496</c:v>
                </c:pt>
                <c:pt idx="3">
                  <c:v>0.93406454333950761</c:v>
                </c:pt>
                <c:pt idx="4">
                  <c:v>0.97690505855415466</c:v>
                </c:pt>
                <c:pt idx="5">
                  <c:v>0.99824831852680862</c:v>
                </c:pt>
                <c:pt idx="6">
                  <c:v>1.0003852489463156</c:v>
                </c:pt>
                <c:pt idx="7">
                  <c:v>0.98511857305544981</c:v>
                </c:pt>
                <c:pt idx="8">
                  <c:v>0.95390798332375393</c:v>
                </c:pt>
                <c:pt idx="9">
                  <c:v>0.90796223621080618</c:v>
                </c:pt>
                <c:pt idx="10">
                  <c:v>0.84830056840577894</c:v>
                </c:pt>
                <c:pt idx="11">
                  <c:v>0.77579532050491617</c:v>
                </c:pt>
                <c:pt idx="12">
                  <c:v>0.69120249914531029</c:v>
                </c:pt>
                <c:pt idx="13">
                  <c:v>0.5973660526507395</c:v>
                </c:pt>
                <c:pt idx="14">
                  <c:v>0.49313981359293607</c:v>
                </c:pt>
                <c:pt idx="15">
                  <c:v>0.37639710189359837</c:v>
                </c:pt>
                <c:pt idx="16">
                  <c:v>0.24978478148048922</c:v>
                </c:pt>
                <c:pt idx="17">
                  <c:v>0.11372720902239013</c:v>
                </c:pt>
                <c:pt idx="18">
                  <c:v>0</c:v>
                </c:pt>
              </c:numCache>
            </c:numRef>
          </c:xVal>
          <c:yVal>
            <c:numRef>
              <c:f>'FULL-Steep Hopper-Discharge'!$J$22:$J$41</c:f>
              <c:numCache>
                <c:formatCode>General</c:formatCode>
                <c:ptCount val="20"/>
                <c:pt idx="0">
                  <c:v>1.34</c:v>
                </c:pt>
                <c:pt idx="1">
                  <c:v>1.557445</c:v>
                </c:pt>
                <c:pt idx="2">
                  <c:v>1.992335</c:v>
                </c:pt>
                <c:pt idx="3">
                  <c:v>2.427225</c:v>
                </c:pt>
                <c:pt idx="4">
                  <c:v>2.8621150000000002</c:v>
                </c:pt>
                <c:pt idx="5">
                  <c:v>3.2970050000000004</c:v>
                </c:pt>
                <c:pt idx="6">
                  <c:v>3.7318950000000006</c:v>
                </c:pt>
                <c:pt idx="7">
                  <c:v>4.1667850000000008</c:v>
                </c:pt>
                <c:pt idx="8">
                  <c:v>4.6016750000000011</c:v>
                </c:pt>
                <c:pt idx="9">
                  <c:v>5.0365650000000013</c:v>
                </c:pt>
                <c:pt idx="10">
                  <c:v>5.4714550000000015</c:v>
                </c:pt>
                <c:pt idx="11">
                  <c:v>5.9063450000000017</c:v>
                </c:pt>
                <c:pt idx="12">
                  <c:v>6.341235000000002</c:v>
                </c:pt>
                <c:pt idx="13">
                  <c:v>6.7667690000000018</c:v>
                </c:pt>
                <c:pt idx="14">
                  <c:v>7.1923030000000017</c:v>
                </c:pt>
                <c:pt idx="15">
                  <c:v>7.6271930000000019</c:v>
                </c:pt>
                <c:pt idx="16">
                  <c:v>8.0620830000000012</c:v>
                </c:pt>
                <c:pt idx="17">
                  <c:v>8.4969730000000006</c:v>
                </c:pt>
                <c:pt idx="18">
                  <c:v>8.981618000000001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938016"/>
        <c:axId val="439938576"/>
      </c:scatterChart>
      <c:valAx>
        <c:axId val="43993801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439938576"/>
        <c:crosses val="autoZero"/>
        <c:crossBetween val="midCat"/>
      </c:valAx>
      <c:valAx>
        <c:axId val="439938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99380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65092611286837"/>
          <c:y val="8.4630317436735505E-2"/>
          <c:w val="0.62308027004645805"/>
          <c:h val="0.78383155020420658"/>
        </c:manualLayout>
      </c:layout>
      <c:scatterChart>
        <c:scatterStyle val="smoothMarker"/>
        <c:varyColors val="0"/>
        <c:ser>
          <c:idx val="1"/>
          <c:order val="0"/>
          <c:tx>
            <c:v>pnf</c:v>
          </c:tx>
          <c:marker>
            <c:symbol val="none"/>
          </c:marker>
          <c:xVal>
            <c:numRef>
              <c:f>'HALF-Steep Hopper-Filling Load '!$L$20:$L$33</c:f>
              <c:numCache>
                <c:formatCode>0.00</c:formatCode>
                <c:ptCount val="14"/>
                <c:pt idx="0">
                  <c:v>1.6462456675387411</c:v>
                </c:pt>
                <c:pt idx="1">
                  <c:v>1.7584328207363524</c:v>
                </c:pt>
                <c:pt idx="2">
                  <c:v>1.9107485769181671</c:v>
                </c:pt>
                <c:pt idx="3">
                  <c:v>1.9809451361706543</c:v>
                </c:pt>
                <c:pt idx="4">
                  <c:v>1.9809601877485477</c:v>
                </c:pt>
                <c:pt idx="5">
                  <c:v>1.9193888640359245</c:v>
                </c:pt>
                <c:pt idx="6">
                  <c:v>1.8027500753865888</c:v>
                </c:pt>
                <c:pt idx="7">
                  <c:v>1.6361774321643718</c:v>
                </c:pt>
                <c:pt idx="8">
                  <c:v>1.4238304732178786</c:v>
                </c:pt>
                <c:pt idx="9">
                  <c:v>1.1691557236463208</c:v>
                </c:pt>
                <c:pt idx="10">
                  <c:v>0.87506089596180292</c:v>
                </c:pt>
                <c:pt idx="11">
                  <c:v>0.54403585457438575</c:v>
                </c:pt>
                <c:pt idx="12">
                  <c:v>0.17823939343988518</c:v>
                </c:pt>
                <c:pt idx="13">
                  <c:v>0</c:v>
                </c:pt>
              </c:numCache>
            </c:numRef>
          </c:xVal>
          <c:yVal>
            <c:numRef>
              <c:f>'HALF-Steep Hopper-Filling Load '!$J$20:$J$33</c:f>
              <c:numCache>
                <c:formatCode>0.00</c:formatCode>
                <c:ptCount val="14"/>
                <c:pt idx="0">
                  <c:v>1.34</c:v>
                </c:pt>
                <c:pt idx="1">
                  <c:v>1.557445</c:v>
                </c:pt>
                <c:pt idx="2">
                  <c:v>1.992335</c:v>
                </c:pt>
                <c:pt idx="3">
                  <c:v>2.427225</c:v>
                </c:pt>
                <c:pt idx="4">
                  <c:v>2.8621150000000002</c:v>
                </c:pt>
                <c:pt idx="5">
                  <c:v>3.2970050000000004</c:v>
                </c:pt>
                <c:pt idx="6">
                  <c:v>3.7318950000000006</c:v>
                </c:pt>
                <c:pt idx="7">
                  <c:v>4.1667850000000008</c:v>
                </c:pt>
                <c:pt idx="8">
                  <c:v>4.6016750000000011</c:v>
                </c:pt>
                <c:pt idx="9">
                  <c:v>5.0365650000000013</c:v>
                </c:pt>
                <c:pt idx="10">
                  <c:v>5.4714550000000015</c:v>
                </c:pt>
                <c:pt idx="11">
                  <c:v>5.9063450000000017</c:v>
                </c:pt>
                <c:pt idx="12">
                  <c:v>6.341235000000002</c:v>
                </c:pt>
                <c:pt idx="13">
                  <c:v>6.7667690000000018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940816"/>
        <c:axId val="439266688"/>
      </c:scatterChart>
      <c:valAx>
        <c:axId val="43994081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439266688"/>
        <c:crosses val="autoZero"/>
        <c:crossBetween val="midCat"/>
      </c:valAx>
      <c:valAx>
        <c:axId val="43926668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399408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65092611286837"/>
          <c:y val="8.4630317436735505E-2"/>
          <c:w val="0.62308027004645805"/>
          <c:h val="0.78383155020420658"/>
        </c:manualLayout>
      </c:layout>
      <c:scatterChart>
        <c:scatterStyle val="smoothMarker"/>
        <c:varyColors val="0"/>
        <c:ser>
          <c:idx val="1"/>
          <c:order val="0"/>
          <c:tx>
            <c:v>ptf</c:v>
          </c:tx>
          <c:marker>
            <c:symbol val="none"/>
          </c:marker>
          <c:xVal>
            <c:numRef>
              <c:f>'HALF-Steep Hopper-Filling Load '!$M$20:$M$33</c:f>
              <c:numCache>
                <c:formatCode>0.00</c:formatCode>
                <c:ptCount val="14"/>
                <c:pt idx="0">
                  <c:v>0.72105560238196864</c:v>
                </c:pt>
                <c:pt idx="1">
                  <c:v>0.77019357548252232</c:v>
                </c:pt>
                <c:pt idx="2">
                  <c:v>0.8369078766901572</c:v>
                </c:pt>
                <c:pt idx="3">
                  <c:v>0.86765396964274655</c:v>
                </c:pt>
                <c:pt idx="4">
                  <c:v>0.8676605622338639</c:v>
                </c:pt>
                <c:pt idx="5">
                  <c:v>0.84069232244773495</c:v>
                </c:pt>
                <c:pt idx="6">
                  <c:v>0.78960453301932587</c:v>
                </c:pt>
                <c:pt idx="7">
                  <c:v>0.71664571528799481</c:v>
                </c:pt>
                <c:pt idx="8">
                  <c:v>0.62363774726943078</c:v>
                </c:pt>
                <c:pt idx="9">
                  <c:v>0.51209020695708851</c:v>
                </c:pt>
                <c:pt idx="10">
                  <c:v>0.38327667243126967</c:v>
                </c:pt>
                <c:pt idx="11">
                  <c:v>0.23828770430358096</c:v>
                </c:pt>
                <c:pt idx="12">
                  <c:v>7.8068854326669712E-2</c:v>
                </c:pt>
                <c:pt idx="13">
                  <c:v>0</c:v>
                </c:pt>
              </c:numCache>
            </c:numRef>
          </c:xVal>
          <c:yVal>
            <c:numRef>
              <c:f>'HALF-Steep Hopper-Filling Load '!$J$20:$J$33</c:f>
              <c:numCache>
                <c:formatCode>0.00</c:formatCode>
                <c:ptCount val="14"/>
                <c:pt idx="0">
                  <c:v>1.34</c:v>
                </c:pt>
                <c:pt idx="1">
                  <c:v>1.557445</c:v>
                </c:pt>
                <c:pt idx="2">
                  <c:v>1.992335</c:v>
                </c:pt>
                <c:pt idx="3">
                  <c:v>2.427225</c:v>
                </c:pt>
                <c:pt idx="4">
                  <c:v>2.8621150000000002</c:v>
                </c:pt>
                <c:pt idx="5">
                  <c:v>3.2970050000000004</c:v>
                </c:pt>
                <c:pt idx="6">
                  <c:v>3.7318950000000006</c:v>
                </c:pt>
                <c:pt idx="7">
                  <c:v>4.1667850000000008</c:v>
                </c:pt>
                <c:pt idx="8">
                  <c:v>4.6016750000000011</c:v>
                </c:pt>
                <c:pt idx="9">
                  <c:v>5.0365650000000013</c:v>
                </c:pt>
                <c:pt idx="10">
                  <c:v>5.4714550000000015</c:v>
                </c:pt>
                <c:pt idx="11">
                  <c:v>5.9063450000000017</c:v>
                </c:pt>
                <c:pt idx="12">
                  <c:v>6.341235000000002</c:v>
                </c:pt>
                <c:pt idx="13">
                  <c:v>6.7667690000000018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433552"/>
        <c:axId val="439434112"/>
      </c:scatterChart>
      <c:valAx>
        <c:axId val="43943355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439434112"/>
        <c:crosses val="autoZero"/>
        <c:crossBetween val="midCat"/>
      </c:valAx>
      <c:valAx>
        <c:axId val="43943411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394335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65092611286837"/>
          <c:y val="8.4630317436735505E-2"/>
          <c:w val="0.62308027004645805"/>
          <c:h val="0.78383155020420658"/>
        </c:manualLayout>
      </c:layout>
      <c:scatterChart>
        <c:scatterStyle val="smoothMarker"/>
        <c:varyColors val="0"/>
        <c:ser>
          <c:idx val="1"/>
          <c:order val="0"/>
          <c:tx>
            <c:v>pne</c:v>
          </c:tx>
          <c:marker>
            <c:symbol val="none"/>
          </c:marker>
          <c:xVal>
            <c:numRef>
              <c:f>'HALF-Steep Hopper-Discharge '!$L$22:$L$35</c:f>
              <c:numCache>
                <c:formatCode>0.00</c:formatCode>
                <c:ptCount val="14"/>
                <c:pt idx="0">
                  <c:v>1.6503039222283697</c:v>
                </c:pt>
                <c:pt idx="1">
                  <c:v>1.7621002054018393</c:v>
                </c:pt>
                <c:pt idx="2">
                  <c:v>1.9135282018687065</c:v>
                </c:pt>
                <c:pt idx="3">
                  <c:v>1.98280838551757</c:v>
                </c:pt>
                <c:pt idx="4">
                  <c:v>1.9819620004346199</c:v>
                </c:pt>
                <c:pt idx="5">
                  <c:v>1.919635238374042</c:v>
                </c:pt>
                <c:pt idx="6">
                  <c:v>1.8023799578588189</c:v>
                </c:pt>
                <c:pt idx="7">
                  <c:v>1.6353517986813058</c:v>
                </c:pt>
                <c:pt idx="8">
                  <c:v>1.4227253609143362</c:v>
                </c:pt>
                <c:pt idx="9">
                  <c:v>1.1679575883385249</c:v>
                </c:pt>
                <c:pt idx="10">
                  <c:v>0.87396341382200426</c:v>
                </c:pt>
                <c:pt idx="11">
                  <c:v>0.54323765952259895</c:v>
                </c:pt>
                <c:pt idx="12">
                  <c:v>0.17794244206975146</c:v>
                </c:pt>
                <c:pt idx="13">
                  <c:v>0</c:v>
                </c:pt>
              </c:numCache>
            </c:numRef>
          </c:xVal>
          <c:yVal>
            <c:numRef>
              <c:f>'HALF-Steep Hopper-Discharge '!$J$22:$J$37</c:f>
              <c:numCache>
                <c:formatCode>0.00</c:formatCode>
                <c:ptCount val="16"/>
                <c:pt idx="0">
                  <c:v>1.34</c:v>
                </c:pt>
                <c:pt idx="1">
                  <c:v>1.557445</c:v>
                </c:pt>
                <c:pt idx="2">
                  <c:v>1.992335</c:v>
                </c:pt>
                <c:pt idx="3">
                  <c:v>2.427225</c:v>
                </c:pt>
                <c:pt idx="4">
                  <c:v>2.8621150000000002</c:v>
                </c:pt>
                <c:pt idx="5">
                  <c:v>3.2970050000000004</c:v>
                </c:pt>
                <c:pt idx="6">
                  <c:v>3.7318950000000006</c:v>
                </c:pt>
                <c:pt idx="7">
                  <c:v>4.1667850000000008</c:v>
                </c:pt>
                <c:pt idx="8">
                  <c:v>4.6016750000000011</c:v>
                </c:pt>
                <c:pt idx="9">
                  <c:v>5.0365650000000013</c:v>
                </c:pt>
                <c:pt idx="10">
                  <c:v>5.4714550000000015</c:v>
                </c:pt>
                <c:pt idx="11">
                  <c:v>5.9063450000000017</c:v>
                </c:pt>
                <c:pt idx="12">
                  <c:v>6.341235000000002</c:v>
                </c:pt>
                <c:pt idx="13">
                  <c:v>6.7667690000000018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436352"/>
        <c:axId val="439606352"/>
      </c:scatterChart>
      <c:valAx>
        <c:axId val="43943635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439606352"/>
        <c:crosses val="autoZero"/>
        <c:crossBetween val="midCat"/>
      </c:valAx>
      <c:valAx>
        <c:axId val="43960635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394363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65092611286837"/>
          <c:y val="8.4630317436735505E-2"/>
          <c:w val="0.62308027004645805"/>
          <c:h val="0.78383155020420658"/>
        </c:manualLayout>
      </c:layout>
      <c:scatterChart>
        <c:scatterStyle val="smoothMarker"/>
        <c:varyColors val="0"/>
        <c:ser>
          <c:idx val="1"/>
          <c:order val="0"/>
          <c:tx>
            <c:v>pte</c:v>
          </c:tx>
          <c:marker>
            <c:symbol val="none"/>
          </c:marker>
          <c:xVal>
            <c:numRef>
              <c:f>'HALF-Steep Hopper-Discharge '!$M$22:$M$35</c:f>
              <c:numCache>
                <c:formatCode>0.00</c:formatCode>
                <c:ptCount val="14"/>
                <c:pt idx="0">
                  <c:v>0.722833117936026</c:v>
                </c:pt>
                <c:pt idx="1">
                  <c:v>0.77179988996600557</c:v>
                </c:pt>
                <c:pt idx="2">
                  <c:v>0.83812535241849351</c:v>
                </c:pt>
                <c:pt idx="3">
                  <c:v>0.86847007285669564</c:v>
                </c:pt>
                <c:pt idx="4">
                  <c:v>0.86809935619036349</c:v>
                </c:pt>
                <c:pt idx="5">
                  <c:v>0.84080023440783036</c:v>
                </c:pt>
                <c:pt idx="6">
                  <c:v>0.78944242154216271</c:v>
                </c:pt>
                <c:pt idx="7">
                  <c:v>0.71628408782241193</c:v>
                </c:pt>
                <c:pt idx="8">
                  <c:v>0.62315370808047921</c:v>
                </c:pt>
                <c:pt idx="9">
                  <c:v>0.51156542369227387</c:v>
                </c:pt>
                <c:pt idx="10">
                  <c:v>0.38279597525403786</c:v>
                </c:pt>
                <c:pt idx="11">
                  <c:v>0.23793809487089834</c:v>
                </c:pt>
                <c:pt idx="12">
                  <c:v>7.7938789626551139E-2</c:v>
                </c:pt>
                <c:pt idx="13">
                  <c:v>0</c:v>
                </c:pt>
              </c:numCache>
            </c:numRef>
          </c:xVal>
          <c:yVal>
            <c:numRef>
              <c:f>'HALF-Steep Hopper-Discharge '!$J$22:$J$37</c:f>
              <c:numCache>
                <c:formatCode>0.00</c:formatCode>
                <c:ptCount val="16"/>
                <c:pt idx="0">
                  <c:v>1.34</c:v>
                </c:pt>
                <c:pt idx="1">
                  <c:v>1.557445</c:v>
                </c:pt>
                <c:pt idx="2">
                  <c:v>1.992335</c:v>
                </c:pt>
                <c:pt idx="3">
                  <c:v>2.427225</c:v>
                </c:pt>
                <c:pt idx="4">
                  <c:v>2.8621150000000002</c:v>
                </c:pt>
                <c:pt idx="5">
                  <c:v>3.2970050000000004</c:v>
                </c:pt>
                <c:pt idx="6">
                  <c:v>3.7318950000000006</c:v>
                </c:pt>
                <c:pt idx="7">
                  <c:v>4.1667850000000008</c:v>
                </c:pt>
                <c:pt idx="8">
                  <c:v>4.6016750000000011</c:v>
                </c:pt>
                <c:pt idx="9">
                  <c:v>5.0365650000000013</c:v>
                </c:pt>
                <c:pt idx="10">
                  <c:v>5.4714550000000015</c:v>
                </c:pt>
                <c:pt idx="11">
                  <c:v>5.9063450000000017</c:v>
                </c:pt>
                <c:pt idx="12">
                  <c:v>6.341235000000002</c:v>
                </c:pt>
                <c:pt idx="13">
                  <c:v>6.7667690000000018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608592"/>
        <c:axId val="439609152"/>
      </c:scatterChart>
      <c:valAx>
        <c:axId val="43960859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439609152"/>
        <c:crosses val="autoZero"/>
        <c:crossBetween val="midCat"/>
      </c:valAx>
      <c:valAx>
        <c:axId val="43960915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396085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5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5.emf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5.emf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image" Target="../media/image5.emf"/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40</xdr:row>
      <xdr:rowOff>12335</xdr:rowOff>
    </xdr:from>
    <xdr:to>
      <xdr:col>4</xdr:col>
      <xdr:colOff>1666875</xdr:colOff>
      <xdr:row>46</xdr:row>
      <xdr:rowOff>90453</xdr:rowOff>
    </xdr:to>
    <xdr:pic>
      <xdr:nvPicPr>
        <xdr:cNvPr id="2" name="Resi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6" y="3250835"/>
          <a:ext cx="4714874" cy="1221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49</xdr:row>
          <xdr:rowOff>142875</xdr:rowOff>
        </xdr:from>
        <xdr:to>
          <xdr:col>1</xdr:col>
          <xdr:colOff>1200150</xdr:colOff>
          <xdr:row>52</xdr:row>
          <xdr:rowOff>19050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49</xdr:row>
          <xdr:rowOff>133350</xdr:rowOff>
        </xdr:from>
        <xdr:to>
          <xdr:col>1</xdr:col>
          <xdr:colOff>2286000</xdr:colOff>
          <xdr:row>51</xdr:row>
          <xdr:rowOff>161925</xdr:rowOff>
        </xdr:to>
        <xdr:sp macro="" textlink="">
          <xdr:nvSpPr>
            <xdr:cNvPr id="6147" name="Object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76200</xdr:colOff>
      <xdr:row>16</xdr:row>
      <xdr:rowOff>104775</xdr:rowOff>
    </xdr:from>
    <xdr:to>
      <xdr:col>4</xdr:col>
      <xdr:colOff>1905000</xdr:colOff>
      <xdr:row>33</xdr:row>
      <xdr:rowOff>104775</xdr:rowOff>
    </xdr:to>
    <xdr:pic>
      <xdr:nvPicPr>
        <xdr:cNvPr id="5" name="Resim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152775"/>
          <a:ext cx="4905375" cy="323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20</xdr:row>
      <xdr:rowOff>95251</xdr:rowOff>
    </xdr:from>
    <xdr:to>
      <xdr:col>4</xdr:col>
      <xdr:colOff>47625</xdr:colOff>
      <xdr:row>31</xdr:row>
      <xdr:rowOff>19051</xdr:rowOff>
    </xdr:to>
    <xdr:graphicFrame macro="">
      <xdr:nvGraphicFramePr>
        <xdr:cNvPr id="3" name="Grafi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200025</xdr:colOff>
      <xdr:row>14</xdr:row>
      <xdr:rowOff>95249</xdr:rowOff>
    </xdr:from>
    <xdr:to>
      <xdr:col>1</xdr:col>
      <xdr:colOff>2450901</xdr:colOff>
      <xdr:row>17</xdr:row>
      <xdr:rowOff>66674</xdr:rowOff>
    </xdr:to>
    <xdr:pic>
      <xdr:nvPicPr>
        <xdr:cNvPr id="4" name="Resi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571749"/>
          <a:ext cx="2250876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33</xdr:row>
      <xdr:rowOff>0</xdr:rowOff>
    </xdr:from>
    <xdr:to>
      <xdr:col>4</xdr:col>
      <xdr:colOff>171450</xdr:colOff>
      <xdr:row>43</xdr:row>
      <xdr:rowOff>114300</xdr:rowOff>
    </xdr:to>
    <xdr:graphicFrame macro="">
      <xdr:nvGraphicFramePr>
        <xdr:cNvPr id="5" name="Grafi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24</xdr:row>
      <xdr:rowOff>95251</xdr:rowOff>
    </xdr:from>
    <xdr:to>
      <xdr:col>4</xdr:col>
      <xdr:colOff>47625</xdr:colOff>
      <xdr:row>35</xdr:row>
      <xdr:rowOff>19051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78383</xdr:colOff>
      <xdr:row>16</xdr:row>
      <xdr:rowOff>95250</xdr:rowOff>
    </xdr:from>
    <xdr:to>
      <xdr:col>2</xdr:col>
      <xdr:colOff>66675</xdr:colOff>
      <xdr:row>19</xdr:row>
      <xdr:rowOff>161925</xdr:rowOff>
    </xdr:to>
    <xdr:pic>
      <xdr:nvPicPr>
        <xdr:cNvPr id="3" name="Resi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83" y="3143250"/>
          <a:ext cx="2645767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504825</xdr:colOff>
      <xdr:row>35</xdr:row>
      <xdr:rowOff>161925</xdr:rowOff>
    </xdr:from>
    <xdr:to>
      <xdr:col>4</xdr:col>
      <xdr:colOff>66675</xdr:colOff>
      <xdr:row>46</xdr:row>
      <xdr:rowOff>85725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19</xdr:row>
      <xdr:rowOff>38101</xdr:rowOff>
    </xdr:from>
    <xdr:to>
      <xdr:col>3</xdr:col>
      <xdr:colOff>381000</xdr:colOff>
      <xdr:row>29</xdr:row>
      <xdr:rowOff>152401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723900</xdr:colOff>
      <xdr:row>14</xdr:row>
      <xdr:rowOff>38100</xdr:rowOff>
    </xdr:from>
    <xdr:to>
      <xdr:col>1</xdr:col>
      <xdr:colOff>2619375</xdr:colOff>
      <xdr:row>16</xdr:row>
      <xdr:rowOff>114300</xdr:rowOff>
    </xdr:to>
    <xdr:pic>
      <xdr:nvPicPr>
        <xdr:cNvPr id="3" name="Resi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2514600"/>
          <a:ext cx="1895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31</xdr:row>
      <xdr:rowOff>0</xdr:rowOff>
    </xdr:from>
    <xdr:to>
      <xdr:col>4</xdr:col>
      <xdr:colOff>171450</xdr:colOff>
      <xdr:row>41</xdr:row>
      <xdr:rowOff>114300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24</xdr:row>
      <xdr:rowOff>95251</xdr:rowOff>
    </xdr:from>
    <xdr:to>
      <xdr:col>4</xdr:col>
      <xdr:colOff>47625</xdr:colOff>
      <xdr:row>35</xdr:row>
      <xdr:rowOff>19051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573683</xdr:colOff>
      <xdr:row>19</xdr:row>
      <xdr:rowOff>171450</xdr:rowOff>
    </xdr:from>
    <xdr:to>
      <xdr:col>1</xdr:col>
      <xdr:colOff>2609850</xdr:colOff>
      <xdr:row>20</xdr:row>
      <xdr:rowOff>619125</xdr:rowOff>
    </xdr:to>
    <xdr:pic>
      <xdr:nvPicPr>
        <xdr:cNvPr id="3" name="Resi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683" y="3600450"/>
          <a:ext cx="2645767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37</xdr:row>
      <xdr:rowOff>0</xdr:rowOff>
    </xdr:from>
    <xdr:to>
      <xdr:col>4</xdr:col>
      <xdr:colOff>171450</xdr:colOff>
      <xdr:row>47</xdr:row>
      <xdr:rowOff>114300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F54"/>
  <sheetViews>
    <sheetView topLeftCell="A4" workbookViewId="0">
      <selection activeCell="B40" sqref="B40:F53"/>
    </sheetView>
  </sheetViews>
  <sheetFormatPr defaultRowHeight="15" x14ac:dyDescent="0.25"/>
  <cols>
    <col min="1" max="1" width="9.140625" style="1"/>
    <col min="2" max="2" width="38.42578125" style="1" bestFit="1" customWidth="1"/>
    <col min="3" max="3" width="1.5703125" style="1" bestFit="1" customWidth="1"/>
    <col min="4" max="4" width="6.140625" style="1" bestFit="1" customWidth="1"/>
    <col min="5" max="5" width="28.85546875" style="1" customWidth="1"/>
    <col min="6" max="16384" width="9.140625" style="1"/>
  </cols>
  <sheetData>
    <row r="2" spans="2:6" x14ac:dyDescent="0.25">
      <c r="B2" s="36" t="s">
        <v>20</v>
      </c>
      <c r="C2" s="36"/>
      <c r="D2" s="36"/>
      <c r="E2" s="36"/>
      <c r="F2" s="36"/>
    </row>
    <row r="3" spans="2:6" x14ac:dyDescent="0.25">
      <c r="B3" s="1" t="s">
        <v>21</v>
      </c>
      <c r="C3" s="1" t="s">
        <v>0</v>
      </c>
      <c r="D3" s="1" t="s">
        <v>22</v>
      </c>
    </row>
    <row r="4" spans="2:6" x14ac:dyDescent="0.25">
      <c r="B4" s="1" t="s">
        <v>23</v>
      </c>
      <c r="C4" s="1" t="s">
        <v>0</v>
      </c>
      <c r="D4" s="1">
        <v>0.7</v>
      </c>
      <c r="E4" s="1" t="s">
        <v>5</v>
      </c>
    </row>
    <row r="5" spans="2:6" x14ac:dyDescent="0.25">
      <c r="B5" s="1" t="s">
        <v>24</v>
      </c>
      <c r="C5" s="1" t="s">
        <v>0</v>
      </c>
      <c r="D5" s="1">
        <v>1</v>
      </c>
      <c r="E5" s="1" t="s">
        <v>5</v>
      </c>
    </row>
    <row r="7" spans="2:6" x14ac:dyDescent="0.25">
      <c r="B7" s="1" t="s">
        <v>25</v>
      </c>
      <c r="C7" s="1" t="s">
        <v>0</v>
      </c>
      <c r="D7" s="1">
        <v>0.52</v>
      </c>
    </row>
    <row r="8" spans="2:6" x14ac:dyDescent="0.25">
      <c r="B8" s="1" t="s">
        <v>28</v>
      </c>
      <c r="C8" s="1" t="s">
        <v>0</v>
      </c>
      <c r="D8" s="1">
        <v>1.1499999999999999</v>
      </c>
    </row>
    <row r="9" spans="2:6" x14ac:dyDescent="0.25">
      <c r="B9" s="1" t="s">
        <v>30</v>
      </c>
      <c r="C9" s="1" t="s">
        <v>0</v>
      </c>
      <c r="D9" s="2">
        <f>D7*D8</f>
        <v>0.59799999999999998</v>
      </c>
    </row>
    <row r="10" spans="2:6" x14ac:dyDescent="0.25">
      <c r="B10" s="1" t="s">
        <v>31</v>
      </c>
      <c r="C10" s="1" t="s">
        <v>0</v>
      </c>
      <c r="D10" s="2">
        <f>D7/D8</f>
        <v>0.45217391304347831</v>
      </c>
    </row>
    <row r="12" spans="2:6" x14ac:dyDescent="0.25">
      <c r="B12" s="1" t="s">
        <v>26</v>
      </c>
      <c r="C12" s="1" t="s">
        <v>0</v>
      </c>
      <c r="D12" s="1" t="s">
        <v>57</v>
      </c>
      <c r="E12" s="37" t="s">
        <v>58</v>
      </c>
      <c r="F12" s="37"/>
    </row>
    <row r="13" spans="2:6" x14ac:dyDescent="0.25">
      <c r="B13" s="1" t="s">
        <v>27</v>
      </c>
      <c r="C13" s="1" t="s">
        <v>0</v>
      </c>
      <c r="D13" s="1">
        <v>0.49</v>
      </c>
    </row>
    <row r="14" spans="2:6" x14ac:dyDescent="0.25">
      <c r="B14" s="1" t="s">
        <v>29</v>
      </c>
      <c r="C14" s="1" t="s">
        <v>0</v>
      </c>
      <c r="D14" s="1">
        <v>1.1200000000000001</v>
      </c>
    </row>
    <row r="15" spans="2:6" x14ac:dyDescent="0.25">
      <c r="B15" s="1" t="s">
        <v>32</v>
      </c>
      <c r="C15" s="1" t="s">
        <v>0</v>
      </c>
      <c r="D15" s="2">
        <f>D13*D14</f>
        <v>0.54880000000000007</v>
      </c>
    </row>
    <row r="16" spans="2:6" x14ac:dyDescent="0.25">
      <c r="B16" s="1" t="s">
        <v>33</v>
      </c>
      <c r="C16" s="1" t="s">
        <v>0</v>
      </c>
      <c r="D16" s="2">
        <f>D13/D14</f>
        <v>0.43749999999999994</v>
      </c>
    </row>
    <row r="17" spans="4:4" x14ac:dyDescent="0.25">
      <c r="D17" s="2"/>
    </row>
    <row r="18" spans="4:4" x14ac:dyDescent="0.25">
      <c r="D18" s="2"/>
    </row>
    <row r="19" spans="4:4" x14ac:dyDescent="0.25">
      <c r="D19" s="2"/>
    </row>
    <row r="20" spans="4:4" x14ac:dyDescent="0.25">
      <c r="D20" s="2"/>
    </row>
    <row r="21" spans="4:4" x14ac:dyDescent="0.25">
      <c r="D21" s="2"/>
    </row>
    <row r="22" spans="4:4" x14ac:dyDescent="0.25">
      <c r="D22" s="2"/>
    </row>
    <row r="23" spans="4:4" x14ac:dyDescent="0.25">
      <c r="D23" s="2"/>
    </row>
    <row r="24" spans="4:4" x14ac:dyDescent="0.25">
      <c r="D24" s="2"/>
    </row>
    <row r="25" spans="4:4" x14ac:dyDescent="0.25">
      <c r="D25" s="2"/>
    </row>
    <row r="26" spans="4:4" x14ac:dyDescent="0.25">
      <c r="D26" s="2"/>
    </row>
    <row r="27" spans="4:4" x14ac:dyDescent="0.25">
      <c r="D27" s="2"/>
    </row>
    <row r="28" spans="4:4" x14ac:dyDescent="0.25">
      <c r="D28" s="2"/>
    </row>
    <row r="29" spans="4:4" x14ac:dyDescent="0.25">
      <c r="D29" s="2"/>
    </row>
    <row r="30" spans="4:4" x14ac:dyDescent="0.25">
      <c r="D30" s="2"/>
    </row>
    <row r="31" spans="4:4" x14ac:dyDescent="0.25">
      <c r="D31" s="2"/>
    </row>
    <row r="32" spans="4:4" x14ac:dyDescent="0.25">
      <c r="D32" s="2"/>
    </row>
    <row r="33" spans="2:5" x14ac:dyDescent="0.25">
      <c r="D33" s="2"/>
    </row>
    <row r="34" spans="2:5" x14ac:dyDescent="0.25">
      <c r="D34" s="2"/>
    </row>
    <row r="35" spans="2:5" x14ac:dyDescent="0.25">
      <c r="B35" s="1" t="s">
        <v>44</v>
      </c>
      <c r="C35" s="1" t="s">
        <v>0</v>
      </c>
      <c r="D35" s="1">
        <v>31</v>
      </c>
      <c r="E35" s="23" t="s">
        <v>1</v>
      </c>
    </row>
    <row r="36" spans="2:5" x14ac:dyDescent="0.25">
      <c r="B36" s="1" t="s">
        <v>45</v>
      </c>
      <c r="C36" s="1" t="s">
        <v>0</v>
      </c>
      <c r="D36" s="1">
        <v>1.1599999999999999</v>
      </c>
    </row>
    <row r="37" spans="2:5" x14ac:dyDescent="0.25">
      <c r="B37" s="1" t="s">
        <v>46</v>
      </c>
      <c r="C37" s="1" t="s">
        <v>0</v>
      </c>
      <c r="D37" s="24">
        <f>D35*D36</f>
        <v>35.96</v>
      </c>
      <c r="E37" s="23" t="s">
        <v>1</v>
      </c>
    </row>
    <row r="38" spans="2:5" x14ac:dyDescent="0.25">
      <c r="B38" s="1" t="s">
        <v>47</v>
      </c>
      <c r="C38" s="1" t="s">
        <v>0</v>
      </c>
      <c r="D38" s="24">
        <f>D35/D36</f>
        <v>26.724137931034484</v>
      </c>
      <c r="E38" s="23" t="s">
        <v>1</v>
      </c>
    </row>
    <row r="39" spans="2:5" x14ac:dyDescent="0.25">
      <c r="D39" s="2"/>
    </row>
    <row r="49" spans="2:6" x14ac:dyDescent="0.25">
      <c r="B49" s="36" t="s">
        <v>20</v>
      </c>
      <c r="C49" s="36"/>
      <c r="D49" s="36"/>
      <c r="E49" s="36"/>
      <c r="F49" s="36"/>
    </row>
    <row r="53" spans="2:6" x14ac:dyDescent="0.25">
      <c r="B53" s="37" t="s">
        <v>34</v>
      </c>
      <c r="C53" s="37"/>
      <c r="D53" s="37"/>
      <c r="E53" s="37"/>
      <c r="F53" s="37"/>
    </row>
    <row r="54" spans="2:6" x14ac:dyDescent="0.25">
      <c r="F54"/>
    </row>
  </sheetData>
  <mergeCells count="4">
    <mergeCell ref="B2:F2"/>
    <mergeCell ref="E12:F12"/>
    <mergeCell ref="B49:F49"/>
    <mergeCell ref="B53:F53"/>
  </mergeCells>
  <pageMargins left="0.7" right="0.7" top="0.75" bottom="0.75" header="0.3" footer="0.3"/>
  <pageSetup paperSize="9" scale="90" orientation="landscape" r:id="rId1"/>
  <drawing r:id="rId2"/>
  <legacyDrawing r:id="rId3"/>
  <oleObjects>
    <mc:AlternateContent xmlns:mc="http://schemas.openxmlformats.org/markup-compatibility/2006">
      <mc:Choice Requires="x14">
        <oleObject progId="Equation.3" shapeId="6146" r:id="rId4">
          <objectPr defaultSize="0" autoPict="0" r:id="rId5">
            <anchor moveWithCells="1" sizeWithCells="1">
              <from>
                <xdr:col>1</xdr:col>
                <xdr:colOff>66675</xdr:colOff>
                <xdr:row>49</xdr:row>
                <xdr:rowOff>142875</xdr:rowOff>
              </from>
              <to>
                <xdr:col>1</xdr:col>
                <xdr:colOff>1200150</xdr:colOff>
                <xdr:row>52</xdr:row>
                <xdr:rowOff>19050</xdr:rowOff>
              </to>
            </anchor>
          </objectPr>
        </oleObject>
      </mc:Choice>
      <mc:Fallback>
        <oleObject progId="Equation.3" shapeId="6146" r:id="rId4"/>
      </mc:Fallback>
    </mc:AlternateContent>
    <mc:AlternateContent xmlns:mc="http://schemas.openxmlformats.org/markup-compatibility/2006">
      <mc:Choice Requires="x14">
        <oleObject progId="Equation.3" shapeId="6147" r:id="rId6">
          <objectPr defaultSize="0" autoPict="0" r:id="rId7">
            <anchor moveWithCells="1">
              <from>
                <xdr:col>1</xdr:col>
                <xdr:colOff>238125</xdr:colOff>
                <xdr:row>49</xdr:row>
                <xdr:rowOff>133350</xdr:rowOff>
              </from>
              <to>
                <xdr:col>1</xdr:col>
                <xdr:colOff>2286000</xdr:colOff>
                <xdr:row>51</xdr:row>
                <xdr:rowOff>161925</xdr:rowOff>
              </to>
            </anchor>
          </objectPr>
        </oleObject>
      </mc:Choice>
      <mc:Fallback>
        <oleObject progId="Equation.3" shapeId="6147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43"/>
  <sheetViews>
    <sheetView tabSelected="1" workbookViewId="0">
      <selection activeCell="R9" sqref="R9"/>
    </sheetView>
  </sheetViews>
  <sheetFormatPr defaultRowHeight="15" x14ac:dyDescent="0.25"/>
  <cols>
    <col min="1" max="1" width="9.140625" style="4"/>
    <col min="2" max="2" width="39.85546875" style="3" bestFit="1" customWidth="1"/>
    <col min="3" max="3" width="1.5703125" style="4" bestFit="1" customWidth="1"/>
    <col min="4" max="4" width="6.140625" style="4" bestFit="1" customWidth="1"/>
    <col min="5" max="5" width="5.28515625" style="4" bestFit="1" customWidth="1"/>
    <col min="6" max="6" width="24.7109375" style="4" bestFit="1" customWidth="1"/>
    <col min="7" max="7" width="4.28515625" style="4" customWidth="1"/>
    <col min="8" max="9" width="4.85546875" style="4" customWidth="1"/>
    <col min="10" max="10" width="13.28515625" style="4" customWidth="1"/>
    <col min="11" max="11" width="10.140625" style="5" customWidth="1"/>
    <col min="12" max="12" width="9.85546875" style="5" bestFit="1" customWidth="1"/>
    <col min="13" max="13" width="12" style="5" bestFit="1" customWidth="1"/>
    <col min="14" max="14" width="9.140625" style="4"/>
    <col min="15" max="15" width="5.5703125" style="4" bestFit="1" customWidth="1"/>
    <col min="16" max="16" width="5.7109375" style="4" bestFit="1" customWidth="1"/>
    <col min="17" max="17" width="6.85546875" style="4" bestFit="1" customWidth="1"/>
    <col min="18" max="18" width="8.140625" style="4" bestFit="1" customWidth="1"/>
    <col min="19" max="19" width="7.7109375" style="4" bestFit="1" customWidth="1"/>
    <col min="20" max="20" width="2" style="4" bestFit="1" customWidth="1"/>
    <col min="21" max="21" width="5.5703125" style="4" bestFit="1" customWidth="1"/>
    <col min="22" max="22" width="4" style="4" bestFit="1" customWidth="1"/>
    <col min="23" max="16384" width="9.140625" style="4"/>
  </cols>
  <sheetData>
    <row r="2" spans="2:23" x14ac:dyDescent="0.25">
      <c r="G2" s="28"/>
      <c r="H2" s="28"/>
      <c r="I2" s="28"/>
      <c r="V2" s="6"/>
      <c r="W2" s="6"/>
    </row>
    <row r="3" spans="2:23" x14ac:dyDescent="0.25">
      <c r="B3" s="39" t="s">
        <v>53</v>
      </c>
      <c r="C3" s="40"/>
      <c r="D3" s="40"/>
      <c r="E3" s="40"/>
      <c r="F3" s="41"/>
      <c r="G3" s="32"/>
      <c r="H3" s="32"/>
      <c r="I3" s="32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2:23" x14ac:dyDescent="0.25">
      <c r="B4" s="3" t="s">
        <v>35</v>
      </c>
      <c r="C4" s="4" t="s">
        <v>0</v>
      </c>
      <c r="D4" s="4">
        <v>2</v>
      </c>
      <c r="F4" s="6" t="s">
        <v>36</v>
      </c>
      <c r="G4" s="33"/>
      <c r="H4" s="33"/>
      <c r="I4" s="33"/>
      <c r="J4" s="6"/>
      <c r="K4" s="6"/>
      <c r="L4" s="6"/>
      <c r="M4" s="6"/>
      <c r="V4" s="6"/>
      <c r="W4" s="6"/>
    </row>
    <row r="5" spans="2:23" x14ac:dyDescent="0.25">
      <c r="B5" s="7" t="s">
        <v>37</v>
      </c>
      <c r="C5" s="4" t="s">
        <v>0</v>
      </c>
      <c r="D5" s="4">
        <v>0.85</v>
      </c>
      <c r="E5" s="4" t="s">
        <v>5</v>
      </c>
      <c r="G5" s="28"/>
      <c r="H5" s="28"/>
      <c r="I5" s="28"/>
      <c r="V5" s="6"/>
      <c r="W5" s="6"/>
    </row>
    <row r="6" spans="2:23" x14ac:dyDescent="0.25">
      <c r="B6" s="3" t="s">
        <v>38</v>
      </c>
      <c r="C6" s="4" t="s">
        <v>0</v>
      </c>
      <c r="D6" s="4">
        <f>7.5+1.34</f>
        <v>8.84</v>
      </c>
      <c r="E6" s="4" t="s">
        <v>3</v>
      </c>
      <c r="V6" s="6"/>
      <c r="W6" s="6"/>
    </row>
    <row r="7" spans="2:23" x14ac:dyDescent="0.25">
      <c r="B7" s="8" t="s">
        <v>4</v>
      </c>
      <c r="C7" s="9" t="s">
        <v>0</v>
      </c>
      <c r="D7" s="10">
        <v>0.438</v>
      </c>
    </row>
    <row r="8" spans="2:23" x14ac:dyDescent="0.25">
      <c r="B8" s="11" t="s">
        <v>19</v>
      </c>
      <c r="C8" s="9" t="s">
        <v>0</v>
      </c>
      <c r="D8" s="10">
        <v>0.438</v>
      </c>
    </row>
    <row r="9" spans="2:23" x14ac:dyDescent="0.25">
      <c r="B9" s="11" t="s">
        <v>2</v>
      </c>
      <c r="C9" s="9" t="s">
        <v>0</v>
      </c>
      <c r="D9" s="9">
        <v>30</v>
      </c>
      <c r="E9" s="12" t="s">
        <v>1</v>
      </c>
    </row>
    <row r="10" spans="2:23" x14ac:dyDescent="0.25">
      <c r="B10" s="11" t="s">
        <v>59</v>
      </c>
      <c r="C10" s="9" t="s">
        <v>0</v>
      </c>
      <c r="D10" s="9">
        <v>1.6</v>
      </c>
      <c r="E10" s="12"/>
    </row>
    <row r="11" spans="2:23" x14ac:dyDescent="0.25">
      <c r="B11" s="11"/>
      <c r="C11" s="9"/>
      <c r="D11" s="10"/>
    </row>
    <row r="12" spans="2:23" x14ac:dyDescent="0.25">
      <c r="B12" s="3" t="s">
        <v>7</v>
      </c>
      <c r="C12" s="4" t="s">
        <v>0</v>
      </c>
      <c r="D12" s="4">
        <v>0.2</v>
      </c>
    </row>
    <row r="13" spans="2:23" x14ac:dyDescent="0.25">
      <c r="B13" s="3" t="s">
        <v>39</v>
      </c>
      <c r="C13" s="4" t="s">
        <v>0</v>
      </c>
      <c r="D13" s="4">
        <f>1-D12/(1+TAN(D9*PI()/180)/D8)</f>
        <v>0.91372435438470356</v>
      </c>
    </row>
    <row r="14" spans="2:23" x14ac:dyDescent="0.25">
      <c r="B14" s="3" t="s">
        <v>8</v>
      </c>
      <c r="C14" s="4" t="s">
        <v>0</v>
      </c>
      <c r="D14" s="4">
        <f>D4*(1-D12)*D8*1/TAN(D9*PI()/180)</f>
        <v>1.2138212059442695</v>
      </c>
    </row>
    <row r="16" spans="2:23" x14ac:dyDescent="0.25">
      <c r="G16" s="26"/>
      <c r="H16" s="26"/>
      <c r="I16" s="26"/>
    </row>
    <row r="19" spans="6:20" ht="60" x14ac:dyDescent="0.25">
      <c r="J19" s="18" t="s">
        <v>41</v>
      </c>
      <c r="K19" s="19" t="s">
        <v>40</v>
      </c>
      <c r="L19" s="19" t="s">
        <v>42</v>
      </c>
      <c r="M19" s="19" t="s">
        <v>60</v>
      </c>
      <c r="N19" s="13"/>
      <c r="O19" s="22" t="s">
        <v>9</v>
      </c>
      <c r="P19" s="19" t="s">
        <v>6</v>
      </c>
      <c r="Q19" s="22" t="s">
        <v>10</v>
      </c>
      <c r="R19" s="22" t="s">
        <v>11</v>
      </c>
      <c r="S19" s="22" t="s">
        <v>12</v>
      </c>
      <c r="T19" s="14"/>
    </row>
    <row r="20" spans="6:20" x14ac:dyDescent="0.25">
      <c r="F20" s="4" t="s">
        <v>17</v>
      </c>
      <c r="H20" s="4">
        <v>0</v>
      </c>
      <c r="J20" s="20">
        <v>1.34</v>
      </c>
      <c r="K20" s="21">
        <f t="shared" ref="K20:K29" si="0">($D$5*$D$6/($D$14-1))*(J20/$D$6-(J20/$D$6)^$D$14)</f>
        <v>1.7682811659427278</v>
      </c>
      <c r="L20" s="21">
        <f t="shared" ref="L20:L29" si="1">K20*$D$13</f>
        <v>1.6157215667216498</v>
      </c>
      <c r="M20" s="21">
        <f t="shared" ref="M20:M29" si="2">L20*$D$8</f>
        <v>0.7076860462240826</v>
      </c>
      <c r="O20" s="21">
        <v>1.52</v>
      </c>
      <c r="P20" s="21">
        <v>0</v>
      </c>
      <c r="Q20" s="21">
        <f t="shared" ref="Q20:Q29" si="3">O20*4*P20</f>
        <v>0</v>
      </c>
      <c r="R20" s="21">
        <f t="shared" ref="R20:R29" si="4">Q20*L20</f>
        <v>0</v>
      </c>
      <c r="S20" s="21">
        <f t="shared" ref="S20:S29" si="5">Q20*M20</f>
        <v>0</v>
      </c>
      <c r="T20" s="5"/>
    </row>
    <row r="21" spans="6:20" x14ac:dyDescent="0.25">
      <c r="G21" s="4">
        <v>1</v>
      </c>
      <c r="H21" s="4">
        <v>0.43489</v>
      </c>
      <c r="I21" s="4">
        <f>(H21+H20)/2</f>
        <v>0.217445</v>
      </c>
      <c r="J21" s="20">
        <f>J20+I21</f>
        <v>1.557445</v>
      </c>
      <c r="K21" s="21">
        <f t="shared" si="0"/>
        <v>1.9200730999847524</v>
      </c>
      <c r="L21" s="21">
        <f t="shared" si="1"/>
        <v>1.7544175536550042</v>
      </c>
      <c r="M21" s="21">
        <f t="shared" si="2"/>
        <v>0.76843488850089181</v>
      </c>
      <c r="O21" s="21">
        <f>O20+H21*TAN($D$9*PI()/180)*2</f>
        <v>2.0221677171357526</v>
      </c>
      <c r="P21" s="21">
        <f>H21/COS($D$9*PI()/180)</f>
        <v>0.5021677171357527</v>
      </c>
      <c r="Q21" s="21">
        <f t="shared" si="3"/>
        <v>4.06186938471871</v>
      </c>
      <c r="R21" s="21">
        <f t="shared" si="4"/>
        <v>7.1262149492043561</v>
      </c>
      <c r="S21" s="21">
        <f t="shared" si="5"/>
        <v>3.1212821477515078</v>
      </c>
      <c r="T21" s="5"/>
    </row>
    <row r="22" spans="6:20" x14ac:dyDescent="0.25">
      <c r="G22" s="4">
        <v>2</v>
      </c>
      <c r="H22" s="4">
        <v>0.43489</v>
      </c>
      <c r="I22" s="4">
        <f t="shared" ref="I22:I29" si="6">(H22+H21)/2</f>
        <v>0.43489</v>
      </c>
      <c r="J22" s="20">
        <f t="shared" ref="J22:J29" si="7">J21+I22</f>
        <v>1.992335</v>
      </c>
      <c r="K22" s="21">
        <f t="shared" si="0"/>
        <v>2.1608069368060772</v>
      </c>
      <c r="L22" s="21">
        <f t="shared" si="1"/>
        <v>1.9743819232831219</v>
      </c>
      <c r="M22" s="21">
        <f t="shared" si="2"/>
        <v>0.86477928239800739</v>
      </c>
      <c r="O22" s="21">
        <f t="shared" ref="O22:O29" si="8">O21+H22*TAN($D$9*PI()/180)*2</f>
        <v>2.5243354342715052</v>
      </c>
      <c r="P22" s="21">
        <f t="shared" ref="P22:P29" si="9">H22/COS($D$9*PI()/180)</f>
        <v>0.5021677171357527</v>
      </c>
      <c r="Q22" s="21">
        <f t="shared" si="3"/>
        <v>5.0705590492520427</v>
      </c>
      <c r="R22" s="21">
        <f t="shared" si="4"/>
        <v>10.011220127782886</v>
      </c>
      <c r="S22" s="21">
        <f t="shared" si="5"/>
        <v>4.384914415968904</v>
      </c>
      <c r="T22" s="5"/>
    </row>
    <row r="23" spans="6:20" x14ac:dyDescent="0.25">
      <c r="G23" s="4">
        <v>3</v>
      </c>
      <c r="H23" s="4">
        <v>0.43489</v>
      </c>
      <c r="I23" s="4">
        <f t="shared" si="6"/>
        <v>0.43489</v>
      </c>
      <c r="J23" s="20">
        <f t="shared" si="7"/>
        <v>2.427225</v>
      </c>
      <c r="K23" s="21">
        <f t="shared" si="0"/>
        <v>2.3299157675872793</v>
      </c>
      <c r="L23" s="21">
        <f t="shared" si="1"/>
        <v>2.128900780509428</v>
      </c>
      <c r="M23" s="21">
        <f t="shared" si="2"/>
        <v>0.93245854186312949</v>
      </c>
      <c r="O23" s="21">
        <f t="shared" si="8"/>
        <v>3.0265031514072578</v>
      </c>
      <c r="P23" s="21">
        <f t="shared" si="9"/>
        <v>0.5021677171357527</v>
      </c>
      <c r="Q23" s="21">
        <f t="shared" si="3"/>
        <v>6.0792487137853755</v>
      </c>
      <c r="R23" s="21">
        <f t="shared" si="4"/>
        <v>12.942117331688623</v>
      </c>
      <c r="S23" s="21">
        <f t="shared" si="5"/>
        <v>5.6686473912796167</v>
      </c>
      <c r="T23" s="5"/>
    </row>
    <row r="24" spans="6:20" x14ac:dyDescent="0.25">
      <c r="G24" s="4">
        <v>4</v>
      </c>
      <c r="H24" s="4">
        <v>0.43489</v>
      </c>
      <c r="I24" s="4">
        <f t="shared" si="6"/>
        <v>0.43489</v>
      </c>
      <c r="J24" s="20">
        <f t="shared" si="7"/>
        <v>2.8621150000000002</v>
      </c>
      <c r="K24" s="21">
        <f t="shared" si="0"/>
        <v>2.4378117382935822</v>
      </c>
      <c r="L24" s="21">
        <f t="shared" si="1"/>
        <v>2.2274879566837553</v>
      </c>
      <c r="M24" s="21">
        <f t="shared" si="2"/>
        <v>0.97563972502748486</v>
      </c>
      <c r="O24" s="21">
        <f t="shared" si="8"/>
        <v>3.5286708685430104</v>
      </c>
      <c r="P24" s="21">
        <f t="shared" si="9"/>
        <v>0.5021677171357527</v>
      </c>
      <c r="Q24" s="21">
        <f t="shared" si="3"/>
        <v>7.0879383783187091</v>
      </c>
      <c r="R24" s="21">
        <f t="shared" si="4"/>
        <v>15.788297375421511</v>
      </c>
      <c r="S24" s="21">
        <f t="shared" si="5"/>
        <v>6.9152742504346225</v>
      </c>
      <c r="T24" s="5"/>
    </row>
    <row r="25" spans="6:20" x14ac:dyDescent="0.25">
      <c r="G25" s="4">
        <v>5</v>
      </c>
      <c r="H25" s="4">
        <v>0.43489</v>
      </c>
      <c r="I25" s="4">
        <f t="shared" si="6"/>
        <v>0.43489</v>
      </c>
      <c r="J25" s="20">
        <f t="shared" si="7"/>
        <v>3.2970050000000004</v>
      </c>
      <c r="K25" s="21">
        <f t="shared" si="0"/>
        <v>2.4919915906363701</v>
      </c>
      <c r="L25" s="21">
        <f t="shared" si="1"/>
        <v>2.2769934072863278</v>
      </c>
      <c r="M25" s="21">
        <f t="shared" si="2"/>
        <v>0.99732311239141158</v>
      </c>
      <c r="O25" s="21">
        <f t="shared" si="8"/>
        <v>4.0308385856787634</v>
      </c>
      <c r="P25" s="21">
        <f t="shared" si="9"/>
        <v>0.5021677171357527</v>
      </c>
      <c r="Q25" s="21">
        <f t="shared" si="3"/>
        <v>8.0966280428520427</v>
      </c>
      <c r="R25" s="21">
        <f t="shared" si="4"/>
        <v>18.435968674823705</v>
      </c>
      <c r="S25" s="21">
        <f t="shared" si="5"/>
        <v>8.0749542795727827</v>
      </c>
      <c r="T25" s="5"/>
    </row>
    <row r="26" spans="6:20" x14ac:dyDescent="0.25">
      <c r="G26" s="4">
        <v>6</v>
      </c>
      <c r="H26" s="4">
        <v>0.43489</v>
      </c>
      <c r="I26" s="4">
        <f t="shared" si="6"/>
        <v>0.43489</v>
      </c>
      <c r="J26" s="20">
        <f t="shared" si="7"/>
        <v>3.7318950000000006</v>
      </c>
      <c r="K26" s="21">
        <f t="shared" si="0"/>
        <v>2.4981411692284228</v>
      </c>
      <c r="L26" s="21">
        <f t="shared" si="1"/>
        <v>2.2826124270150889</v>
      </c>
      <c r="M26" s="21">
        <f t="shared" si="2"/>
        <v>0.99978424303260893</v>
      </c>
      <c r="O26" s="21">
        <f t="shared" si="8"/>
        <v>4.533006302814516</v>
      </c>
      <c r="P26" s="21">
        <f t="shared" si="9"/>
        <v>0.5021677171357527</v>
      </c>
      <c r="Q26" s="21">
        <f t="shared" si="3"/>
        <v>9.1053177073853764</v>
      </c>
      <c r="R26" s="21">
        <f t="shared" si="4"/>
        <v>20.783911350798398</v>
      </c>
      <c r="S26" s="21">
        <f t="shared" si="5"/>
        <v>9.1033531716496991</v>
      </c>
      <c r="T26" s="5"/>
    </row>
    <row r="27" spans="6:20" x14ac:dyDescent="0.25">
      <c r="G27" s="4">
        <v>7</v>
      </c>
      <c r="H27" s="4">
        <v>0.43489</v>
      </c>
      <c r="I27" s="4">
        <f t="shared" si="6"/>
        <v>0.43489</v>
      </c>
      <c r="J27" s="20">
        <f t="shared" si="7"/>
        <v>4.1667850000000008</v>
      </c>
      <c r="K27" s="21">
        <f t="shared" si="0"/>
        <v>2.4607380491930453</v>
      </c>
      <c r="L27" s="21">
        <f t="shared" si="1"/>
        <v>2.2484362853087903</v>
      </c>
      <c r="M27" s="21">
        <f t="shared" si="2"/>
        <v>0.98481509296525016</v>
      </c>
      <c r="O27" s="21">
        <f t="shared" si="8"/>
        <v>5.0351740199502686</v>
      </c>
      <c r="P27" s="21">
        <f t="shared" si="9"/>
        <v>0.5021677171357527</v>
      </c>
      <c r="Q27" s="21">
        <f t="shared" si="3"/>
        <v>10.11400737191871</v>
      </c>
      <c r="R27" s="21">
        <f t="shared" si="4"/>
        <v>22.740701164902624</v>
      </c>
      <c r="S27" s="21">
        <f t="shared" si="5"/>
        <v>9.9604271102273501</v>
      </c>
      <c r="T27" s="5"/>
    </row>
    <row r="28" spans="6:20" x14ac:dyDescent="0.25">
      <c r="G28" s="4">
        <v>8</v>
      </c>
      <c r="H28" s="4">
        <v>0.43489</v>
      </c>
      <c r="I28" s="4">
        <f t="shared" si="6"/>
        <v>0.43489</v>
      </c>
      <c r="J28" s="20">
        <f t="shared" si="7"/>
        <v>4.6016750000000011</v>
      </c>
      <c r="K28" s="21">
        <f t="shared" si="0"/>
        <v>2.3834102128571018</v>
      </c>
      <c r="L28" s="21">
        <f t="shared" si="1"/>
        <v>2.1777799579767643</v>
      </c>
      <c r="M28" s="21">
        <f t="shared" si="2"/>
        <v>0.95386762159382277</v>
      </c>
      <c r="O28" s="21">
        <f t="shared" si="8"/>
        <v>5.5373417370860212</v>
      </c>
      <c r="P28" s="21">
        <f t="shared" si="9"/>
        <v>0.5021677171357527</v>
      </c>
      <c r="Q28" s="21">
        <f t="shared" si="3"/>
        <v>11.122697036452042</v>
      </c>
      <c r="R28" s="21">
        <f t="shared" si="4"/>
        <v>24.222786684632808</v>
      </c>
      <c r="S28" s="21">
        <f t="shared" si="5"/>
        <v>10.60958056786917</v>
      </c>
      <c r="T28" s="5"/>
    </row>
    <row r="29" spans="6:20" x14ac:dyDescent="0.25">
      <c r="G29" s="4">
        <v>9</v>
      </c>
      <c r="H29" s="4">
        <v>0.43489</v>
      </c>
      <c r="I29" s="4">
        <f t="shared" si="6"/>
        <v>0.43489</v>
      </c>
      <c r="J29" s="20">
        <f t="shared" si="7"/>
        <v>5.0365650000000013</v>
      </c>
      <c r="K29" s="21">
        <f t="shared" si="0"/>
        <v>2.2691637463768015</v>
      </c>
      <c r="L29" s="21">
        <f t="shared" si="1"/>
        <v>2.0733901791513181</v>
      </c>
      <c r="M29" s="21">
        <f t="shared" si="2"/>
        <v>0.90814489846827728</v>
      </c>
      <c r="O29" s="21">
        <f t="shared" si="8"/>
        <v>6.0395094542217738</v>
      </c>
      <c r="P29" s="21">
        <f t="shared" si="9"/>
        <v>0.5021677171357527</v>
      </c>
      <c r="Q29" s="21">
        <f t="shared" si="3"/>
        <v>12.131386700985376</v>
      </c>
      <c r="R29" s="21">
        <f t="shared" si="4"/>
        <v>25.153098045309985</v>
      </c>
      <c r="S29" s="21">
        <f t="shared" si="5"/>
        <v>11.017056943845773</v>
      </c>
      <c r="T29" s="5"/>
    </row>
    <row r="30" spans="6:20" x14ac:dyDescent="0.25">
      <c r="G30" s="4">
        <v>10</v>
      </c>
      <c r="H30" s="4">
        <v>0.43489</v>
      </c>
      <c r="I30" s="4">
        <f t="shared" ref="I30:I35" si="10">(H30+H29)/2</f>
        <v>0.43489</v>
      </c>
      <c r="J30" s="20">
        <f t="shared" ref="J30:J35" si="11">J29+I30</f>
        <v>5.4714550000000015</v>
      </c>
      <c r="K30" s="21">
        <f t="shared" ref="K30:K35" si="12">($D$5*$D$6/($D$14-1))*(J30/$D$6-(J30/$D$6)^$D$14)</f>
        <v>2.1205347793543621</v>
      </c>
      <c r="L30" s="21">
        <f t="shared" ref="L30:L35" si="13">K30*$D$13</f>
        <v>1.9375842722158743</v>
      </c>
      <c r="M30" s="21">
        <f t="shared" ref="M30:M35" si="14">L30*$D$8</f>
        <v>0.8486619112305529</v>
      </c>
      <c r="O30" s="21">
        <f t="shared" ref="O30:O35" si="15">O29+H30*TAN($D$9*PI()/180)*2</f>
        <v>6.5416771713575264</v>
      </c>
      <c r="P30" s="21">
        <f t="shared" ref="P30:P35" si="16">H30/COS($D$9*PI()/180)</f>
        <v>0.5021677171357527</v>
      </c>
      <c r="Q30" s="21">
        <f t="shared" ref="Q30:Q35" si="17">O30*4*P30</f>
        <v>13.140076365518709</v>
      </c>
      <c r="R30" s="21">
        <f t="shared" ref="R30:R35" si="18">Q30*L30</f>
        <v>25.460005301544577</v>
      </c>
      <c r="S30" s="21">
        <f t="shared" ref="S30:S35" si="19">Q30*M30</f>
        <v>11.151482322076525</v>
      </c>
      <c r="T30" s="5"/>
    </row>
    <row r="31" spans="6:20" x14ac:dyDescent="0.25">
      <c r="G31" s="4">
        <v>11</v>
      </c>
      <c r="H31" s="4">
        <v>0.43489</v>
      </c>
      <c r="I31" s="4">
        <f t="shared" si="10"/>
        <v>0.43489</v>
      </c>
      <c r="J31" s="20">
        <f t="shared" si="11"/>
        <v>5.9063450000000017</v>
      </c>
      <c r="K31" s="21">
        <f t="shared" si="12"/>
        <v>1.9396949910082577</v>
      </c>
      <c r="L31" s="21">
        <f t="shared" si="13"/>
        <v>1.7723465533622638</v>
      </c>
      <c r="M31" s="21">
        <f t="shared" si="14"/>
        <v>0.77628779037267148</v>
      </c>
      <c r="O31" s="21">
        <f t="shared" si="15"/>
        <v>7.0438448884932789</v>
      </c>
      <c r="P31" s="21">
        <f t="shared" si="16"/>
        <v>0.5021677171357527</v>
      </c>
      <c r="Q31" s="21">
        <f t="shared" si="17"/>
        <v>14.148766030052041</v>
      </c>
      <c r="R31" s="21">
        <f t="shared" si="18"/>
        <v>25.076516707691816</v>
      </c>
      <c r="S31" s="21">
        <f t="shared" si="19"/>
        <v>10.983514317969014</v>
      </c>
      <c r="T31" s="5"/>
    </row>
    <row r="32" spans="6:20" x14ac:dyDescent="0.25">
      <c r="G32" s="4">
        <v>12</v>
      </c>
      <c r="H32" s="4">
        <v>0.43489</v>
      </c>
      <c r="I32" s="4">
        <f t="shared" si="10"/>
        <v>0.43489</v>
      </c>
      <c r="J32" s="20">
        <f t="shared" si="11"/>
        <v>6.341235000000002</v>
      </c>
      <c r="K32" s="21">
        <f t="shared" si="12"/>
        <v>1.7285272983165698</v>
      </c>
      <c r="L32" s="21">
        <f t="shared" si="13"/>
        <v>1.5793974896906438</v>
      </c>
      <c r="M32" s="21">
        <f t="shared" si="14"/>
        <v>0.691776100484502</v>
      </c>
      <c r="O32" s="21">
        <f t="shared" si="15"/>
        <v>7.5460126056290315</v>
      </c>
      <c r="P32" s="21">
        <f t="shared" si="16"/>
        <v>0.5021677171357527</v>
      </c>
      <c r="Q32" s="21">
        <f t="shared" si="17"/>
        <v>15.157455694585375</v>
      </c>
      <c r="R32" s="21">
        <f t="shared" si="18"/>
        <v>23.939647474125294</v>
      </c>
      <c r="S32" s="21">
        <f t="shared" si="19"/>
        <v>10.485565593666879</v>
      </c>
      <c r="T32" s="5"/>
    </row>
    <row r="33" spans="6:22" x14ac:dyDescent="0.25">
      <c r="G33" s="4">
        <v>13</v>
      </c>
      <c r="H33" s="4">
        <v>0.41617799999999999</v>
      </c>
      <c r="I33" s="4">
        <f t="shared" si="10"/>
        <v>0.42553399999999997</v>
      </c>
      <c r="J33" s="20">
        <f t="shared" si="11"/>
        <v>6.7667690000000018</v>
      </c>
      <c r="K33" s="21">
        <f t="shared" si="12"/>
        <v>1.4941329795800773</v>
      </c>
      <c r="L33" s="21">
        <f t="shared" si="13"/>
        <v>1.3652256921316996</v>
      </c>
      <c r="M33" s="21">
        <f t="shared" si="14"/>
        <v>0.59796885315368442</v>
      </c>
      <c r="O33" s="21">
        <f t="shared" si="15"/>
        <v>8.0265735662906312</v>
      </c>
      <c r="P33" s="21">
        <f t="shared" si="16"/>
        <v>0.48056096066160009</v>
      </c>
      <c r="Q33" s="21">
        <f t="shared" si="17"/>
        <v>15.429031615350524</v>
      </c>
      <c r="R33" s="21">
        <f t="shared" si="18"/>
        <v>21.064110365988796</v>
      </c>
      <c r="S33" s="21">
        <f t="shared" si="19"/>
        <v>9.226080340303092</v>
      </c>
      <c r="T33" s="5"/>
    </row>
    <row r="34" spans="6:22" x14ac:dyDescent="0.25">
      <c r="G34" s="4">
        <v>14</v>
      </c>
      <c r="H34" s="4">
        <v>0.43489</v>
      </c>
      <c r="I34" s="4">
        <f t="shared" si="10"/>
        <v>0.42553399999999997</v>
      </c>
      <c r="J34" s="20">
        <f t="shared" si="11"/>
        <v>7.1923030000000017</v>
      </c>
      <c r="K34" s="21">
        <f t="shared" si="12"/>
        <v>1.2336504906893209</v>
      </c>
      <c r="L34" s="21">
        <f t="shared" si="13"/>
        <v>1.1272164981414725</v>
      </c>
      <c r="M34" s="21">
        <f t="shared" si="14"/>
        <v>0.49372082618596497</v>
      </c>
      <c r="O34" s="21">
        <f t="shared" si="15"/>
        <v>8.5287412834263847</v>
      </c>
      <c r="P34" s="21">
        <f t="shared" si="16"/>
        <v>0.5021677171357527</v>
      </c>
      <c r="Q34" s="21">
        <f t="shared" si="17"/>
        <v>17.131434161358708</v>
      </c>
      <c r="R34" s="21">
        <f t="shared" si="18"/>
        <v>19.310835223507958</v>
      </c>
      <c r="S34" s="21">
        <f t="shared" si="19"/>
        <v>8.4581458278964856</v>
      </c>
      <c r="T34" s="5"/>
    </row>
    <row r="35" spans="6:22" x14ac:dyDescent="0.25">
      <c r="G35" s="4">
        <v>15</v>
      </c>
      <c r="H35" s="4">
        <v>0.43489</v>
      </c>
      <c r="I35" s="4">
        <f t="shared" si="10"/>
        <v>0.43489</v>
      </c>
      <c r="J35" s="20">
        <f t="shared" si="11"/>
        <v>7.6271930000000019</v>
      </c>
      <c r="K35" s="21">
        <f t="shared" si="12"/>
        <v>0.94175786687768925</v>
      </c>
      <c r="L35" s="21">
        <f t="shared" si="13"/>
        <v>0.86050709889953225</v>
      </c>
      <c r="M35" s="21">
        <f t="shared" si="14"/>
        <v>0.37690210931799512</v>
      </c>
      <c r="O35" s="21">
        <f t="shared" si="15"/>
        <v>9.0309090005621382</v>
      </c>
      <c r="P35" s="21">
        <f t="shared" si="16"/>
        <v>0.5021677171357527</v>
      </c>
      <c r="Q35" s="21">
        <f t="shared" si="17"/>
        <v>18.140123825892044</v>
      </c>
      <c r="R35" s="21">
        <f t="shared" si="18"/>
        <v>15.609705327096647</v>
      </c>
      <c r="S35" s="21">
        <f t="shared" si="19"/>
        <v>6.8370509332683307</v>
      </c>
      <c r="T35" s="5"/>
    </row>
    <row r="36" spans="6:22" x14ac:dyDescent="0.25">
      <c r="G36" s="4">
        <v>16</v>
      </c>
      <c r="H36" s="4">
        <v>0.43489</v>
      </c>
      <c r="I36" s="4">
        <f t="shared" ref="I36:I38" si="20">(H36+H35)/2</f>
        <v>0.43489</v>
      </c>
      <c r="J36" s="20">
        <f t="shared" ref="J36:J38" si="21">J35+I36</f>
        <v>8.0620830000000012</v>
      </c>
      <c r="K36" s="21">
        <f t="shared" ref="K36:K37" si="22">($D$5*$D$6/($D$14-1))*(J36/$D$6-(J36/$D$6)^$D$14)</f>
        <v>0.62506648885090144</v>
      </c>
      <c r="L36" s="21">
        <f t="shared" ref="L36:L37" si="23">K36*$D$13</f>
        <v>0.57113847397280337</v>
      </c>
      <c r="M36" s="21">
        <f t="shared" ref="M36:M38" si="24">L36*$D$8</f>
        <v>0.25015865160008788</v>
      </c>
      <c r="O36" s="21">
        <f t="shared" ref="O36:O38" si="25">O35+H36*TAN($D$9*PI()/180)*2</f>
        <v>9.5330767176978917</v>
      </c>
      <c r="P36" s="21">
        <f t="shared" ref="P36:P38" si="26">H36/COS($D$9*PI()/180)</f>
        <v>0.5021677171357527</v>
      </c>
      <c r="Q36" s="21">
        <f t="shared" ref="Q36:Q38" si="27">O36*4*P36</f>
        <v>19.148813490425379</v>
      </c>
      <c r="R36" s="21">
        <f t="shared" ref="R36:R38" si="28">Q36*L36</f>
        <v>10.936624115311382</v>
      </c>
      <c r="S36" s="21">
        <f t="shared" ref="S36:S38" si="29">Q36*M36</f>
        <v>4.7902413625063849</v>
      </c>
      <c r="T36" s="5"/>
    </row>
    <row r="37" spans="6:22" x14ac:dyDescent="0.25">
      <c r="G37" s="4">
        <v>17</v>
      </c>
      <c r="H37" s="4">
        <v>0.43489</v>
      </c>
      <c r="I37" s="4">
        <f t="shared" si="20"/>
        <v>0.43489</v>
      </c>
      <c r="J37" s="20">
        <f t="shared" si="21"/>
        <v>8.4969730000000006</v>
      </c>
      <c r="K37" s="21">
        <f t="shared" si="22"/>
        <v>0.28463518735332194</v>
      </c>
      <c r="L37" s="21">
        <f t="shared" si="23"/>
        <v>0.26007810279958321</v>
      </c>
      <c r="M37" s="21">
        <f t="shared" si="24"/>
        <v>0.11391420902621745</v>
      </c>
      <c r="O37" s="21">
        <f t="shared" si="25"/>
        <v>10.035244434833645</v>
      </c>
      <c r="P37" s="21">
        <f t="shared" si="26"/>
        <v>0.5021677171357527</v>
      </c>
      <c r="Q37" s="21">
        <f t="shared" si="27"/>
        <v>20.157503154958714</v>
      </c>
      <c r="R37" s="21">
        <f t="shared" si="28"/>
        <v>5.2425251777182753</v>
      </c>
      <c r="S37" s="21">
        <f t="shared" si="29"/>
        <v>2.2962260278406048</v>
      </c>
      <c r="T37" s="5"/>
    </row>
    <row r="38" spans="6:22" x14ac:dyDescent="0.25">
      <c r="G38" s="4">
        <v>18</v>
      </c>
      <c r="H38" s="4">
        <v>0.53439999999999999</v>
      </c>
      <c r="I38" s="4">
        <f t="shared" si="20"/>
        <v>0.48464499999999999</v>
      </c>
      <c r="J38" s="20">
        <f t="shared" si="21"/>
        <v>8.981618000000001</v>
      </c>
      <c r="K38" s="21">
        <v>0</v>
      </c>
      <c r="L38" s="21">
        <v>0</v>
      </c>
      <c r="M38" s="21">
        <f t="shared" si="24"/>
        <v>0</v>
      </c>
      <c r="O38" s="21">
        <f t="shared" si="25"/>
        <v>10.652316402543518</v>
      </c>
      <c r="P38" s="21">
        <f t="shared" si="26"/>
        <v>0.61707196770987194</v>
      </c>
      <c r="Q38" s="21">
        <f t="shared" si="27"/>
        <v>26.29298337274269</v>
      </c>
      <c r="R38" s="21">
        <f t="shared" si="28"/>
        <v>0</v>
      </c>
      <c r="S38" s="21">
        <f t="shared" si="29"/>
        <v>0</v>
      </c>
      <c r="T38" s="5"/>
    </row>
    <row r="39" spans="6:22" x14ac:dyDescent="0.25">
      <c r="F39" s="4" t="s">
        <v>16</v>
      </c>
      <c r="J39" s="20"/>
      <c r="K39" s="21"/>
      <c r="L39" s="21"/>
      <c r="M39" s="21"/>
      <c r="O39" s="21"/>
      <c r="P39" s="21"/>
      <c r="Q39" s="21"/>
      <c r="R39" s="21"/>
      <c r="S39" s="21"/>
      <c r="T39" s="5"/>
    </row>
    <row r="40" spans="6:22" x14ac:dyDescent="0.25">
      <c r="J40" s="4" t="s">
        <v>43</v>
      </c>
      <c r="K40" s="5">
        <f>MAX(K19:K39)</f>
        <v>2.4981411692284228</v>
      </c>
      <c r="L40" s="5">
        <f>MAX(L19:L39)</f>
        <v>2.2826124270150889</v>
      </c>
      <c r="M40" s="5">
        <f>MAX(M19:M39)</f>
        <v>0.99978424303260893</v>
      </c>
      <c r="N40" s="3"/>
      <c r="O40" s="3"/>
      <c r="P40" s="3"/>
    </row>
    <row r="41" spans="6:22" x14ac:dyDescent="0.25">
      <c r="N41" s="3"/>
      <c r="O41" s="3"/>
      <c r="P41" s="3"/>
    </row>
    <row r="42" spans="6:22" x14ac:dyDescent="0.25">
      <c r="M42" s="38" t="s">
        <v>13</v>
      </c>
      <c r="N42" s="38"/>
      <c r="O42" s="38"/>
      <c r="P42" s="38"/>
      <c r="Q42" s="5">
        <f>SUM(Q19:Q40)</f>
        <v>231.61584009655255</v>
      </c>
      <c r="R42" s="15">
        <f>SUM(R19:R40)</f>
        <v>303.84428539754964</v>
      </c>
      <c r="S42" s="15">
        <f>SUM(S19:S40)</f>
        <v>133.08379700412672</v>
      </c>
      <c r="T42" s="15"/>
    </row>
    <row r="43" spans="6:22" x14ac:dyDescent="0.25">
      <c r="M43" s="38" t="s">
        <v>14</v>
      </c>
      <c r="N43" s="38"/>
      <c r="O43" s="38"/>
      <c r="P43" s="38"/>
      <c r="R43" s="15">
        <f>R42*COS(60*PI()/180)</f>
        <v>151.92214269877485</v>
      </c>
      <c r="S43" s="15">
        <f>S42*COS(30*PI()/180)</f>
        <v>115.25394903766512</v>
      </c>
      <c r="T43" s="15" t="s">
        <v>18</v>
      </c>
      <c r="U43" s="16">
        <f>R43+S43</f>
        <v>267.17609173643996</v>
      </c>
      <c r="V43" s="17" t="s">
        <v>15</v>
      </c>
    </row>
  </sheetData>
  <mergeCells count="3">
    <mergeCell ref="M42:P42"/>
    <mergeCell ref="M43:P43"/>
    <mergeCell ref="B3:F3"/>
  </mergeCells>
  <pageMargins left="0.7" right="0.7" top="0.75" bottom="0.75" header="0.3" footer="0.3"/>
  <pageSetup paperSize="9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45"/>
  <sheetViews>
    <sheetView workbookViewId="0">
      <selection activeCell="F25" sqref="F25"/>
    </sheetView>
  </sheetViews>
  <sheetFormatPr defaultRowHeight="15" x14ac:dyDescent="0.25"/>
  <cols>
    <col min="1" max="1" width="9.140625" style="4"/>
    <col min="2" max="2" width="39.85546875" style="3" bestFit="1" customWidth="1"/>
    <col min="3" max="3" width="1.5703125" style="4" bestFit="1" customWidth="1"/>
    <col min="4" max="4" width="6.140625" style="4" bestFit="1" customWidth="1"/>
    <col min="5" max="5" width="5.28515625" style="4" bestFit="1" customWidth="1"/>
    <col min="6" max="6" width="24.7109375" style="4" bestFit="1" customWidth="1"/>
    <col min="7" max="7" width="4.28515625" style="4" customWidth="1"/>
    <col min="8" max="9" width="6" style="4" bestFit="1" customWidth="1"/>
    <col min="10" max="10" width="13.28515625" style="4" customWidth="1"/>
    <col min="11" max="11" width="10.140625" style="5" customWidth="1"/>
    <col min="12" max="12" width="9.85546875" style="5" bestFit="1" customWidth="1"/>
    <col min="13" max="13" width="12" style="5" bestFit="1" customWidth="1"/>
    <col min="14" max="15" width="9.140625" style="4"/>
    <col min="16" max="16" width="5.5703125" style="4" bestFit="1" customWidth="1"/>
    <col min="17" max="17" width="5.7109375" style="4" bestFit="1" customWidth="1"/>
    <col min="18" max="18" width="6.85546875" style="4" bestFit="1" customWidth="1"/>
    <col min="19" max="19" width="8.140625" style="4" bestFit="1" customWidth="1"/>
    <col min="20" max="20" width="7.7109375" style="4" bestFit="1" customWidth="1"/>
    <col min="21" max="21" width="2" style="4" bestFit="1" customWidth="1"/>
    <col min="22" max="22" width="5.5703125" style="4" bestFit="1" customWidth="1"/>
    <col min="23" max="23" width="4" style="4" bestFit="1" customWidth="1"/>
    <col min="24" max="16384" width="9.140625" style="4"/>
  </cols>
  <sheetData>
    <row r="2" spans="2:24" x14ac:dyDescent="0.25">
      <c r="W2" s="6"/>
      <c r="X2" s="6"/>
    </row>
    <row r="3" spans="2:24" x14ac:dyDescent="0.25">
      <c r="B3" s="39" t="s">
        <v>54</v>
      </c>
      <c r="C3" s="40"/>
      <c r="D3" s="40"/>
      <c r="E3" s="40"/>
      <c r="F3" s="41"/>
      <c r="G3" s="31"/>
      <c r="H3" s="31"/>
      <c r="I3" s="31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2:24" x14ac:dyDescent="0.25">
      <c r="B4" s="3" t="s">
        <v>35</v>
      </c>
      <c r="C4" s="4" t="s">
        <v>0</v>
      </c>
      <c r="D4" s="4">
        <v>2</v>
      </c>
      <c r="F4" s="6" t="s">
        <v>36</v>
      </c>
      <c r="G4" s="6"/>
      <c r="H4" s="6"/>
      <c r="I4" s="6"/>
      <c r="J4" s="6"/>
      <c r="K4" s="6"/>
      <c r="L4" s="6"/>
      <c r="M4" s="6"/>
      <c r="W4" s="6"/>
      <c r="X4" s="6"/>
    </row>
    <row r="5" spans="2:24" x14ac:dyDescent="0.25">
      <c r="B5" s="7" t="s">
        <v>37</v>
      </c>
      <c r="C5" s="4" t="s">
        <v>0</v>
      </c>
      <c r="D5" s="4">
        <v>0.85</v>
      </c>
      <c r="E5" s="4" t="s">
        <v>5</v>
      </c>
      <c r="W5" s="6"/>
      <c r="X5" s="6"/>
    </row>
    <row r="6" spans="2:24" x14ac:dyDescent="0.25">
      <c r="B6" s="3" t="s">
        <v>38</v>
      </c>
      <c r="C6" s="4" t="s">
        <v>0</v>
      </c>
      <c r="D6" s="4">
        <f>7.5+1.34</f>
        <v>8.84</v>
      </c>
      <c r="E6" s="4" t="s">
        <v>3</v>
      </c>
      <c r="W6" s="6"/>
      <c r="X6" s="6"/>
    </row>
    <row r="7" spans="2:24" x14ac:dyDescent="0.25">
      <c r="B7" s="8" t="s">
        <v>4</v>
      </c>
      <c r="C7" s="9" t="s">
        <v>0</v>
      </c>
      <c r="D7" s="10">
        <v>0.438</v>
      </c>
    </row>
    <row r="8" spans="2:24" x14ac:dyDescent="0.25">
      <c r="B8" s="11" t="s">
        <v>19</v>
      </c>
      <c r="C8" s="9" t="s">
        <v>0</v>
      </c>
      <c r="D8" s="10">
        <v>0.438</v>
      </c>
    </row>
    <row r="9" spans="2:24" x14ac:dyDescent="0.25">
      <c r="B9" s="11" t="s">
        <v>2</v>
      </c>
      <c r="C9" s="9" t="s">
        <v>0</v>
      </c>
      <c r="D9" s="9">
        <v>30</v>
      </c>
      <c r="E9" s="12" t="s">
        <v>1</v>
      </c>
    </row>
    <row r="10" spans="2:24" x14ac:dyDescent="0.25">
      <c r="B10" s="1" t="s">
        <v>46</v>
      </c>
      <c r="C10" s="1" t="s">
        <v>0</v>
      </c>
      <c r="D10" s="24">
        <v>36</v>
      </c>
      <c r="E10" s="23" t="s">
        <v>1</v>
      </c>
    </row>
    <row r="11" spans="2:24" x14ac:dyDescent="0.2">
      <c r="B11" s="11" t="s">
        <v>59</v>
      </c>
      <c r="C11" s="9" t="s">
        <v>0</v>
      </c>
      <c r="D11" s="9">
        <v>1.6</v>
      </c>
      <c r="E11" s="23"/>
    </row>
    <row r="12" spans="2:24" x14ac:dyDescent="0.25">
      <c r="B12" s="11"/>
      <c r="C12" s="9"/>
      <c r="D12" s="10"/>
    </row>
    <row r="13" spans="2:24" x14ac:dyDescent="0.2">
      <c r="B13" s="3" t="s">
        <v>50</v>
      </c>
      <c r="C13" s="4" t="s">
        <v>0</v>
      </c>
      <c r="D13" s="4">
        <f>ATAN(D8)*180/PI()</f>
        <v>23.653418757049593</v>
      </c>
      <c r="E13" s="23" t="s">
        <v>1</v>
      </c>
      <c r="F13" s="4" t="s">
        <v>51</v>
      </c>
    </row>
    <row r="14" spans="2:24" x14ac:dyDescent="0.2">
      <c r="B14" s="25" t="s">
        <v>48</v>
      </c>
      <c r="C14" s="4" t="s">
        <v>0</v>
      </c>
      <c r="D14" s="4">
        <f>D13+ASIN(SIN(D13*PI()/180)/SIN(D10*PI()/180))*180/PI()</f>
        <v>66.698036387232378</v>
      </c>
      <c r="E14" s="23" t="s">
        <v>1</v>
      </c>
    </row>
    <row r="15" spans="2:24" x14ac:dyDescent="0.25">
      <c r="B15" s="3" t="s">
        <v>49</v>
      </c>
      <c r="C15" s="4" t="s">
        <v>0</v>
      </c>
      <c r="D15" s="4">
        <f>(1+SIN(D10*PI()/180)*COS(D14*PI()/180))/(1-SIN(D10*PI()/180)*COS((2*D9+D14)*PI()/180))</f>
        <v>0.91212286202117743</v>
      </c>
    </row>
    <row r="16" spans="2:24" s="28" customFormat="1" x14ac:dyDescent="0.25">
      <c r="B16" s="29" t="s">
        <v>52</v>
      </c>
      <c r="C16" s="30" t="s">
        <v>0</v>
      </c>
      <c r="D16" s="30">
        <f>D4*(D15*D8*(1/TAN(D9*PI()/180))+D15)-2</f>
        <v>1.2081883144772094</v>
      </c>
      <c r="E16" s="26"/>
      <c r="F16" s="26"/>
      <c r="G16" s="26"/>
      <c r="H16" s="26"/>
      <c r="I16" s="26"/>
      <c r="J16" s="26"/>
      <c r="K16" s="27"/>
      <c r="L16" s="27"/>
      <c r="M16" s="27"/>
      <c r="N16" s="26"/>
      <c r="O16" s="26"/>
      <c r="P16" s="26"/>
      <c r="Q16" s="26"/>
    </row>
    <row r="21" spans="6:21" ht="60" x14ac:dyDescent="0.25">
      <c r="J21" s="18" t="s">
        <v>41</v>
      </c>
      <c r="K21" s="19" t="s">
        <v>40</v>
      </c>
      <c r="L21" s="19" t="s">
        <v>61</v>
      </c>
      <c r="M21" s="19" t="s">
        <v>62</v>
      </c>
      <c r="N21" s="13"/>
      <c r="O21" s="13"/>
      <c r="P21" s="22" t="s">
        <v>9</v>
      </c>
      <c r="Q21" s="19" t="s">
        <v>6</v>
      </c>
      <c r="R21" s="22" t="s">
        <v>10</v>
      </c>
      <c r="S21" s="22" t="s">
        <v>11</v>
      </c>
      <c r="T21" s="22" t="s">
        <v>12</v>
      </c>
      <c r="U21" s="14"/>
    </row>
    <row r="22" spans="6:21" x14ac:dyDescent="0.25">
      <c r="F22" s="4" t="s">
        <v>17</v>
      </c>
      <c r="H22" s="4">
        <v>0</v>
      </c>
      <c r="J22" s="20">
        <v>1.34</v>
      </c>
      <c r="K22" s="21">
        <f t="shared" ref="K22:K37" si="0">($D$5*$D$6/($D$16-1))*(J22/$D$6-(J22/$D$6)^$D$16)</f>
        <v>1.7770770782436027</v>
      </c>
      <c r="L22" s="21">
        <f t="shared" ref="L22:L29" si="1">K22*$D$15</f>
        <v>1.6209126306397867</v>
      </c>
      <c r="M22" s="21">
        <f>L22*$D$8</f>
        <v>0.70995973222022657</v>
      </c>
      <c r="P22" s="21">
        <v>1.52</v>
      </c>
      <c r="Q22" s="21">
        <v>0</v>
      </c>
      <c r="R22" s="21">
        <f>P22*4*Q22</f>
        <v>0</v>
      </c>
      <c r="S22" s="21">
        <f t="shared" ref="S22:S31" si="2">R22*L22</f>
        <v>0</v>
      </c>
      <c r="T22" s="21">
        <f t="shared" ref="T22:T31" si="3">R22*M22</f>
        <v>0</v>
      </c>
      <c r="U22" s="5"/>
    </row>
    <row r="23" spans="6:21" x14ac:dyDescent="0.25">
      <c r="G23" s="4">
        <v>1</v>
      </c>
      <c r="H23" s="4">
        <v>0.43489</v>
      </c>
      <c r="I23" s="4">
        <f>(H23+H22)/2</f>
        <v>0.217445</v>
      </c>
      <c r="J23" s="20">
        <f>J22+I23</f>
        <v>1.557445</v>
      </c>
      <c r="K23" s="21">
        <f t="shared" si="0"/>
        <v>1.9289105652567975</v>
      </c>
      <c r="L23" s="21">
        <f t="shared" si="1"/>
        <v>1.7594034253649173</v>
      </c>
      <c r="M23" s="21">
        <f t="shared" ref="M23:M29" si="4">L23*$D$8</f>
        <v>0.77061870030983382</v>
      </c>
      <c r="P23" s="21">
        <f>P22+H23*TAN($D$9*PI()/180)*2</f>
        <v>2.0221677171357526</v>
      </c>
      <c r="Q23" s="21">
        <f>H23/COS($D$9*PI()/180)</f>
        <v>0.5021677171357527</v>
      </c>
      <c r="R23" s="21">
        <f t="shared" ref="R23:R29" si="5">P23*4*Q23</f>
        <v>4.06186938471871</v>
      </c>
      <c r="S23" s="21">
        <f t="shared" si="2"/>
        <v>7.1464669088589874</v>
      </c>
      <c r="T23" s="21">
        <f t="shared" si="3"/>
        <v>3.1301525060802367</v>
      </c>
      <c r="U23" s="5"/>
    </row>
    <row r="24" spans="6:21" x14ac:dyDescent="0.25">
      <c r="G24" s="4">
        <v>2</v>
      </c>
      <c r="H24" s="4">
        <v>0.43489</v>
      </c>
      <c r="I24" s="4">
        <f t="shared" ref="I24:I31" si="6">(H24+H23)/2</f>
        <v>0.43489</v>
      </c>
      <c r="J24" s="20">
        <f t="shared" ref="J24:J30" si="7">J23+I24</f>
        <v>1.992335</v>
      </c>
      <c r="K24" s="21">
        <f t="shared" si="0"/>
        <v>2.1694174017773027</v>
      </c>
      <c r="L24" s="21">
        <f t="shared" si="1"/>
        <v>1.9787752094276598</v>
      </c>
      <c r="M24" s="21">
        <f t="shared" si="4"/>
        <v>0.86670354172931496</v>
      </c>
      <c r="P24" s="21">
        <f t="shared" ref="P24:P30" si="8">P23+H24*TAN($D$9*PI()/180)*2</f>
        <v>2.5243354342715052</v>
      </c>
      <c r="Q24" s="21">
        <f t="shared" ref="Q24:Q30" si="9">H24/COS($D$9*PI()/180)</f>
        <v>0.5021677171357527</v>
      </c>
      <c r="R24" s="21">
        <f t="shared" si="5"/>
        <v>5.0705590492520427</v>
      </c>
      <c r="S24" s="21">
        <f t="shared" si="2"/>
        <v>10.033496544599027</v>
      </c>
      <c r="T24" s="21">
        <f t="shared" si="3"/>
        <v>4.3946714865343735</v>
      </c>
      <c r="U24" s="5"/>
    </row>
    <row r="25" spans="6:21" x14ac:dyDescent="0.25">
      <c r="G25" s="4">
        <v>3</v>
      </c>
      <c r="H25" s="4">
        <v>0.43489</v>
      </c>
      <c r="I25" s="4">
        <f t="shared" si="6"/>
        <v>0.43489</v>
      </c>
      <c r="J25" s="20">
        <f t="shared" si="7"/>
        <v>2.427225</v>
      </c>
      <c r="K25" s="21">
        <f t="shared" si="0"/>
        <v>2.3380265305720487</v>
      </c>
      <c r="L25" s="21">
        <f t="shared" si="1"/>
        <v>2.1325674505468211</v>
      </c>
      <c r="M25" s="21">
        <f t="shared" si="4"/>
        <v>0.93406454333950761</v>
      </c>
      <c r="P25" s="21">
        <f t="shared" si="8"/>
        <v>3.0265031514072578</v>
      </c>
      <c r="Q25" s="21">
        <f t="shared" si="9"/>
        <v>0.5021677171357527</v>
      </c>
      <c r="R25" s="21">
        <f t="shared" si="5"/>
        <v>6.0792487137853755</v>
      </c>
      <c r="S25" s="21">
        <f t="shared" si="2"/>
        <v>12.96440793079732</v>
      </c>
      <c r="T25" s="21">
        <f t="shared" si="3"/>
        <v>5.6784106736892257</v>
      </c>
      <c r="U25" s="5"/>
    </row>
    <row r="26" spans="6:21" x14ac:dyDescent="0.25">
      <c r="G26" s="4">
        <v>4</v>
      </c>
      <c r="H26" s="4">
        <v>0.43489</v>
      </c>
      <c r="I26" s="4">
        <f t="shared" si="6"/>
        <v>0.43489</v>
      </c>
      <c r="J26" s="20">
        <f t="shared" si="7"/>
        <v>2.8621150000000002</v>
      </c>
      <c r="K26" s="21">
        <f t="shared" si="0"/>
        <v>2.4452592286435504</v>
      </c>
      <c r="L26" s="21">
        <f t="shared" si="1"/>
        <v>2.2303768460140518</v>
      </c>
      <c r="M26" s="21">
        <f t="shared" si="4"/>
        <v>0.97690505855415466</v>
      </c>
      <c r="P26" s="21">
        <f t="shared" si="8"/>
        <v>3.5286708685430104</v>
      </c>
      <c r="Q26" s="21">
        <f t="shared" si="9"/>
        <v>0.5021677171357527</v>
      </c>
      <c r="R26" s="21">
        <f t="shared" si="5"/>
        <v>7.0879383783187091</v>
      </c>
      <c r="S26" s="21">
        <f t="shared" si="2"/>
        <v>15.808773644976435</v>
      </c>
      <c r="T26" s="21">
        <f t="shared" si="3"/>
        <v>6.9242428564996787</v>
      </c>
      <c r="U26" s="5"/>
    </row>
    <row r="27" spans="6:21" x14ac:dyDescent="0.25">
      <c r="G27" s="4">
        <v>5</v>
      </c>
      <c r="H27" s="4">
        <v>0.43489</v>
      </c>
      <c r="I27" s="4">
        <f t="shared" si="6"/>
        <v>0.43489</v>
      </c>
      <c r="J27" s="20">
        <f t="shared" si="7"/>
        <v>3.2970050000000004</v>
      </c>
      <c r="K27" s="21">
        <f t="shared" si="0"/>
        <v>2.4986828474082161</v>
      </c>
      <c r="L27" s="21">
        <f t="shared" si="1"/>
        <v>2.2791057500612069</v>
      </c>
      <c r="M27" s="21">
        <f t="shared" si="4"/>
        <v>0.99824831852680862</v>
      </c>
      <c r="P27" s="21">
        <f t="shared" si="8"/>
        <v>4.0308385856787634</v>
      </c>
      <c r="Q27" s="21">
        <f t="shared" si="9"/>
        <v>0.5021677171357527</v>
      </c>
      <c r="R27" s="21">
        <f t="shared" si="5"/>
        <v>8.0966280428520427</v>
      </c>
      <c r="S27" s="21">
        <f t="shared" si="2"/>
        <v>18.453071528570906</v>
      </c>
      <c r="T27" s="21">
        <f t="shared" si="3"/>
        <v>8.0824453295140568</v>
      </c>
      <c r="U27" s="5"/>
    </row>
    <row r="28" spans="6:21" x14ac:dyDescent="0.25">
      <c r="G28" s="4">
        <v>6</v>
      </c>
      <c r="H28" s="4">
        <v>0.43489</v>
      </c>
      <c r="I28" s="4">
        <f t="shared" si="6"/>
        <v>0.43489</v>
      </c>
      <c r="J28" s="20">
        <f t="shared" si="7"/>
        <v>3.7318950000000006</v>
      </c>
      <c r="K28" s="21">
        <f t="shared" si="0"/>
        <v>2.5040317283291542</v>
      </c>
      <c r="L28" s="21">
        <f t="shared" si="1"/>
        <v>2.2839845866354236</v>
      </c>
      <c r="M28" s="21">
        <f t="shared" si="4"/>
        <v>1.0003852489463156</v>
      </c>
      <c r="P28" s="21">
        <f t="shared" si="8"/>
        <v>4.533006302814516</v>
      </c>
      <c r="Q28" s="21">
        <f t="shared" si="9"/>
        <v>0.5021677171357527</v>
      </c>
      <c r="R28" s="21">
        <f t="shared" si="5"/>
        <v>9.1053177073853764</v>
      </c>
      <c r="S28" s="21">
        <f t="shared" si="2"/>
        <v>20.796405300086793</v>
      </c>
      <c r="T28" s="21">
        <f t="shared" si="3"/>
        <v>9.1088255214380158</v>
      </c>
      <c r="U28" s="5"/>
    </row>
    <row r="29" spans="6:21" x14ac:dyDescent="0.25">
      <c r="G29" s="4">
        <v>7</v>
      </c>
      <c r="H29" s="4">
        <v>0.43489</v>
      </c>
      <c r="I29" s="4">
        <f t="shared" si="6"/>
        <v>0.43489</v>
      </c>
      <c r="J29" s="20">
        <f t="shared" si="7"/>
        <v>4.1667850000000008</v>
      </c>
      <c r="K29" s="21">
        <f t="shared" si="0"/>
        <v>2.4658182092302767</v>
      </c>
      <c r="L29" s="21">
        <f t="shared" si="1"/>
        <v>2.2491291622270544</v>
      </c>
      <c r="M29" s="21">
        <f t="shared" si="4"/>
        <v>0.98511857305544981</v>
      </c>
      <c r="P29" s="21">
        <f t="shared" si="8"/>
        <v>5.0351740199502686</v>
      </c>
      <c r="Q29" s="21">
        <f t="shared" si="9"/>
        <v>0.5021677171357527</v>
      </c>
      <c r="R29" s="21">
        <f t="shared" si="5"/>
        <v>10.11400737191871</v>
      </c>
      <c r="S29" s="21">
        <f t="shared" si="2"/>
        <v>22.747708927161781</v>
      </c>
      <c r="T29" s="21">
        <f t="shared" si="3"/>
        <v>9.96349651009686</v>
      </c>
      <c r="U29" s="5"/>
    </row>
    <row r="30" spans="6:21" x14ac:dyDescent="0.25">
      <c r="G30" s="4">
        <v>8</v>
      </c>
      <c r="H30" s="4">
        <v>0.43489</v>
      </c>
      <c r="I30" s="4">
        <f t="shared" si="6"/>
        <v>0.43489</v>
      </c>
      <c r="J30" s="20">
        <f t="shared" si="7"/>
        <v>4.6016750000000011</v>
      </c>
      <c r="K30" s="21">
        <f t="shared" si="0"/>
        <v>2.387695998781505</v>
      </c>
      <c r="L30" s="21">
        <f t="shared" ref="L30" si="10">K30*$D$15</f>
        <v>2.1778721080451002</v>
      </c>
      <c r="M30" s="21">
        <f t="shared" ref="M30" si="11">L30*$D$8</f>
        <v>0.95390798332375393</v>
      </c>
      <c r="P30" s="21">
        <f t="shared" si="8"/>
        <v>5.5373417370860212</v>
      </c>
      <c r="Q30" s="21">
        <f t="shared" si="9"/>
        <v>0.5021677171357527</v>
      </c>
      <c r="R30" s="21">
        <f t="shared" ref="R30" si="12">P30*4*Q30</f>
        <v>11.122697036452042</v>
      </c>
      <c r="S30" s="21">
        <f t="shared" si="2"/>
        <v>24.223811641924797</v>
      </c>
      <c r="T30" s="21">
        <f t="shared" si="3"/>
        <v>10.610029499163062</v>
      </c>
      <c r="U30" s="5"/>
    </row>
    <row r="31" spans="6:21" x14ac:dyDescent="0.25">
      <c r="G31" s="4">
        <v>9</v>
      </c>
      <c r="H31" s="4">
        <v>0.43489</v>
      </c>
      <c r="I31" s="4">
        <f t="shared" si="6"/>
        <v>0.43489</v>
      </c>
      <c r="J31" s="20">
        <f t="shared" ref="J31" si="13">J30+I31</f>
        <v>5.0365650000000013</v>
      </c>
      <c r="K31" s="21">
        <f t="shared" si="0"/>
        <v>2.2726906959006521</v>
      </c>
      <c r="L31" s="21">
        <f t="shared" ref="L31" si="14">K31*$D$15</f>
        <v>2.072973142033804</v>
      </c>
      <c r="M31" s="21">
        <f t="shared" ref="M31" si="15">L31*$D$8</f>
        <v>0.90796223621080618</v>
      </c>
      <c r="P31" s="21">
        <f t="shared" ref="P31" si="16">P30+H31*TAN($D$9*PI()/180)*2</f>
        <v>6.0395094542217738</v>
      </c>
      <c r="Q31" s="21">
        <f t="shared" ref="Q31" si="17">H31/COS($D$9*PI()/180)</f>
        <v>0.5021677171357527</v>
      </c>
      <c r="R31" s="21">
        <f t="shared" ref="R31" si="18">P31*4*Q31</f>
        <v>12.131386700985376</v>
      </c>
      <c r="S31" s="21">
        <f t="shared" si="2"/>
        <v>25.148038806768756</v>
      </c>
      <c r="T31" s="21">
        <f t="shared" si="3"/>
        <v>11.014840997364717</v>
      </c>
      <c r="U31" s="5"/>
    </row>
    <row r="32" spans="6:21" x14ac:dyDescent="0.25">
      <c r="G32" s="4">
        <v>10</v>
      </c>
      <c r="H32" s="4">
        <v>0.43489</v>
      </c>
      <c r="I32" s="4">
        <f t="shared" ref="I32:I35" si="19">(H32+H31)/2</f>
        <v>0.43489</v>
      </c>
      <c r="J32" s="20">
        <f t="shared" ref="J32:J35" si="20">J31+I32</f>
        <v>5.4714550000000015</v>
      </c>
      <c r="K32" s="21">
        <f t="shared" si="0"/>
        <v>2.1233535187419759</v>
      </c>
      <c r="L32" s="21">
        <f t="shared" ref="L32:L35" si="21">K32*$D$15</f>
        <v>1.9367592885976688</v>
      </c>
      <c r="M32" s="21">
        <f t="shared" ref="M32:M35" si="22">L32*$D$8</f>
        <v>0.84830056840577894</v>
      </c>
      <c r="P32" s="21">
        <f t="shared" ref="P32:P35" si="23">P31+H32*TAN($D$9*PI()/180)*2</f>
        <v>6.5416771713575264</v>
      </c>
      <c r="Q32" s="21">
        <f t="shared" ref="Q32:Q35" si="24">H32/COS($D$9*PI()/180)</f>
        <v>0.5021677171357527</v>
      </c>
      <c r="R32" s="21">
        <f t="shared" ref="R32:R35" si="25">P32*4*Q32</f>
        <v>13.140076365518709</v>
      </c>
      <c r="S32" s="21">
        <f t="shared" ref="S32:S35" si="26">R32*L32</f>
        <v>25.449164953801056</v>
      </c>
      <c r="T32" s="21">
        <f t="shared" ref="T32:T35" si="27">R32*M32</f>
        <v>11.146734249764863</v>
      </c>
      <c r="U32" s="5"/>
    </row>
    <row r="33" spans="6:23" x14ac:dyDescent="0.25">
      <c r="G33" s="4">
        <v>11</v>
      </c>
      <c r="H33" s="4">
        <v>0.43489</v>
      </c>
      <c r="I33" s="4">
        <f t="shared" si="19"/>
        <v>0.43489</v>
      </c>
      <c r="J33" s="20">
        <f t="shared" si="20"/>
        <v>5.9063450000000017</v>
      </c>
      <c r="K33" s="21">
        <f t="shared" si="0"/>
        <v>1.9418679946347783</v>
      </c>
      <c r="L33" s="21">
        <f t="shared" si="21"/>
        <v>1.7712221929335985</v>
      </c>
      <c r="M33" s="21">
        <f t="shared" si="22"/>
        <v>0.77579532050491617</v>
      </c>
      <c r="P33" s="21">
        <f t="shared" si="23"/>
        <v>7.0438448884932789</v>
      </c>
      <c r="Q33" s="21">
        <f t="shared" si="24"/>
        <v>0.5021677171357527</v>
      </c>
      <c r="R33" s="21">
        <f t="shared" si="25"/>
        <v>14.148766030052041</v>
      </c>
      <c r="S33" s="21">
        <f t="shared" si="26"/>
        <v>25.06060839505318</v>
      </c>
      <c r="T33" s="21">
        <f t="shared" si="27"/>
        <v>10.976546477033294</v>
      </c>
      <c r="U33" s="5"/>
    </row>
    <row r="34" spans="6:23" x14ac:dyDescent="0.25">
      <c r="G34" s="4">
        <v>12</v>
      </c>
      <c r="H34" s="4">
        <v>0.43489</v>
      </c>
      <c r="I34" s="4">
        <f t="shared" si="19"/>
        <v>0.43489</v>
      </c>
      <c r="J34" s="20">
        <f t="shared" si="20"/>
        <v>6.341235000000002</v>
      </c>
      <c r="K34" s="21">
        <f t="shared" si="0"/>
        <v>1.7301264591648762</v>
      </c>
      <c r="L34" s="21">
        <f t="shared" si="21"/>
        <v>1.5780878975920327</v>
      </c>
      <c r="M34" s="21">
        <f t="shared" si="22"/>
        <v>0.69120249914531029</v>
      </c>
      <c r="P34" s="21">
        <f t="shared" si="23"/>
        <v>7.5460126056290315</v>
      </c>
      <c r="Q34" s="21">
        <f t="shared" si="24"/>
        <v>0.5021677171357527</v>
      </c>
      <c r="R34" s="21">
        <f t="shared" si="25"/>
        <v>15.157455694585375</v>
      </c>
      <c r="S34" s="21">
        <f t="shared" si="26"/>
        <v>23.919797389912617</v>
      </c>
      <c r="T34" s="21">
        <f t="shared" si="27"/>
        <v>10.476871256781726</v>
      </c>
      <c r="U34" s="5"/>
    </row>
    <row r="35" spans="6:23" x14ac:dyDescent="0.25">
      <c r="G35" s="4">
        <v>13</v>
      </c>
      <c r="H35" s="4">
        <v>0.41617799999999999</v>
      </c>
      <c r="I35" s="4">
        <f t="shared" si="19"/>
        <v>0.42553399999999997</v>
      </c>
      <c r="J35" s="20">
        <f t="shared" si="20"/>
        <v>6.7667690000000018</v>
      </c>
      <c r="K35" s="21">
        <f t="shared" si="0"/>
        <v>1.4952475067377442</v>
      </c>
      <c r="L35" s="21">
        <f t="shared" si="21"/>
        <v>1.3638494352756609</v>
      </c>
      <c r="M35" s="21">
        <f t="shared" si="22"/>
        <v>0.5973660526507395</v>
      </c>
      <c r="P35" s="21">
        <f t="shared" si="23"/>
        <v>8.0265735662906312</v>
      </c>
      <c r="Q35" s="21">
        <f t="shared" si="24"/>
        <v>0.48056096066160009</v>
      </c>
      <c r="R35" s="21">
        <f t="shared" si="25"/>
        <v>15.429031615350524</v>
      </c>
      <c r="S35" s="21">
        <f t="shared" si="26"/>
        <v>21.042876055446133</v>
      </c>
      <c r="T35" s="21">
        <f t="shared" si="27"/>
        <v>9.2167797122854065</v>
      </c>
      <c r="U35" s="5"/>
    </row>
    <row r="36" spans="6:23" x14ac:dyDescent="0.25">
      <c r="G36" s="4">
        <v>14</v>
      </c>
      <c r="H36" s="4">
        <v>0.43489</v>
      </c>
      <c r="I36" s="4">
        <f t="shared" ref="I36:I37" si="28">(H36+H35)/2</f>
        <v>0.42553399999999997</v>
      </c>
      <c r="J36" s="20">
        <f t="shared" ref="J36:J37" si="29">J35+I36</f>
        <v>7.1923030000000017</v>
      </c>
      <c r="K36" s="21">
        <f t="shared" si="0"/>
        <v>1.2343622030009589</v>
      </c>
      <c r="L36" s="21">
        <f t="shared" ref="L36:L37" si="30">K36*$D$15</f>
        <v>1.1258899853720001</v>
      </c>
      <c r="M36" s="21">
        <f t="shared" ref="M36:M37" si="31">L36*$D$8</f>
        <v>0.49313981359293607</v>
      </c>
      <c r="P36" s="21">
        <f t="shared" ref="P36:P37" si="32">P35+H36*TAN($D$9*PI()/180)*2</f>
        <v>8.5287412834263847</v>
      </c>
      <c r="Q36" s="21">
        <f t="shared" ref="Q36:Q37" si="33">H36/COS($D$9*PI()/180)</f>
        <v>0.5021677171357527</v>
      </c>
      <c r="R36" s="21">
        <f t="shared" ref="R36:R37" si="34">P36*4*Q36</f>
        <v>17.131434161358708</v>
      </c>
      <c r="S36" s="21">
        <f t="shared" ref="S36:S37" si="35">R36*L36</f>
        <v>19.288110157333538</v>
      </c>
      <c r="T36" s="21">
        <f t="shared" ref="T36:T37" si="36">R36*M36</f>
        <v>8.4481922489120898</v>
      </c>
      <c r="U36" s="5"/>
    </row>
    <row r="37" spans="6:23" x14ac:dyDescent="0.25">
      <c r="G37" s="4">
        <v>15</v>
      </c>
      <c r="H37" s="4">
        <v>0.43489</v>
      </c>
      <c r="I37" s="4">
        <f t="shared" si="28"/>
        <v>0.43489</v>
      </c>
      <c r="J37" s="20">
        <f t="shared" si="29"/>
        <v>7.6271930000000019</v>
      </c>
      <c r="K37" s="21">
        <f t="shared" si="0"/>
        <v>0.94214732432874027</v>
      </c>
      <c r="L37" s="21">
        <f t="shared" si="30"/>
        <v>0.85935411391232508</v>
      </c>
      <c r="M37" s="21">
        <f t="shared" si="31"/>
        <v>0.37639710189359837</v>
      </c>
      <c r="P37" s="21">
        <f t="shared" si="32"/>
        <v>9.0309090005621382</v>
      </c>
      <c r="Q37" s="21">
        <f t="shared" si="33"/>
        <v>0.5021677171357527</v>
      </c>
      <c r="R37" s="21">
        <f t="shared" si="34"/>
        <v>18.140123825892044</v>
      </c>
      <c r="S37" s="21">
        <f t="shared" si="35"/>
        <v>15.588790036659313</v>
      </c>
      <c r="T37" s="21">
        <f t="shared" si="36"/>
        <v>6.8278900360567789</v>
      </c>
      <c r="U37" s="5"/>
    </row>
    <row r="38" spans="6:23" x14ac:dyDescent="0.25">
      <c r="G38" s="4">
        <v>16</v>
      </c>
      <c r="H38" s="4">
        <v>0.43489</v>
      </c>
      <c r="I38" s="4">
        <f t="shared" ref="I38:I40" si="37">(H38+H37)/2</f>
        <v>0.43489</v>
      </c>
      <c r="J38" s="20">
        <f t="shared" ref="J38:J40" si="38">J37+I38</f>
        <v>8.0620830000000012</v>
      </c>
      <c r="K38" s="21">
        <f t="shared" ref="K38:K39" si="39">($D$5*$D$6/($D$16-1))*(J38/$D$6-(J38/$D$6)^$D$16)</f>
        <v>0.62522814959507123</v>
      </c>
      <c r="L38" s="21">
        <f t="shared" ref="L38:L40" si="40">K38*$D$15</f>
        <v>0.5702848892248612</v>
      </c>
      <c r="M38" s="21">
        <f t="shared" ref="M38:M40" si="41">L38*$D$8</f>
        <v>0.24978478148048922</v>
      </c>
      <c r="P38" s="21">
        <f t="shared" ref="P38:P40" si="42">P37+H38*TAN($D$9*PI()/180)*2</f>
        <v>9.5330767176978917</v>
      </c>
      <c r="Q38" s="21">
        <f t="shared" ref="Q38:Q40" si="43">H38/COS($D$9*PI()/180)</f>
        <v>0.5021677171357527</v>
      </c>
      <c r="R38" s="21">
        <f t="shared" ref="R38:R40" si="44">P38*4*Q38</f>
        <v>19.148813490425379</v>
      </c>
      <c r="S38" s="21">
        <f t="shared" ref="S38:S40" si="45">R38*L38</f>
        <v>10.920278980174766</v>
      </c>
      <c r="T38" s="21">
        <f t="shared" ref="T38:T40" si="46">R38*M38</f>
        <v>4.783082193316547</v>
      </c>
      <c r="U38" s="5"/>
    </row>
    <row r="39" spans="6:23" x14ac:dyDescent="0.25">
      <c r="G39" s="4">
        <v>17</v>
      </c>
      <c r="H39" s="4">
        <v>0.43489</v>
      </c>
      <c r="I39" s="4">
        <f t="shared" si="37"/>
        <v>0.43489</v>
      </c>
      <c r="J39" s="20">
        <f t="shared" si="38"/>
        <v>8.4969730000000006</v>
      </c>
      <c r="K39" s="21">
        <f t="shared" si="39"/>
        <v>0.28466687215383835</v>
      </c>
      <c r="L39" s="21">
        <f t="shared" si="40"/>
        <v>0.25965116215157563</v>
      </c>
      <c r="M39" s="21">
        <f t="shared" si="41"/>
        <v>0.11372720902239013</v>
      </c>
      <c r="P39" s="21">
        <f t="shared" si="42"/>
        <v>10.035244434833645</v>
      </c>
      <c r="Q39" s="21">
        <f t="shared" si="43"/>
        <v>0.5021677171357527</v>
      </c>
      <c r="R39" s="21">
        <f t="shared" si="44"/>
        <v>20.157503154958714</v>
      </c>
      <c r="S39" s="21">
        <f t="shared" si="45"/>
        <v>5.2339191202590829</v>
      </c>
      <c r="T39" s="21">
        <f t="shared" si="46"/>
        <v>2.2924565746734782</v>
      </c>
      <c r="U39" s="5"/>
    </row>
    <row r="40" spans="6:23" x14ac:dyDescent="0.25">
      <c r="G40" s="4">
        <v>18</v>
      </c>
      <c r="H40" s="4">
        <v>0.53439999999999999</v>
      </c>
      <c r="I40" s="4">
        <f t="shared" si="37"/>
        <v>0.48464499999999999</v>
      </c>
      <c r="J40" s="20">
        <f t="shared" si="38"/>
        <v>8.981618000000001</v>
      </c>
      <c r="K40" s="21">
        <v>0</v>
      </c>
      <c r="L40" s="21">
        <f t="shared" si="40"/>
        <v>0</v>
      </c>
      <c r="M40" s="21">
        <f t="shared" si="41"/>
        <v>0</v>
      </c>
      <c r="P40" s="21">
        <f t="shared" si="42"/>
        <v>10.652316402543518</v>
      </c>
      <c r="Q40" s="21">
        <f t="shared" si="43"/>
        <v>0.61707196770987194</v>
      </c>
      <c r="R40" s="21">
        <f t="shared" si="44"/>
        <v>26.29298337274269</v>
      </c>
      <c r="S40" s="21">
        <f t="shared" si="45"/>
        <v>0</v>
      </c>
      <c r="T40" s="21">
        <f t="shared" si="46"/>
        <v>0</v>
      </c>
      <c r="U40" s="5"/>
    </row>
    <row r="41" spans="6:23" x14ac:dyDescent="0.25">
      <c r="F41" s="4" t="s">
        <v>16</v>
      </c>
      <c r="J41" s="20"/>
      <c r="K41" s="21"/>
      <c r="L41" s="21"/>
      <c r="M41" s="21"/>
      <c r="P41" s="21"/>
      <c r="Q41" s="21"/>
      <c r="R41" s="21"/>
      <c r="S41" s="21"/>
      <c r="T41" s="21"/>
      <c r="U41" s="5"/>
    </row>
    <row r="42" spans="6:23" x14ac:dyDescent="0.25">
      <c r="J42" s="4" t="s">
        <v>43</v>
      </c>
      <c r="K42" s="5">
        <f>MAX(K22:K41)</f>
        <v>2.5040317283291542</v>
      </c>
      <c r="L42" s="5">
        <f t="shared" ref="L42:M42" si="47">MAX(L22:L41)</f>
        <v>2.2839845866354236</v>
      </c>
      <c r="M42" s="5">
        <f t="shared" si="47"/>
        <v>1.0003852489463156</v>
      </c>
      <c r="N42" s="3"/>
      <c r="O42" s="3"/>
      <c r="P42" s="3"/>
      <c r="Q42" s="3"/>
    </row>
    <row r="43" spans="6:23" x14ac:dyDescent="0.25">
      <c r="N43" s="3"/>
      <c r="O43" s="3"/>
      <c r="P43" s="3"/>
      <c r="Q43" s="3"/>
    </row>
    <row r="44" spans="6:23" x14ac:dyDescent="0.25">
      <c r="M44" s="38" t="s">
        <v>13</v>
      </c>
      <c r="N44" s="38"/>
      <c r="O44" s="38"/>
      <c r="P44" s="38"/>
      <c r="Q44" s="38"/>
      <c r="R44" s="5">
        <f>SUM(R22:R42)</f>
        <v>231.61584009655255</v>
      </c>
      <c r="S44" s="15">
        <f>SUM(S22:S42)</f>
        <v>303.82572632238453</v>
      </c>
      <c r="T44" s="15">
        <f>SUM(T22:T42)</f>
        <v>133.07566812920439</v>
      </c>
      <c r="U44" s="15"/>
    </row>
    <row r="45" spans="6:23" x14ac:dyDescent="0.25">
      <c r="M45" s="38" t="s">
        <v>14</v>
      </c>
      <c r="N45" s="38"/>
      <c r="O45" s="38"/>
      <c r="P45" s="38"/>
      <c r="Q45" s="38"/>
      <c r="S45" s="15">
        <f>S44*COS(60*PI()/180)</f>
        <v>151.91286316119229</v>
      </c>
      <c r="T45" s="15">
        <f>T44*COS(30*PI()/180)</f>
        <v>115.24690922547819</v>
      </c>
      <c r="U45" s="15" t="s">
        <v>18</v>
      </c>
      <c r="V45" s="16">
        <f>S45+T45</f>
        <v>267.15977238667051</v>
      </c>
      <c r="W45" s="17" t="s">
        <v>15</v>
      </c>
    </row>
  </sheetData>
  <mergeCells count="3">
    <mergeCell ref="B3:F3"/>
    <mergeCell ref="M44:Q44"/>
    <mergeCell ref="M45:Q45"/>
  </mergeCells>
  <pageMargins left="0.7" right="0.7" top="0.75" bottom="0.75" header="0.3" footer="0.3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37"/>
  <sheetViews>
    <sheetView topLeftCell="A13" workbookViewId="0">
      <selection activeCell="L20" sqref="L20:M33"/>
    </sheetView>
  </sheetViews>
  <sheetFormatPr defaultRowHeight="15" x14ac:dyDescent="0.25"/>
  <cols>
    <col min="1" max="1" width="9.140625" style="4"/>
    <col min="2" max="2" width="39.85546875" style="3" bestFit="1" customWidth="1"/>
    <col min="3" max="3" width="1.5703125" style="4" bestFit="1" customWidth="1"/>
    <col min="4" max="4" width="6.140625" style="4" bestFit="1" customWidth="1"/>
    <col min="5" max="5" width="5.28515625" style="4" bestFit="1" customWidth="1"/>
    <col min="6" max="6" width="24.7109375" style="4" bestFit="1" customWidth="1"/>
    <col min="7" max="7" width="4.28515625" style="4" customWidth="1"/>
    <col min="8" max="9" width="4.85546875" style="4" customWidth="1"/>
    <col min="10" max="10" width="13.28515625" style="4" customWidth="1"/>
    <col min="11" max="11" width="10.140625" style="5" customWidth="1"/>
    <col min="12" max="12" width="9.85546875" style="5" bestFit="1" customWidth="1"/>
    <col min="13" max="13" width="12" style="5" bestFit="1" customWidth="1"/>
    <col min="14" max="14" width="9.140625" style="4"/>
    <col min="15" max="15" width="5.5703125" style="4" bestFit="1" customWidth="1"/>
    <col min="16" max="16" width="5.7109375" style="4" bestFit="1" customWidth="1"/>
    <col min="17" max="17" width="6.85546875" style="4" bestFit="1" customWidth="1"/>
    <col min="18" max="18" width="8.140625" style="4" bestFit="1" customWidth="1"/>
    <col min="19" max="19" width="7.7109375" style="4" bestFit="1" customWidth="1"/>
    <col min="20" max="20" width="2" style="4" bestFit="1" customWidth="1"/>
    <col min="21" max="21" width="5.5703125" style="4" bestFit="1" customWidth="1"/>
    <col min="22" max="22" width="4" style="4" bestFit="1" customWidth="1"/>
    <col min="23" max="16384" width="9.140625" style="4"/>
  </cols>
  <sheetData>
    <row r="2" spans="2:23" x14ac:dyDescent="0.25">
      <c r="V2" s="6"/>
      <c r="W2" s="6"/>
    </row>
    <row r="3" spans="2:23" x14ac:dyDescent="0.25">
      <c r="B3" s="39" t="s">
        <v>55</v>
      </c>
      <c r="C3" s="40"/>
      <c r="D3" s="40"/>
      <c r="E3" s="40"/>
      <c r="F3" s="41"/>
      <c r="G3" s="31"/>
      <c r="H3" s="31"/>
      <c r="I3" s="31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2:23" x14ac:dyDescent="0.25">
      <c r="B4" s="3" t="s">
        <v>35</v>
      </c>
      <c r="C4" s="4" t="s">
        <v>0</v>
      </c>
      <c r="D4" s="4">
        <v>2</v>
      </c>
      <c r="F4" s="6" t="s">
        <v>36</v>
      </c>
      <c r="G4" s="6"/>
      <c r="H4" s="6"/>
      <c r="I4" s="6"/>
      <c r="J4" s="6"/>
      <c r="K4" s="6"/>
      <c r="L4" s="6"/>
      <c r="M4" s="6"/>
      <c r="V4" s="6"/>
      <c r="W4" s="6"/>
    </row>
    <row r="5" spans="2:23" x14ac:dyDescent="0.25">
      <c r="B5" s="7" t="s">
        <v>37</v>
      </c>
      <c r="C5" s="4" t="s">
        <v>0</v>
      </c>
      <c r="D5" s="4">
        <v>1</v>
      </c>
      <c r="E5" s="4" t="s">
        <v>5</v>
      </c>
      <c r="V5" s="6"/>
      <c r="W5" s="6"/>
    </row>
    <row r="6" spans="2:23" x14ac:dyDescent="0.25">
      <c r="B6" s="3" t="s">
        <v>38</v>
      </c>
      <c r="C6" s="4" t="s">
        <v>0</v>
      </c>
      <c r="D6" s="4">
        <f>5.2+1.34</f>
        <v>6.54</v>
      </c>
      <c r="E6" s="4" t="s">
        <v>3</v>
      </c>
      <c r="V6" s="6"/>
      <c r="W6" s="6"/>
    </row>
    <row r="7" spans="2:23" x14ac:dyDescent="0.25">
      <c r="B7" s="8" t="s">
        <v>4</v>
      </c>
      <c r="C7" s="9" t="s">
        <v>0</v>
      </c>
      <c r="D7" s="10">
        <v>0.438</v>
      </c>
    </row>
    <row r="8" spans="2:23" x14ac:dyDescent="0.25">
      <c r="B8" s="11" t="s">
        <v>19</v>
      </c>
      <c r="C8" s="9" t="s">
        <v>0</v>
      </c>
      <c r="D8" s="10">
        <v>0.438</v>
      </c>
    </row>
    <row r="9" spans="2:23" x14ac:dyDescent="0.25">
      <c r="B9" s="11" t="s">
        <v>2</v>
      </c>
      <c r="C9" s="9" t="s">
        <v>0</v>
      </c>
      <c r="D9" s="9">
        <v>30</v>
      </c>
      <c r="E9" s="12" t="s">
        <v>1</v>
      </c>
    </row>
    <row r="10" spans="2:23" x14ac:dyDescent="0.25">
      <c r="B10" s="11" t="s">
        <v>59</v>
      </c>
      <c r="C10" s="9" t="s">
        <v>0</v>
      </c>
      <c r="D10" s="9">
        <v>1.6</v>
      </c>
      <c r="E10" s="12"/>
    </row>
    <row r="11" spans="2:23" x14ac:dyDescent="0.25">
      <c r="B11" s="11"/>
      <c r="C11" s="9"/>
      <c r="D11" s="10"/>
    </row>
    <row r="12" spans="2:23" x14ac:dyDescent="0.25">
      <c r="B12" s="3" t="s">
        <v>7</v>
      </c>
      <c r="C12" s="4" t="s">
        <v>0</v>
      </c>
      <c r="D12" s="4">
        <v>0.2</v>
      </c>
    </row>
    <row r="13" spans="2:23" x14ac:dyDescent="0.25">
      <c r="B13" s="3" t="s">
        <v>39</v>
      </c>
      <c r="C13" s="4" t="s">
        <v>0</v>
      </c>
      <c r="D13" s="4">
        <f>1-D12/(1+TAN(D9*PI()/180)/D8)</f>
        <v>0.91372435438470356</v>
      </c>
    </row>
    <row r="14" spans="2:23" x14ac:dyDescent="0.25">
      <c r="B14" s="3" t="s">
        <v>8</v>
      </c>
      <c r="C14" s="4" t="s">
        <v>0</v>
      </c>
      <c r="D14" s="4">
        <f>D4*(1-D12)*D8*1/TAN(D9*PI()/180)</f>
        <v>1.2138212059442695</v>
      </c>
    </row>
    <row r="16" spans="2:23" x14ac:dyDescent="0.25">
      <c r="G16" s="26"/>
      <c r="H16" s="26"/>
      <c r="I16" s="26"/>
    </row>
    <row r="19" spans="6:20" ht="60" x14ac:dyDescent="0.25">
      <c r="J19" s="19" t="s">
        <v>41</v>
      </c>
      <c r="K19" s="19" t="s">
        <v>40</v>
      </c>
      <c r="L19" s="19" t="s">
        <v>42</v>
      </c>
      <c r="M19" s="19" t="s">
        <v>60</v>
      </c>
      <c r="N19" s="13"/>
      <c r="O19" s="22" t="s">
        <v>9</v>
      </c>
      <c r="P19" s="19" t="s">
        <v>6</v>
      </c>
      <c r="Q19" s="22" t="s">
        <v>10</v>
      </c>
      <c r="R19" s="22" t="s">
        <v>11</v>
      </c>
      <c r="S19" s="22" t="s">
        <v>12</v>
      </c>
      <c r="T19" s="14"/>
    </row>
    <row r="20" spans="6:20" x14ac:dyDescent="0.25">
      <c r="F20" s="4" t="s">
        <v>17</v>
      </c>
      <c r="H20" s="4">
        <v>0</v>
      </c>
      <c r="J20" s="21">
        <v>1.34</v>
      </c>
      <c r="K20" s="21">
        <f t="shared" ref="K20:K31" si="0">($D$5*$D$6/($D$14-1))*(J20/$D$6-(J20/$D$6)^$D$14)</f>
        <v>1.801687412225444</v>
      </c>
      <c r="L20" s="21">
        <f t="shared" ref="L20:L27" si="1">K20*$D$13</f>
        <v>1.6462456675387411</v>
      </c>
      <c r="M20" s="21">
        <f t="shared" ref="M20:M27" si="2">L20*$D$8</f>
        <v>0.72105560238196864</v>
      </c>
      <c r="O20" s="21">
        <v>1.52</v>
      </c>
      <c r="P20" s="21">
        <v>0</v>
      </c>
      <c r="Q20" s="21">
        <f t="shared" ref="Q20:Q27" si="3">O20*4*P20</f>
        <v>0</v>
      </c>
      <c r="R20" s="21">
        <f t="shared" ref="R20:R27" si="4">Q20*L20</f>
        <v>0</v>
      </c>
      <c r="S20" s="21">
        <f t="shared" ref="S20:S27" si="5">Q20*M20</f>
        <v>0</v>
      </c>
      <c r="T20" s="5"/>
    </row>
    <row r="21" spans="6:20" x14ac:dyDescent="0.25">
      <c r="G21" s="4">
        <v>1</v>
      </c>
      <c r="H21" s="4">
        <v>0.43489</v>
      </c>
      <c r="I21" s="4">
        <f>(H21+H20)/2</f>
        <v>0.217445</v>
      </c>
      <c r="J21" s="21">
        <f>J20+I21</f>
        <v>1.557445</v>
      </c>
      <c r="K21" s="21">
        <f t="shared" si="0"/>
        <v>1.9244674964590065</v>
      </c>
      <c r="L21" s="21">
        <f t="shared" si="1"/>
        <v>1.7584328207363524</v>
      </c>
      <c r="M21" s="21">
        <f t="shared" si="2"/>
        <v>0.77019357548252232</v>
      </c>
      <c r="O21" s="21">
        <f>O20+H21*TAN($D$9*PI()/180)*2</f>
        <v>2.0221677171357526</v>
      </c>
      <c r="P21" s="21">
        <f>H21/COS($D$9*PI()/180)</f>
        <v>0.5021677171357527</v>
      </c>
      <c r="Q21" s="21">
        <f t="shared" si="3"/>
        <v>4.06186938471871</v>
      </c>
      <c r="R21" s="21">
        <f t="shared" si="4"/>
        <v>7.1425244396335534</v>
      </c>
      <c r="S21" s="21">
        <f t="shared" si="5"/>
        <v>3.1284257045594961</v>
      </c>
      <c r="T21" s="5"/>
    </row>
    <row r="22" spans="6:20" x14ac:dyDescent="0.25">
      <c r="G22" s="4">
        <v>2</v>
      </c>
      <c r="H22" s="4">
        <v>0.43489</v>
      </c>
      <c r="I22" s="4">
        <f t="shared" ref="I22:I27" si="6">(H22+H21)/2</f>
        <v>0.43489</v>
      </c>
      <c r="J22" s="21">
        <f t="shared" ref="J22:J27" si="7">J21+I22</f>
        <v>1.992335</v>
      </c>
      <c r="K22" s="21">
        <f t="shared" si="0"/>
        <v>2.0911652050741862</v>
      </c>
      <c r="L22" s="21">
        <f t="shared" si="1"/>
        <v>1.9107485769181671</v>
      </c>
      <c r="M22" s="21">
        <f t="shared" si="2"/>
        <v>0.8369078766901572</v>
      </c>
      <c r="O22" s="21">
        <f t="shared" ref="O22:O27" si="8">O21+H22*TAN($D$9*PI()/180)*2</f>
        <v>2.5243354342715052</v>
      </c>
      <c r="P22" s="21">
        <f t="shared" ref="P22:P27" si="9">H22/COS($D$9*PI()/180)</f>
        <v>0.5021677171357527</v>
      </c>
      <c r="Q22" s="21">
        <f t="shared" si="3"/>
        <v>5.0705590492520427</v>
      </c>
      <c r="R22" s="21">
        <f t="shared" si="4"/>
        <v>9.6885634875378752</v>
      </c>
      <c r="S22" s="21">
        <f t="shared" si="5"/>
        <v>4.2435908075415893</v>
      </c>
      <c r="T22" s="5"/>
    </row>
    <row r="23" spans="6:20" x14ac:dyDescent="0.25">
      <c r="G23" s="4">
        <v>3</v>
      </c>
      <c r="H23" s="4">
        <v>0.43489</v>
      </c>
      <c r="I23" s="4">
        <f t="shared" si="6"/>
        <v>0.43489</v>
      </c>
      <c r="J23" s="21">
        <f t="shared" si="7"/>
        <v>2.427225</v>
      </c>
      <c r="K23" s="21">
        <f t="shared" si="0"/>
        <v>2.1679898611267845</v>
      </c>
      <c r="L23" s="21">
        <f t="shared" si="1"/>
        <v>1.9809451361706543</v>
      </c>
      <c r="M23" s="21">
        <f t="shared" si="2"/>
        <v>0.86765396964274655</v>
      </c>
      <c r="O23" s="21">
        <f t="shared" si="8"/>
        <v>3.0265031514072578</v>
      </c>
      <c r="P23" s="21">
        <f t="shared" si="9"/>
        <v>0.5021677171357527</v>
      </c>
      <c r="Q23" s="21">
        <f t="shared" si="3"/>
        <v>6.0792487137853755</v>
      </c>
      <c r="R23" s="21">
        <f t="shared" si="4"/>
        <v>12.042658171144845</v>
      </c>
      <c r="S23" s="21">
        <f t="shared" si="5"/>
        <v>5.2746842789614421</v>
      </c>
      <c r="T23" s="5"/>
    </row>
    <row r="24" spans="6:20" x14ac:dyDescent="0.25">
      <c r="G24" s="4">
        <v>4</v>
      </c>
      <c r="H24" s="4">
        <v>0.43489</v>
      </c>
      <c r="I24" s="4">
        <f t="shared" si="6"/>
        <v>0.43489</v>
      </c>
      <c r="J24" s="21">
        <f t="shared" si="7"/>
        <v>2.8621150000000002</v>
      </c>
      <c r="K24" s="21">
        <f t="shared" si="0"/>
        <v>2.1680063339041831</v>
      </c>
      <c r="L24" s="21">
        <f t="shared" si="1"/>
        <v>1.9809601877485477</v>
      </c>
      <c r="M24" s="21">
        <f t="shared" si="2"/>
        <v>0.8676605622338639</v>
      </c>
      <c r="O24" s="21">
        <f t="shared" si="8"/>
        <v>3.5286708685430104</v>
      </c>
      <c r="P24" s="21">
        <f t="shared" si="9"/>
        <v>0.5021677171357527</v>
      </c>
      <c r="Q24" s="21">
        <f t="shared" si="3"/>
        <v>7.0879383783187091</v>
      </c>
      <c r="R24" s="21">
        <f t="shared" si="4"/>
        <v>14.040923740664367</v>
      </c>
      <c r="S24" s="21">
        <f t="shared" si="5"/>
        <v>6.1499245984109923</v>
      </c>
      <c r="T24" s="5"/>
    </row>
    <row r="25" spans="6:20" x14ac:dyDescent="0.25">
      <c r="G25" s="4">
        <v>5</v>
      </c>
      <c r="H25" s="4">
        <v>0.43489</v>
      </c>
      <c r="I25" s="4">
        <f t="shared" si="6"/>
        <v>0.43489</v>
      </c>
      <c r="J25" s="21">
        <f t="shared" si="7"/>
        <v>3.2970050000000004</v>
      </c>
      <c r="K25" s="21">
        <f t="shared" si="0"/>
        <v>2.1006213250476717</v>
      </c>
      <c r="L25" s="21">
        <f t="shared" si="1"/>
        <v>1.9193888640359245</v>
      </c>
      <c r="M25" s="21">
        <f t="shared" si="2"/>
        <v>0.84069232244773495</v>
      </c>
      <c r="O25" s="21">
        <f t="shared" si="8"/>
        <v>4.0308385856787634</v>
      </c>
      <c r="P25" s="21">
        <f t="shared" si="9"/>
        <v>0.5021677171357527</v>
      </c>
      <c r="Q25" s="21">
        <f t="shared" si="3"/>
        <v>8.0966280428520427</v>
      </c>
      <c r="R25" s="21">
        <f t="shared" si="4"/>
        <v>15.540577701691193</v>
      </c>
      <c r="S25" s="21">
        <f t="shared" si="5"/>
        <v>6.8067730333407424</v>
      </c>
      <c r="T25" s="5"/>
    </row>
    <row r="26" spans="6:20" x14ac:dyDescent="0.25">
      <c r="G26" s="4">
        <v>6</v>
      </c>
      <c r="H26" s="4">
        <v>0.43489</v>
      </c>
      <c r="I26" s="4">
        <f t="shared" si="6"/>
        <v>0.43489</v>
      </c>
      <c r="J26" s="21">
        <f t="shared" si="7"/>
        <v>3.7318950000000006</v>
      </c>
      <c r="K26" s="21">
        <f t="shared" si="0"/>
        <v>1.9729692732121054</v>
      </c>
      <c r="L26" s="21">
        <f t="shared" si="1"/>
        <v>1.8027500753865888</v>
      </c>
      <c r="M26" s="21">
        <f t="shared" si="2"/>
        <v>0.78960453301932587</v>
      </c>
      <c r="O26" s="21">
        <f t="shared" si="8"/>
        <v>4.533006302814516</v>
      </c>
      <c r="P26" s="21">
        <f t="shared" si="9"/>
        <v>0.5021677171357527</v>
      </c>
      <c r="Q26" s="21">
        <f t="shared" si="3"/>
        <v>9.1053177073853764</v>
      </c>
      <c r="R26" s="21">
        <f t="shared" si="4"/>
        <v>16.414612183407829</v>
      </c>
      <c r="S26" s="21">
        <f t="shared" si="5"/>
        <v>7.1896001363326292</v>
      </c>
      <c r="T26" s="5"/>
    </row>
    <row r="27" spans="6:20" x14ac:dyDescent="0.25">
      <c r="G27" s="4">
        <v>7</v>
      </c>
      <c r="H27" s="4">
        <v>0.43489</v>
      </c>
      <c r="I27" s="4">
        <f t="shared" si="6"/>
        <v>0.43489</v>
      </c>
      <c r="J27" s="21">
        <f t="shared" si="7"/>
        <v>4.1667850000000008</v>
      </c>
      <c r="K27" s="21">
        <f t="shared" si="0"/>
        <v>1.7906685143203431</v>
      </c>
      <c r="L27" s="21">
        <f t="shared" si="1"/>
        <v>1.6361774321643718</v>
      </c>
      <c r="M27" s="21">
        <f t="shared" si="2"/>
        <v>0.71664571528799481</v>
      </c>
      <c r="O27" s="21">
        <f t="shared" si="8"/>
        <v>5.0351740199502686</v>
      </c>
      <c r="P27" s="21">
        <f t="shared" si="9"/>
        <v>0.5021677171357527</v>
      </c>
      <c r="Q27" s="21">
        <f t="shared" si="3"/>
        <v>10.11400737191871</v>
      </c>
      <c r="R27" s="21">
        <f t="shared" si="4"/>
        <v>16.548310610677483</v>
      </c>
      <c r="S27" s="21">
        <f t="shared" si="5"/>
        <v>7.2481600474767367</v>
      </c>
      <c r="T27" s="5"/>
    </row>
    <row r="28" spans="6:20" x14ac:dyDescent="0.25">
      <c r="G28" s="4">
        <v>8</v>
      </c>
      <c r="H28" s="4">
        <v>0.43489</v>
      </c>
      <c r="I28" s="4">
        <f t="shared" ref="I28:I31" si="10">(H28+H27)/2</f>
        <v>0.43489</v>
      </c>
      <c r="J28" s="21">
        <f t="shared" ref="J28:J31" si="11">J27+I28</f>
        <v>4.6016750000000011</v>
      </c>
      <c r="K28" s="21">
        <f t="shared" si="0"/>
        <v>1.5582713390371186</v>
      </c>
      <c r="L28" s="21">
        <f>K28*$D$13</f>
        <v>1.4238304732178786</v>
      </c>
      <c r="M28" s="21">
        <f t="shared" ref="M28:M31" si="12">L28*$D$8</f>
        <v>0.62363774726943078</v>
      </c>
      <c r="O28" s="21">
        <f t="shared" ref="O28:O31" si="13">O27+H28*TAN($D$9*PI()/180)*2</f>
        <v>5.5373417370860212</v>
      </c>
      <c r="P28" s="21">
        <f t="shared" ref="P28:P31" si="14">H28/COS($D$9*PI()/180)</f>
        <v>0.5021677171357527</v>
      </c>
      <c r="Q28" s="21">
        <f t="shared" ref="Q28:Q31" si="15">O28*4*P28</f>
        <v>11.122697036452042</v>
      </c>
      <c r="R28" s="21">
        <f t="shared" ref="R28:R31" si="16">Q28*L28</f>
        <v>15.836834984870606</v>
      </c>
      <c r="S28" s="21">
        <f t="shared" ref="S28:S31" si="17">Q28*M28</f>
        <v>6.9365337233733255</v>
      </c>
      <c r="T28" s="5"/>
    </row>
    <row r="29" spans="6:20" x14ac:dyDescent="0.25">
      <c r="G29" s="4">
        <v>9</v>
      </c>
      <c r="H29" s="4">
        <v>0.43489</v>
      </c>
      <c r="I29" s="4">
        <f t="shared" si="10"/>
        <v>0.43489</v>
      </c>
      <c r="J29" s="21">
        <f t="shared" si="11"/>
        <v>5.0365650000000013</v>
      </c>
      <c r="K29" s="21">
        <f t="shared" si="0"/>
        <v>1.2795497001211302</v>
      </c>
      <c r="L29" s="21">
        <f>K29*$D$13</f>
        <v>1.1691557236463208</v>
      </c>
      <c r="M29" s="21">
        <f t="shared" si="12"/>
        <v>0.51209020695708851</v>
      </c>
      <c r="O29" s="21">
        <f t="shared" si="13"/>
        <v>6.0395094542217738</v>
      </c>
      <c r="P29" s="21">
        <f t="shared" si="14"/>
        <v>0.5021677171357527</v>
      </c>
      <c r="Q29" s="21">
        <f t="shared" si="15"/>
        <v>12.131386700985376</v>
      </c>
      <c r="R29" s="21">
        <f t="shared" si="16"/>
        <v>14.18348019722391</v>
      </c>
      <c r="S29" s="21">
        <f t="shared" si="17"/>
        <v>6.2123643263840718</v>
      </c>
      <c r="T29" s="5"/>
    </row>
    <row r="30" spans="6:20" x14ac:dyDescent="0.25">
      <c r="G30" s="4">
        <v>10</v>
      </c>
      <c r="H30" s="4">
        <v>0.43489</v>
      </c>
      <c r="I30" s="4">
        <f t="shared" si="10"/>
        <v>0.43489</v>
      </c>
      <c r="J30" s="21">
        <f t="shared" si="11"/>
        <v>5.4714550000000015</v>
      </c>
      <c r="K30" s="21">
        <f t="shared" si="0"/>
        <v>0.9576858620027302</v>
      </c>
      <c r="L30" s="21">
        <f>K30*$D$13</f>
        <v>0.87506089596180292</v>
      </c>
      <c r="M30" s="21">
        <f t="shared" si="12"/>
        <v>0.38327667243126967</v>
      </c>
      <c r="O30" s="21">
        <f t="shared" si="13"/>
        <v>6.5416771713575264</v>
      </c>
      <c r="P30" s="21">
        <f t="shared" si="14"/>
        <v>0.5021677171357527</v>
      </c>
      <c r="Q30" s="21">
        <f t="shared" si="15"/>
        <v>13.140076365518709</v>
      </c>
      <c r="R30" s="21">
        <f t="shared" si="16"/>
        <v>11.498366997417312</v>
      </c>
      <c r="S30" s="21">
        <f t="shared" si="17"/>
        <v>5.0362847448687829</v>
      </c>
      <c r="T30" s="5"/>
    </row>
    <row r="31" spans="6:20" x14ac:dyDescent="0.25">
      <c r="G31" s="4">
        <v>11</v>
      </c>
      <c r="H31" s="4">
        <v>0.43489</v>
      </c>
      <c r="I31" s="4">
        <f t="shared" si="10"/>
        <v>0.43489</v>
      </c>
      <c r="J31" s="21">
        <f t="shared" si="11"/>
        <v>5.9063450000000017</v>
      </c>
      <c r="K31" s="21">
        <f t="shared" si="0"/>
        <v>0.59540478697291177</v>
      </c>
      <c r="L31" s="21">
        <f>K31*$D$13</f>
        <v>0.54403585457438575</v>
      </c>
      <c r="M31" s="21">
        <f t="shared" si="12"/>
        <v>0.23828770430358096</v>
      </c>
      <c r="O31" s="21">
        <f t="shared" si="13"/>
        <v>7.0438448884932789</v>
      </c>
      <c r="P31" s="21">
        <f t="shared" si="14"/>
        <v>0.5021677171357527</v>
      </c>
      <c r="Q31" s="21">
        <f t="shared" si="15"/>
        <v>14.148766030052041</v>
      </c>
      <c r="R31" s="21">
        <f t="shared" si="16"/>
        <v>7.6974360183324011</v>
      </c>
      <c r="S31" s="21">
        <f t="shared" si="17"/>
        <v>3.3714769760295917</v>
      </c>
      <c r="T31" s="5"/>
    </row>
    <row r="32" spans="6:20" x14ac:dyDescent="0.25">
      <c r="G32" s="4">
        <v>12</v>
      </c>
      <c r="H32" s="4">
        <v>0.43489</v>
      </c>
      <c r="I32" s="4">
        <f t="shared" ref="I32:I33" si="18">(H32+H31)/2</f>
        <v>0.43489</v>
      </c>
      <c r="J32" s="21">
        <f t="shared" ref="J32:J33" si="19">J31+I32</f>
        <v>6.341235000000002</v>
      </c>
      <c r="K32" s="21">
        <f t="shared" ref="K32" si="20">($D$5*$D$6/($D$14-1))*(J32/$D$6-(J32/$D$6)^$D$14)</f>
        <v>0.19506910654681028</v>
      </c>
      <c r="L32" s="21">
        <f t="shared" ref="L32:L33" si="21">K32*$D$13</f>
        <v>0.17823939343988518</v>
      </c>
      <c r="M32" s="21">
        <f t="shared" ref="M32:M33" si="22">L32*$D$8</f>
        <v>7.8068854326669712E-2</v>
      </c>
      <c r="O32" s="21">
        <f t="shared" ref="O32:O33" si="23">O31+H32*TAN($D$9*PI()/180)*2</f>
        <v>7.5460126056290315</v>
      </c>
      <c r="P32" s="21">
        <f t="shared" ref="P32:P33" si="24">H32/COS($D$9*PI()/180)</f>
        <v>0.5021677171357527</v>
      </c>
      <c r="Q32" s="21">
        <f t="shared" ref="Q32:Q33" si="25">O32*4*P32</f>
        <v>15.157455694585375</v>
      </c>
      <c r="R32" s="21">
        <f t="shared" ref="R32:R33" si="26">Q32*L32</f>
        <v>2.7016557090948305</v>
      </c>
      <c r="S32" s="21">
        <f t="shared" ref="S32:S33" si="27">Q32*M32</f>
        <v>1.183325200583536</v>
      </c>
      <c r="T32" s="5"/>
    </row>
    <row r="33" spans="6:22" x14ac:dyDescent="0.25">
      <c r="F33" s="4" t="s">
        <v>16</v>
      </c>
      <c r="G33" s="4">
        <v>13</v>
      </c>
      <c r="H33" s="4">
        <v>0.41617799999999999</v>
      </c>
      <c r="I33" s="4">
        <f t="shared" si="18"/>
        <v>0.42553399999999997</v>
      </c>
      <c r="J33" s="21">
        <f t="shared" si="19"/>
        <v>6.7667690000000018</v>
      </c>
      <c r="K33" s="21">
        <v>0</v>
      </c>
      <c r="L33" s="21">
        <f t="shared" si="21"/>
        <v>0</v>
      </c>
      <c r="M33" s="21">
        <f t="shared" si="22"/>
        <v>0</v>
      </c>
      <c r="O33" s="21">
        <f t="shared" si="23"/>
        <v>8.0265735662906312</v>
      </c>
      <c r="P33" s="21">
        <f t="shared" si="24"/>
        <v>0.48056096066160009</v>
      </c>
      <c r="Q33" s="21">
        <f t="shared" si="25"/>
        <v>15.429031615350524</v>
      </c>
      <c r="R33" s="21">
        <f t="shared" si="26"/>
        <v>0</v>
      </c>
      <c r="S33" s="21">
        <f t="shared" si="27"/>
        <v>0</v>
      </c>
      <c r="T33" s="5"/>
    </row>
    <row r="34" spans="6:22" x14ac:dyDescent="0.25">
      <c r="J34" s="4" t="s">
        <v>43</v>
      </c>
      <c r="K34" s="5">
        <f>MAX(K19:K33)</f>
        <v>2.1680063339041831</v>
      </c>
      <c r="L34" s="5">
        <f>MAX(L19:L33)</f>
        <v>1.9809601877485477</v>
      </c>
      <c r="M34" s="5">
        <f>MAX(M19:M33)</f>
        <v>0.8676605622338639</v>
      </c>
      <c r="N34" s="3"/>
      <c r="O34" s="3"/>
      <c r="P34" s="3"/>
    </row>
    <row r="35" spans="6:22" x14ac:dyDescent="0.25">
      <c r="N35" s="3"/>
      <c r="O35" s="3"/>
      <c r="P35" s="3"/>
    </row>
    <row r="36" spans="6:22" x14ac:dyDescent="0.25">
      <c r="M36" s="38" t="s">
        <v>13</v>
      </c>
      <c r="N36" s="38"/>
      <c r="O36" s="38"/>
      <c r="P36" s="38"/>
      <c r="Q36" s="5">
        <f>SUM(Q19:Q34)</f>
        <v>130.74498209117505</v>
      </c>
      <c r="R36" s="15">
        <f>SUM(R19:R34)</f>
        <v>143.33594424169624</v>
      </c>
      <c r="S36" s="15">
        <f>SUM(S19:S34)</f>
        <v>62.781143577862935</v>
      </c>
      <c r="T36" s="15"/>
    </row>
    <row r="37" spans="6:22" x14ac:dyDescent="0.25">
      <c r="M37" s="38" t="s">
        <v>14</v>
      </c>
      <c r="N37" s="38"/>
      <c r="O37" s="38"/>
      <c r="P37" s="38"/>
      <c r="R37" s="15">
        <f>R36*COS(60*PI()/180)</f>
        <v>71.667972120848134</v>
      </c>
      <c r="S37" s="15">
        <f>S36*COS(30*PI()/180)</f>
        <v>54.37006521706757</v>
      </c>
      <c r="T37" s="15" t="s">
        <v>18</v>
      </c>
      <c r="U37" s="16">
        <f>R37+S37</f>
        <v>126.03803733791571</v>
      </c>
      <c r="V37" s="17" t="s">
        <v>15</v>
      </c>
    </row>
  </sheetData>
  <mergeCells count="3">
    <mergeCell ref="B3:F3"/>
    <mergeCell ref="M36:P36"/>
    <mergeCell ref="M37:P37"/>
  </mergeCells>
  <pageMargins left="0.7" right="0.7" top="0.75" bottom="0.75" header="0.3" footer="0.3"/>
  <pageSetup paperSize="9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41"/>
  <sheetViews>
    <sheetView topLeftCell="A16" workbookViewId="0">
      <selection activeCell="L22" sqref="L22:M35"/>
    </sheetView>
  </sheetViews>
  <sheetFormatPr defaultRowHeight="15" x14ac:dyDescent="0.25"/>
  <cols>
    <col min="1" max="1" width="9.140625" style="4"/>
    <col min="2" max="2" width="39.85546875" style="3" bestFit="1" customWidth="1"/>
    <col min="3" max="3" width="1.5703125" style="4" bestFit="1" customWidth="1"/>
    <col min="4" max="4" width="6.140625" style="4" bestFit="1" customWidth="1"/>
    <col min="5" max="5" width="5.28515625" style="4" bestFit="1" customWidth="1"/>
    <col min="6" max="6" width="24.7109375" style="4" bestFit="1" customWidth="1"/>
    <col min="7" max="7" width="4.28515625" style="4" customWidth="1"/>
    <col min="8" max="9" width="4.85546875" style="4" customWidth="1"/>
    <col min="10" max="10" width="13.28515625" style="4" customWidth="1"/>
    <col min="11" max="11" width="10.140625" style="5" customWidth="1"/>
    <col min="12" max="12" width="9.85546875" style="5" bestFit="1" customWidth="1"/>
    <col min="13" max="13" width="12" style="5" bestFit="1" customWidth="1"/>
    <col min="14" max="15" width="9.140625" style="4"/>
    <col min="16" max="16" width="5.5703125" style="4" bestFit="1" customWidth="1"/>
    <col min="17" max="17" width="5.7109375" style="4" bestFit="1" customWidth="1"/>
    <col min="18" max="18" width="6.85546875" style="4" bestFit="1" customWidth="1"/>
    <col min="19" max="19" width="8.140625" style="4" bestFit="1" customWidth="1"/>
    <col min="20" max="20" width="7.7109375" style="4" bestFit="1" customWidth="1"/>
    <col min="21" max="21" width="2" style="4" bestFit="1" customWidth="1"/>
    <col min="22" max="22" width="5.5703125" style="4" bestFit="1" customWidth="1"/>
    <col min="23" max="23" width="4" style="4" bestFit="1" customWidth="1"/>
    <col min="24" max="16384" width="9.140625" style="4"/>
  </cols>
  <sheetData>
    <row r="2" spans="2:24" x14ac:dyDescent="0.25">
      <c r="W2" s="6"/>
      <c r="X2" s="6"/>
    </row>
    <row r="3" spans="2:24" x14ac:dyDescent="0.25">
      <c r="B3" s="39" t="s">
        <v>56</v>
      </c>
      <c r="C3" s="40"/>
      <c r="D3" s="40"/>
      <c r="E3" s="40"/>
      <c r="F3" s="41"/>
      <c r="G3" s="31"/>
      <c r="H3" s="31"/>
      <c r="I3" s="31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2:24" x14ac:dyDescent="0.25">
      <c r="B4" s="3" t="s">
        <v>35</v>
      </c>
      <c r="C4" s="4" t="s">
        <v>0</v>
      </c>
      <c r="D4" s="4">
        <v>2</v>
      </c>
      <c r="F4" s="6" t="s">
        <v>36</v>
      </c>
      <c r="G4" s="6"/>
      <c r="H4" s="6"/>
      <c r="I4" s="6"/>
      <c r="J4" s="6"/>
      <c r="K4" s="6"/>
      <c r="L4" s="6"/>
      <c r="M4" s="6"/>
      <c r="W4" s="6"/>
      <c r="X4" s="6"/>
    </row>
    <row r="5" spans="2:24" x14ac:dyDescent="0.25">
      <c r="B5" s="7" t="s">
        <v>37</v>
      </c>
      <c r="C5" s="4" t="s">
        <v>0</v>
      </c>
      <c r="D5" s="4">
        <v>1</v>
      </c>
      <c r="E5" s="4" t="s">
        <v>5</v>
      </c>
      <c r="W5" s="6"/>
      <c r="X5" s="6"/>
    </row>
    <row r="6" spans="2:24" x14ac:dyDescent="0.25">
      <c r="B6" s="3" t="s">
        <v>38</v>
      </c>
      <c r="C6" s="4" t="s">
        <v>0</v>
      </c>
      <c r="D6" s="4">
        <f>5.2+1.34</f>
        <v>6.54</v>
      </c>
      <c r="E6" s="4" t="s">
        <v>3</v>
      </c>
      <c r="W6" s="6"/>
      <c r="X6" s="6"/>
    </row>
    <row r="7" spans="2:24" x14ac:dyDescent="0.25">
      <c r="B7" s="8" t="s">
        <v>4</v>
      </c>
      <c r="C7" s="9" t="s">
        <v>0</v>
      </c>
      <c r="D7" s="10">
        <v>0.438</v>
      </c>
    </row>
    <row r="8" spans="2:24" x14ac:dyDescent="0.25">
      <c r="B8" s="11" t="s">
        <v>19</v>
      </c>
      <c r="C8" s="9" t="s">
        <v>0</v>
      </c>
      <c r="D8" s="10">
        <v>0.438</v>
      </c>
    </row>
    <row r="9" spans="2:24" x14ac:dyDescent="0.25">
      <c r="B9" s="11" t="s">
        <v>2</v>
      </c>
      <c r="C9" s="9" t="s">
        <v>0</v>
      </c>
      <c r="D9" s="9">
        <v>30</v>
      </c>
      <c r="E9" s="12" t="s">
        <v>1</v>
      </c>
    </row>
    <row r="10" spans="2:24" x14ac:dyDescent="0.25">
      <c r="B10" s="1" t="s">
        <v>46</v>
      </c>
      <c r="C10" s="1" t="s">
        <v>0</v>
      </c>
      <c r="D10" s="24">
        <v>36</v>
      </c>
      <c r="E10" s="23" t="s">
        <v>1</v>
      </c>
    </row>
    <row r="11" spans="2:24" x14ac:dyDescent="0.2">
      <c r="B11" s="11" t="s">
        <v>59</v>
      </c>
      <c r="C11" s="9" t="s">
        <v>0</v>
      </c>
      <c r="D11" s="9">
        <v>1.6</v>
      </c>
      <c r="E11" s="23"/>
    </row>
    <row r="12" spans="2:24" x14ac:dyDescent="0.25">
      <c r="B12" s="11"/>
      <c r="C12" s="9"/>
      <c r="D12" s="10"/>
    </row>
    <row r="13" spans="2:24" x14ac:dyDescent="0.2">
      <c r="B13" s="3" t="s">
        <v>50</v>
      </c>
      <c r="C13" s="4" t="s">
        <v>0</v>
      </c>
      <c r="D13" s="4">
        <f>ATAN(D8)*180/PI()</f>
        <v>23.653418757049593</v>
      </c>
      <c r="E13" s="23" t="s">
        <v>1</v>
      </c>
      <c r="F13" s="4" t="s">
        <v>51</v>
      </c>
    </row>
    <row r="14" spans="2:24" x14ac:dyDescent="0.2">
      <c r="B14" s="25" t="s">
        <v>48</v>
      </c>
      <c r="C14" s="4" t="s">
        <v>0</v>
      </c>
      <c r="D14" s="4">
        <f>D13+ASIN(SIN(D13*PI()/180)/SIN(D10*PI()/180))*180/PI()</f>
        <v>66.698036387232378</v>
      </c>
      <c r="E14" s="23" t="s">
        <v>1</v>
      </c>
    </row>
    <row r="15" spans="2:24" x14ac:dyDescent="0.25">
      <c r="B15" s="3" t="s">
        <v>49</v>
      </c>
      <c r="C15" s="4" t="s">
        <v>0</v>
      </c>
      <c r="D15" s="4">
        <f>(1+SIN(D10*PI()/180)*COS(D14*PI()/180))/(1-SIN(D10*PI()/180)*COS((2*D9+D14)*PI()/180))</f>
        <v>0.91212286202117743</v>
      </c>
    </row>
    <row r="16" spans="2:24" s="28" customFormat="1" x14ac:dyDescent="0.25">
      <c r="B16" s="29" t="s">
        <v>52</v>
      </c>
      <c r="C16" s="30" t="s">
        <v>0</v>
      </c>
      <c r="D16" s="30">
        <f>D4*(D15*D8*(1/TAN(D9*PI()/180))+D15)-2</f>
        <v>1.2081883144772094</v>
      </c>
      <c r="E16" s="26"/>
      <c r="G16" s="26"/>
      <c r="H16" s="26"/>
      <c r="I16" s="26"/>
      <c r="J16" s="26"/>
      <c r="K16" s="27"/>
      <c r="L16" s="27"/>
      <c r="M16" s="27"/>
      <c r="N16" s="26"/>
      <c r="O16" s="26"/>
      <c r="P16" s="26"/>
      <c r="Q16" s="26"/>
    </row>
    <row r="17" spans="6:21" x14ac:dyDescent="0.25">
      <c r="F17" s="26"/>
    </row>
    <row r="21" spans="6:21" ht="60" x14ac:dyDescent="0.25">
      <c r="J21" s="19" t="s">
        <v>41</v>
      </c>
      <c r="K21" s="19" t="s">
        <v>40</v>
      </c>
      <c r="L21" s="19" t="s">
        <v>61</v>
      </c>
      <c r="M21" s="19" t="s">
        <v>62</v>
      </c>
      <c r="N21" s="13"/>
      <c r="O21" s="13"/>
      <c r="P21" s="22" t="s">
        <v>9</v>
      </c>
      <c r="Q21" s="19" t="s">
        <v>6</v>
      </c>
      <c r="R21" s="22" t="s">
        <v>10</v>
      </c>
      <c r="S21" s="22" t="s">
        <v>11</v>
      </c>
      <c r="T21" s="22" t="s">
        <v>12</v>
      </c>
      <c r="U21" s="14"/>
    </row>
    <row r="22" spans="6:21" x14ac:dyDescent="0.25">
      <c r="F22" s="4" t="s">
        <v>17</v>
      </c>
      <c r="H22" s="4">
        <v>0</v>
      </c>
      <c r="J22" s="21">
        <v>1.34</v>
      </c>
      <c r="K22" s="21">
        <f t="shared" ref="K22:K29" si="0">($D$5*$D$6/($D$16-1))*(J22/$D$6-(J22/$D$6)^$D$16)</f>
        <v>1.8093000306685147</v>
      </c>
      <c r="L22" s="21">
        <f t="shared" ref="L22:L29" si="1">K22*$D$15</f>
        <v>1.6503039222283697</v>
      </c>
      <c r="M22" s="21">
        <f>L22*$D$8</f>
        <v>0.722833117936026</v>
      </c>
      <c r="P22" s="21">
        <v>1.52</v>
      </c>
      <c r="Q22" s="21">
        <v>0</v>
      </c>
      <c r="R22" s="21">
        <f>P22*4*Q22</f>
        <v>0</v>
      </c>
      <c r="S22" s="21">
        <f t="shared" ref="S22:S29" si="2">R22*L22</f>
        <v>0</v>
      </c>
      <c r="T22" s="21">
        <f t="shared" ref="T22:T29" si="3">R22*M22</f>
        <v>0</v>
      </c>
      <c r="U22" s="5"/>
    </row>
    <row r="23" spans="6:21" x14ac:dyDescent="0.25">
      <c r="G23" s="4">
        <v>1</v>
      </c>
      <c r="H23" s="4">
        <v>0.43489</v>
      </c>
      <c r="I23" s="4">
        <f>(H23+H22)/2</f>
        <v>0.217445</v>
      </c>
      <c r="J23" s="21">
        <f>J22+I23</f>
        <v>1.557445</v>
      </c>
      <c r="K23" s="21">
        <f t="shared" si="0"/>
        <v>1.9318671626070121</v>
      </c>
      <c r="L23" s="21">
        <f t="shared" si="1"/>
        <v>1.7621002054018393</v>
      </c>
      <c r="M23" s="21">
        <f t="shared" ref="M23:M29" si="4">L23*$D$8</f>
        <v>0.77179988996600557</v>
      </c>
      <c r="P23" s="21">
        <f>P22+H23*TAN($D$9*PI()/180)*2</f>
        <v>2.0221677171357526</v>
      </c>
      <c r="Q23" s="21">
        <f>H23/COS($D$9*PI()/180)</f>
        <v>0.5021677171357527</v>
      </c>
      <c r="R23" s="21">
        <f t="shared" ref="R23:R29" si="5">P23*4*Q23</f>
        <v>4.06186938471871</v>
      </c>
      <c r="S23" s="21">
        <f t="shared" si="2"/>
        <v>7.1574208771282812</v>
      </c>
      <c r="T23" s="21">
        <f t="shared" si="3"/>
        <v>3.1349503441821871</v>
      </c>
      <c r="U23" s="5"/>
    </row>
    <row r="24" spans="6:21" x14ac:dyDescent="0.25">
      <c r="G24" s="4">
        <v>2</v>
      </c>
      <c r="H24" s="4">
        <v>0.43489</v>
      </c>
      <c r="I24" s="4">
        <f t="shared" ref="I24:I29" si="6">(H24+H23)/2</f>
        <v>0.43489</v>
      </c>
      <c r="J24" s="21">
        <f t="shared" ref="J24:J29" si="7">J23+I24</f>
        <v>1.992335</v>
      </c>
      <c r="K24" s="21">
        <f t="shared" si="0"/>
        <v>2.0978842670695812</v>
      </c>
      <c r="L24" s="21">
        <f t="shared" si="1"/>
        <v>1.9135282018687065</v>
      </c>
      <c r="M24" s="21">
        <f t="shared" si="4"/>
        <v>0.83812535241849351</v>
      </c>
      <c r="P24" s="21">
        <f t="shared" ref="P24:P29" si="8">P23+H24*TAN($D$9*PI()/180)*2</f>
        <v>2.5243354342715052</v>
      </c>
      <c r="Q24" s="21">
        <f t="shared" ref="Q24:Q29" si="9">H24/COS($D$9*PI()/180)</f>
        <v>0.5021677171357527</v>
      </c>
      <c r="R24" s="21">
        <f t="shared" si="5"/>
        <v>5.0705590492520427</v>
      </c>
      <c r="S24" s="21">
        <f t="shared" si="2"/>
        <v>9.7026577399843603</v>
      </c>
      <c r="T24" s="21">
        <f t="shared" si="3"/>
        <v>4.2497640901131497</v>
      </c>
      <c r="U24" s="5"/>
    </row>
    <row r="25" spans="6:21" x14ac:dyDescent="0.25">
      <c r="G25" s="4">
        <v>3</v>
      </c>
      <c r="H25" s="4">
        <v>0.43489</v>
      </c>
      <c r="I25" s="4">
        <f t="shared" si="6"/>
        <v>0.43489</v>
      </c>
      <c r="J25" s="21">
        <f t="shared" si="7"/>
        <v>2.427225</v>
      </c>
      <c r="K25" s="21">
        <f t="shared" si="0"/>
        <v>2.1738391482961577</v>
      </c>
      <c r="L25" s="21">
        <f t="shared" si="1"/>
        <v>1.98280838551757</v>
      </c>
      <c r="M25" s="21">
        <f t="shared" si="4"/>
        <v>0.86847007285669564</v>
      </c>
      <c r="P25" s="21">
        <f t="shared" si="8"/>
        <v>3.0265031514072578</v>
      </c>
      <c r="Q25" s="21">
        <f t="shared" si="9"/>
        <v>0.5021677171357527</v>
      </c>
      <c r="R25" s="21">
        <f t="shared" si="5"/>
        <v>6.0792487137853755</v>
      </c>
      <c r="S25" s="21">
        <f t="shared" si="2"/>
        <v>12.053985327340545</v>
      </c>
      <c r="T25" s="21">
        <f t="shared" si="3"/>
        <v>5.2796455733751584</v>
      </c>
      <c r="U25" s="5"/>
    </row>
    <row r="26" spans="6:21" x14ac:dyDescent="0.25">
      <c r="G26" s="4">
        <v>4</v>
      </c>
      <c r="H26" s="4">
        <v>0.43489</v>
      </c>
      <c r="I26" s="4">
        <f t="shared" si="6"/>
        <v>0.43489</v>
      </c>
      <c r="J26" s="21">
        <f t="shared" si="7"/>
        <v>2.8621150000000002</v>
      </c>
      <c r="K26" s="21">
        <f t="shared" si="0"/>
        <v>2.1729112194850382</v>
      </c>
      <c r="L26" s="21">
        <f t="shared" si="1"/>
        <v>1.9819620004346199</v>
      </c>
      <c r="M26" s="21">
        <f t="shared" si="4"/>
        <v>0.86809935619036349</v>
      </c>
      <c r="P26" s="21">
        <f t="shared" si="8"/>
        <v>3.5286708685430104</v>
      </c>
      <c r="Q26" s="21">
        <f t="shared" si="9"/>
        <v>0.5021677171357527</v>
      </c>
      <c r="R26" s="21">
        <f t="shared" si="5"/>
        <v>7.0879383783187091</v>
      </c>
      <c r="S26" s="21">
        <f t="shared" si="2"/>
        <v>14.048024527249865</v>
      </c>
      <c r="T26" s="21">
        <f t="shared" si="3"/>
        <v>6.1530347429354402</v>
      </c>
      <c r="U26" s="5"/>
    </row>
    <row r="27" spans="6:21" x14ac:dyDescent="0.25">
      <c r="G27" s="4">
        <v>5</v>
      </c>
      <c r="H27" s="4">
        <v>0.43489</v>
      </c>
      <c r="I27" s="4">
        <f t="shared" si="6"/>
        <v>0.43489</v>
      </c>
      <c r="J27" s="21">
        <f t="shared" si="7"/>
        <v>3.2970050000000004</v>
      </c>
      <c r="K27" s="21">
        <f t="shared" si="0"/>
        <v>2.1045796770407805</v>
      </c>
      <c r="L27" s="21">
        <f t="shared" si="1"/>
        <v>1.919635238374042</v>
      </c>
      <c r="M27" s="21">
        <f t="shared" si="4"/>
        <v>0.84080023440783036</v>
      </c>
      <c r="P27" s="21">
        <f t="shared" si="8"/>
        <v>4.0308385856787634</v>
      </c>
      <c r="Q27" s="21">
        <f t="shared" si="9"/>
        <v>0.5021677171357527</v>
      </c>
      <c r="R27" s="21">
        <f t="shared" si="5"/>
        <v>8.0966280428520427</v>
      </c>
      <c r="S27" s="21">
        <f t="shared" si="2"/>
        <v>15.542572503066234</v>
      </c>
      <c r="T27" s="21">
        <f t="shared" si="3"/>
        <v>6.8076467563430105</v>
      </c>
      <c r="U27" s="5"/>
    </row>
    <row r="28" spans="6:21" x14ac:dyDescent="0.25">
      <c r="G28" s="4">
        <v>6</v>
      </c>
      <c r="H28" s="4">
        <v>0.43489</v>
      </c>
      <c r="I28" s="4">
        <f t="shared" si="6"/>
        <v>0.43489</v>
      </c>
      <c r="J28" s="21">
        <f t="shared" si="7"/>
        <v>3.7318950000000006</v>
      </c>
      <c r="K28" s="21">
        <f t="shared" si="0"/>
        <v>1.9760276086764412</v>
      </c>
      <c r="L28" s="21">
        <f t="shared" si="1"/>
        <v>1.8023799578588189</v>
      </c>
      <c r="M28" s="21">
        <f t="shared" si="4"/>
        <v>0.78944242154216271</v>
      </c>
      <c r="P28" s="21">
        <f t="shared" si="8"/>
        <v>4.533006302814516</v>
      </c>
      <c r="Q28" s="21">
        <f t="shared" si="9"/>
        <v>0.5021677171357527</v>
      </c>
      <c r="R28" s="21">
        <f t="shared" si="5"/>
        <v>9.1053177073853764</v>
      </c>
      <c r="S28" s="21">
        <f t="shared" si="2"/>
        <v>16.411242145728412</v>
      </c>
      <c r="T28" s="21">
        <f t="shared" si="3"/>
        <v>7.188124059829045</v>
      </c>
      <c r="U28" s="5"/>
    </row>
    <row r="29" spans="6:21" x14ac:dyDescent="0.25">
      <c r="F29" s="4" t="s">
        <v>16</v>
      </c>
      <c r="G29" s="4">
        <v>7</v>
      </c>
      <c r="H29" s="4">
        <v>0.43489</v>
      </c>
      <c r="I29" s="4">
        <f t="shared" si="6"/>
        <v>0.43489</v>
      </c>
      <c r="J29" s="21">
        <f t="shared" si="7"/>
        <v>4.1667850000000008</v>
      </c>
      <c r="K29" s="21">
        <f t="shared" si="0"/>
        <v>1.7929073667307514</v>
      </c>
      <c r="L29" s="21">
        <f t="shared" si="1"/>
        <v>1.6353517986813058</v>
      </c>
      <c r="M29" s="21">
        <f t="shared" si="4"/>
        <v>0.71628408782241193</v>
      </c>
      <c r="P29" s="21">
        <f t="shared" si="8"/>
        <v>5.0351740199502686</v>
      </c>
      <c r="Q29" s="21">
        <f t="shared" si="9"/>
        <v>0.5021677171357527</v>
      </c>
      <c r="R29" s="21">
        <f t="shared" si="5"/>
        <v>10.11400737191871</v>
      </c>
      <c r="S29" s="21">
        <f t="shared" si="2"/>
        <v>16.539960147543248</v>
      </c>
      <c r="T29" s="21">
        <f t="shared" si="3"/>
        <v>7.2445025446239431</v>
      </c>
      <c r="U29" s="5"/>
    </row>
    <row r="30" spans="6:21" x14ac:dyDescent="0.25">
      <c r="G30" s="4">
        <v>8</v>
      </c>
      <c r="H30" s="4">
        <v>0.43489</v>
      </c>
      <c r="I30" s="4">
        <f t="shared" ref="I30:I33" si="10">(H30+H29)/2</f>
        <v>0.43489</v>
      </c>
      <c r="J30" s="21">
        <f t="shared" ref="J30:J33" si="11">J29+I30</f>
        <v>4.6016750000000011</v>
      </c>
      <c r="K30" s="21">
        <f t="shared" ref="K30:K33" si="12">($D$5*$D$6/($D$16-1))*(J30/$D$6-(J30/$D$6)^$D$16)</f>
        <v>1.5597957469914878</v>
      </c>
      <c r="L30" s="21">
        <f t="shared" ref="L30:L33" si="13">K30*$D$15</f>
        <v>1.4227253609143362</v>
      </c>
      <c r="M30" s="21">
        <f t="shared" ref="M30:M33" si="14">L30*$D$8</f>
        <v>0.62315370808047921</v>
      </c>
      <c r="P30" s="21">
        <f t="shared" ref="P30:P33" si="15">P29+H30*TAN($D$9*PI()/180)*2</f>
        <v>5.5373417370860212</v>
      </c>
      <c r="Q30" s="21">
        <f t="shared" ref="Q30:Q33" si="16">H30/COS($D$9*PI()/180)</f>
        <v>0.5021677171357527</v>
      </c>
      <c r="R30" s="21">
        <f t="shared" ref="R30:R33" si="17">P30*4*Q30</f>
        <v>11.122697036452042</v>
      </c>
      <c r="S30" s="21">
        <f t="shared" ref="S30:S33" si="18">R30*L30</f>
        <v>15.824543155527049</v>
      </c>
      <c r="T30" s="21">
        <f t="shared" ref="T30:T33" si="19">R30*M30</f>
        <v>6.9311499021208469</v>
      </c>
      <c r="U30" s="5"/>
    </row>
    <row r="31" spans="6:21" x14ac:dyDescent="0.25">
      <c r="G31" s="4">
        <v>9</v>
      </c>
      <c r="H31" s="4">
        <v>0.43489</v>
      </c>
      <c r="I31" s="4">
        <f t="shared" si="10"/>
        <v>0.43489</v>
      </c>
      <c r="J31" s="21">
        <f t="shared" si="11"/>
        <v>5.0365650000000013</v>
      </c>
      <c r="K31" s="21">
        <f t="shared" si="12"/>
        <v>1.280482747412385</v>
      </c>
      <c r="L31" s="21">
        <f t="shared" si="13"/>
        <v>1.1679575883385249</v>
      </c>
      <c r="M31" s="21">
        <f t="shared" si="14"/>
        <v>0.51156542369227387</v>
      </c>
      <c r="P31" s="21">
        <f t="shared" si="15"/>
        <v>6.0395094542217738</v>
      </c>
      <c r="Q31" s="21">
        <f t="shared" si="16"/>
        <v>0.5021677171357527</v>
      </c>
      <c r="R31" s="21">
        <f t="shared" si="17"/>
        <v>12.131386700985376</v>
      </c>
      <c r="S31" s="21">
        <f t="shared" si="18"/>
        <v>14.168945154484932</v>
      </c>
      <c r="T31" s="21">
        <f t="shared" si="19"/>
        <v>6.2059979776644001</v>
      </c>
      <c r="U31" s="5"/>
    </row>
    <row r="32" spans="6:21" x14ac:dyDescent="0.25">
      <c r="G32" s="4">
        <v>10</v>
      </c>
      <c r="H32" s="4">
        <v>0.43489</v>
      </c>
      <c r="I32" s="4">
        <f t="shared" si="10"/>
        <v>0.43489</v>
      </c>
      <c r="J32" s="21">
        <f t="shared" si="11"/>
        <v>5.4714550000000015</v>
      </c>
      <c r="K32" s="21">
        <f t="shared" si="12"/>
        <v>0.95816413578910253</v>
      </c>
      <c r="L32" s="21">
        <f t="shared" si="13"/>
        <v>0.87396341382200426</v>
      </c>
      <c r="M32" s="21">
        <f t="shared" si="14"/>
        <v>0.38279597525403786</v>
      </c>
      <c r="P32" s="21">
        <f t="shared" si="15"/>
        <v>6.5416771713575264</v>
      </c>
      <c r="Q32" s="21">
        <f t="shared" si="16"/>
        <v>0.5021677171357527</v>
      </c>
      <c r="R32" s="21">
        <f t="shared" si="17"/>
        <v>13.140076365518709</v>
      </c>
      <c r="S32" s="21">
        <f t="shared" si="18"/>
        <v>11.483945998290565</v>
      </c>
      <c r="T32" s="21">
        <f t="shared" si="19"/>
        <v>5.0299683472512671</v>
      </c>
      <c r="U32" s="5"/>
    </row>
    <row r="33" spans="7:23" x14ac:dyDescent="0.25">
      <c r="G33" s="4">
        <v>11</v>
      </c>
      <c r="H33" s="4">
        <v>0.43489</v>
      </c>
      <c r="I33" s="4">
        <f t="shared" si="10"/>
        <v>0.43489</v>
      </c>
      <c r="J33" s="21">
        <f t="shared" si="11"/>
        <v>5.9063450000000017</v>
      </c>
      <c r="K33" s="21">
        <f t="shared" si="12"/>
        <v>0.5955750942574074</v>
      </c>
      <c r="L33" s="21">
        <f t="shared" si="13"/>
        <v>0.54323765952259895</v>
      </c>
      <c r="M33" s="21">
        <f t="shared" si="14"/>
        <v>0.23793809487089834</v>
      </c>
      <c r="P33" s="21">
        <f t="shared" si="15"/>
        <v>7.0438448884932789</v>
      </c>
      <c r="Q33" s="21">
        <f t="shared" si="16"/>
        <v>0.5021677171357527</v>
      </c>
      <c r="R33" s="21">
        <f t="shared" si="17"/>
        <v>14.148766030052041</v>
      </c>
      <c r="S33" s="21">
        <f t="shared" si="18"/>
        <v>7.6861425432983248</v>
      </c>
      <c r="T33" s="21">
        <f t="shared" si="19"/>
        <v>3.3665304339646664</v>
      </c>
      <c r="U33" s="5"/>
    </row>
    <row r="34" spans="7:23" x14ac:dyDescent="0.25">
      <c r="G34" s="4">
        <v>12</v>
      </c>
      <c r="H34" s="4">
        <v>0.43489</v>
      </c>
      <c r="I34" s="4">
        <f t="shared" ref="I34:I35" si="20">(H34+H33)/2</f>
        <v>0.43489</v>
      </c>
      <c r="J34" s="21">
        <f t="shared" ref="J34:J35" si="21">J33+I34</f>
        <v>6.341235000000002</v>
      </c>
      <c r="K34" s="21">
        <f t="shared" ref="K34" si="22">($D$5*$D$6/($D$16-1))*(J34/$D$6-(J34/$D$6)^$D$16)</f>
        <v>0.19508604539902438</v>
      </c>
      <c r="L34" s="21">
        <f t="shared" ref="L34:L35" si="23">K34*$D$15</f>
        <v>0.17794244206975146</v>
      </c>
      <c r="M34" s="21">
        <f t="shared" ref="M34:M35" si="24">L34*$D$8</f>
        <v>7.7938789626551139E-2</v>
      </c>
      <c r="P34" s="21">
        <f t="shared" ref="P34:P35" si="25">P33+H34*TAN($D$9*PI()/180)*2</f>
        <v>7.5460126056290315</v>
      </c>
      <c r="Q34" s="21">
        <f t="shared" ref="Q34:Q35" si="26">H34/COS($D$9*PI()/180)</f>
        <v>0.5021677171357527</v>
      </c>
      <c r="R34" s="21">
        <f t="shared" ref="R34:R35" si="27">P34*4*Q34</f>
        <v>15.157455694585375</v>
      </c>
      <c r="S34" s="21">
        <f t="shared" ref="S34:S35" si="28">R34*L34</f>
        <v>2.6971546818585823</v>
      </c>
      <c r="T34" s="21">
        <f t="shared" ref="T34:T35" si="29">R34*M34</f>
        <v>1.181353750654059</v>
      </c>
      <c r="U34" s="5"/>
    </row>
    <row r="35" spans="7:23" x14ac:dyDescent="0.25">
      <c r="G35" s="4">
        <v>13</v>
      </c>
      <c r="H35" s="4">
        <v>0.41617799999999999</v>
      </c>
      <c r="I35" s="4">
        <f t="shared" si="20"/>
        <v>0.42553399999999997</v>
      </c>
      <c r="J35" s="21">
        <f t="shared" si="21"/>
        <v>6.7667690000000018</v>
      </c>
      <c r="K35" s="21">
        <v>0</v>
      </c>
      <c r="L35" s="21">
        <f t="shared" si="23"/>
        <v>0</v>
      </c>
      <c r="M35" s="21">
        <f t="shared" si="24"/>
        <v>0</v>
      </c>
      <c r="P35" s="21">
        <f t="shared" si="25"/>
        <v>8.0265735662906312</v>
      </c>
      <c r="Q35" s="21">
        <f t="shared" si="26"/>
        <v>0.48056096066160009</v>
      </c>
      <c r="R35" s="21">
        <f t="shared" si="27"/>
        <v>15.429031615350524</v>
      </c>
      <c r="S35" s="21">
        <f t="shared" si="28"/>
        <v>0</v>
      </c>
      <c r="T35" s="21">
        <f t="shared" si="29"/>
        <v>0</v>
      </c>
      <c r="U35" s="5"/>
    </row>
    <row r="36" spans="7:23" x14ac:dyDescent="0.25">
      <c r="J36" s="21"/>
      <c r="K36" s="21"/>
      <c r="L36" s="21"/>
      <c r="M36" s="21"/>
      <c r="P36" s="21"/>
      <c r="Q36" s="21"/>
      <c r="R36" s="21"/>
      <c r="S36" s="21"/>
      <c r="T36" s="21"/>
      <c r="U36" s="5"/>
    </row>
    <row r="37" spans="7:23" x14ac:dyDescent="0.25">
      <c r="J37" s="21"/>
      <c r="K37" s="21"/>
      <c r="L37" s="21"/>
      <c r="M37" s="21"/>
      <c r="P37" s="21"/>
      <c r="Q37" s="21"/>
      <c r="R37" s="21"/>
      <c r="S37" s="21"/>
      <c r="T37" s="21"/>
      <c r="U37" s="5"/>
    </row>
    <row r="38" spans="7:23" x14ac:dyDescent="0.25">
      <c r="J38" s="4" t="s">
        <v>43</v>
      </c>
      <c r="K38" s="5">
        <f>MAX(K22:K37)</f>
        <v>2.1738391482961577</v>
      </c>
      <c r="L38" s="5">
        <f t="shared" ref="L38:M38" si="30">MAX(L22:L37)</f>
        <v>1.98280838551757</v>
      </c>
      <c r="M38" s="5">
        <f t="shared" si="30"/>
        <v>0.86847007285669564</v>
      </c>
      <c r="N38" s="3"/>
      <c r="O38" s="3"/>
      <c r="P38" s="3"/>
      <c r="Q38" s="3"/>
    </row>
    <row r="39" spans="7:23" x14ac:dyDescent="0.25">
      <c r="N39" s="3"/>
      <c r="O39" s="3"/>
      <c r="P39" s="3"/>
      <c r="Q39" s="3"/>
    </row>
    <row r="40" spans="7:23" x14ac:dyDescent="0.25">
      <c r="M40" s="38" t="s">
        <v>13</v>
      </c>
      <c r="N40" s="38"/>
      <c r="O40" s="38"/>
      <c r="P40" s="38"/>
      <c r="Q40" s="38"/>
      <c r="R40" s="5">
        <f>SUM(R22:R38)</f>
        <v>130.74498209117505</v>
      </c>
      <c r="S40" s="15">
        <f>SUM(S22:S38)</f>
        <v>143.31659480150043</v>
      </c>
      <c r="T40" s="15">
        <f>SUM(T22:T38)</f>
        <v>62.772668523057177</v>
      </c>
      <c r="U40" s="15"/>
    </row>
    <row r="41" spans="7:23" x14ac:dyDescent="0.25">
      <c r="M41" s="38" t="s">
        <v>14</v>
      </c>
      <c r="N41" s="38"/>
      <c r="O41" s="38"/>
      <c r="P41" s="38"/>
      <c r="Q41" s="38"/>
      <c r="S41" s="15">
        <f>S40*COS(60*PI()/180)</f>
        <v>71.658297400750229</v>
      </c>
      <c r="T41" s="15">
        <f>T40*COS(30*PI()/180)</f>
        <v>54.362725604307315</v>
      </c>
      <c r="U41" s="15" t="s">
        <v>18</v>
      </c>
      <c r="V41" s="16">
        <f>S41+T41</f>
        <v>126.02102300505754</v>
      </c>
      <c r="W41" s="17" t="s">
        <v>15</v>
      </c>
    </row>
  </sheetData>
  <mergeCells count="3">
    <mergeCell ref="B3:F3"/>
    <mergeCell ref="M40:Q40"/>
    <mergeCell ref="M41:Q41"/>
  </mergeCells>
  <pageMargins left="0.7" right="0.7" top="0.75" bottom="0.75" header="0.3" footer="0.3"/>
  <pageSetup paperSize="9" scale="5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T30"/>
  <sheetViews>
    <sheetView workbookViewId="0">
      <selection activeCell="V22" sqref="V22"/>
    </sheetView>
  </sheetViews>
  <sheetFormatPr defaultRowHeight="15" x14ac:dyDescent="0.25"/>
  <cols>
    <col min="4" max="4" width="4.5703125" bestFit="1" customWidth="1"/>
    <col min="5" max="5" width="3.5703125" bestFit="1" customWidth="1"/>
  </cols>
  <sheetData>
    <row r="7" spans="2:20" x14ac:dyDescent="0.25">
      <c r="B7">
        <v>1.9008489020254711</v>
      </c>
      <c r="C7">
        <v>0.83257181908715638</v>
      </c>
      <c r="F7" s="21">
        <v>1.9069560360468079</v>
      </c>
      <c r="G7" s="21">
        <v>0.83524674378850183</v>
      </c>
      <c r="I7" s="35">
        <f>B7-F7</f>
        <v>-6.1071340213367797E-3</v>
      </c>
      <c r="J7" s="35">
        <f>C7-G7</f>
        <v>-2.6749247013454491E-3</v>
      </c>
      <c r="M7">
        <v>1.6462456675387411</v>
      </c>
      <c r="N7">
        <v>0.72105560238196864</v>
      </c>
      <c r="P7" s="21">
        <v>1.6503039222283697</v>
      </c>
      <c r="Q7" s="21">
        <v>0.722833117936026</v>
      </c>
      <c r="S7" s="35">
        <f>M7-P7</f>
        <v>-4.0582546896286154E-3</v>
      </c>
      <c r="T7" s="35">
        <f>N7-Q7</f>
        <v>-1.7775155540573628E-3</v>
      </c>
    </row>
    <row r="8" spans="2:20" x14ac:dyDescent="0.25">
      <c r="B8">
        <v>2.0640206513588293</v>
      </c>
      <c r="C8">
        <v>0.90404104529516727</v>
      </c>
      <c r="F8" s="21">
        <v>2.0698863827822556</v>
      </c>
      <c r="G8" s="21">
        <v>0.90661023565862797</v>
      </c>
      <c r="I8" s="35">
        <f t="shared" ref="I8:I25" si="0">B8-F8</f>
        <v>-5.8657314234262792E-3</v>
      </c>
      <c r="J8" s="35">
        <f t="shared" ref="J8:J25" si="1">C8-G8</f>
        <v>-2.569190363460705E-3</v>
      </c>
      <c r="M8">
        <v>1.7584328207363524</v>
      </c>
      <c r="N8">
        <v>0.77019357548252232</v>
      </c>
      <c r="P8" s="21">
        <v>1.7621002054018393</v>
      </c>
      <c r="Q8" s="21">
        <v>0.77179988996600557</v>
      </c>
      <c r="S8" s="35">
        <f t="shared" ref="S8:S21" si="2">M8-P8</f>
        <v>-3.6673846654868836E-3</v>
      </c>
      <c r="T8" s="35">
        <f t="shared" ref="T8:T21" si="3">N8-Q8</f>
        <v>-1.606314483483251E-3</v>
      </c>
    </row>
    <row r="9" spans="2:20" x14ac:dyDescent="0.25">
      <c r="B9">
        <v>2.3228022626860261</v>
      </c>
      <c r="C9">
        <v>1.0173873910564795</v>
      </c>
      <c r="F9" s="21">
        <v>2.3279708346207766</v>
      </c>
      <c r="G9" s="21">
        <v>1.0196512255639001</v>
      </c>
      <c r="I9" s="35">
        <f t="shared" si="0"/>
        <v>-5.1685719347505099E-3</v>
      </c>
      <c r="J9" s="35">
        <f t="shared" si="1"/>
        <v>-2.2638345074206256E-3</v>
      </c>
      <c r="M9">
        <v>1.9107485769181671</v>
      </c>
      <c r="N9">
        <v>0.8369078766901572</v>
      </c>
      <c r="P9" s="21">
        <v>1.9135282018687065</v>
      </c>
      <c r="Q9" s="21">
        <v>0.83812535241849351</v>
      </c>
      <c r="S9" s="35">
        <f t="shared" si="2"/>
        <v>-2.7796249505394055E-3</v>
      </c>
      <c r="T9" s="35">
        <f t="shared" si="3"/>
        <v>-1.2174757283363036E-3</v>
      </c>
    </row>
    <row r="10" spans="2:20" x14ac:dyDescent="0.25">
      <c r="B10">
        <v>2.504589153540504</v>
      </c>
      <c r="C10">
        <v>1.0970100492507409</v>
      </c>
      <c r="F10" s="21">
        <v>2.5089028829962601</v>
      </c>
      <c r="G10" s="21">
        <v>1.0988994627523618</v>
      </c>
      <c r="I10" s="35">
        <f t="shared" si="0"/>
        <v>-4.3137294557560324E-3</v>
      </c>
      <c r="J10" s="35">
        <f t="shared" si="1"/>
        <v>-1.8894135016209734E-3</v>
      </c>
      <c r="M10">
        <v>1.9809451361706543</v>
      </c>
      <c r="N10">
        <v>0.86765396964274655</v>
      </c>
      <c r="P10" s="21">
        <v>1.98280838551757</v>
      </c>
      <c r="Q10" s="21">
        <v>0.86847007285669564</v>
      </c>
      <c r="S10" s="35">
        <f t="shared" si="2"/>
        <v>-1.8632493469157296E-3</v>
      </c>
      <c r="T10" s="35">
        <f t="shared" si="3"/>
        <v>-8.1610321394909313E-4</v>
      </c>
    </row>
    <row r="11" spans="2:20" x14ac:dyDescent="0.25">
      <c r="B11">
        <v>2.6205740666867716</v>
      </c>
      <c r="C11">
        <v>1.1478114412088061</v>
      </c>
      <c r="F11" s="21">
        <v>2.6239727600165321</v>
      </c>
      <c r="G11" s="21">
        <v>1.149300068887241</v>
      </c>
      <c r="I11" s="35">
        <f t="shared" si="0"/>
        <v>-3.3986933297605049E-3</v>
      </c>
      <c r="J11" s="35">
        <f t="shared" si="1"/>
        <v>-1.4886276784349395E-3</v>
      </c>
      <c r="M11">
        <v>1.9809601877485477</v>
      </c>
      <c r="N11">
        <v>0.8676605622338639</v>
      </c>
      <c r="P11" s="21">
        <v>1.9819620004346199</v>
      </c>
      <c r="Q11" s="21">
        <v>0.86809935619036349</v>
      </c>
      <c r="S11" s="35">
        <f t="shared" si="2"/>
        <v>-1.0018126860722454E-3</v>
      </c>
      <c r="T11" s="35">
        <f t="shared" si="3"/>
        <v>-4.3879395649959463E-4</v>
      </c>
    </row>
    <row r="12" spans="2:20" x14ac:dyDescent="0.25">
      <c r="B12">
        <v>2.6788157732780333</v>
      </c>
      <c r="C12">
        <v>1.1733213086957786</v>
      </c>
      <c r="F12" s="21">
        <v>2.6813008824249498</v>
      </c>
      <c r="G12" s="21">
        <v>1.1744097865021279</v>
      </c>
      <c r="I12" s="35">
        <f t="shared" si="0"/>
        <v>-2.4851091469164643E-3</v>
      </c>
      <c r="J12" s="35">
        <f t="shared" si="1"/>
        <v>-1.0884778063493528E-3</v>
      </c>
      <c r="M12">
        <v>1.9193888640359245</v>
      </c>
      <c r="N12">
        <v>0.84069232244773495</v>
      </c>
      <c r="P12" s="21">
        <v>1.919635238374042</v>
      </c>
      <c r="Q12" s="21">
        <v>0.84080023440783036</v>
      </c>
      <c r="S12" s="35">
        <f t="shared" si="2"/>
        <v>-2.4637433811758314E-4</v>
      </c>
      <c r="T12" s="35">
        <f t="shared" si="3"/>
        <v>-1.0791196009540815E-4</v>
      </c>
    </row>
    <row r="13" spans="2:20" x14ac:dyDescent="0.25">
      <c r="B13">
        <v>2.6854263847236348</v>
      </c>
      <c r="C13">
        <v>1.1762167565089521</v>
      </c>
      <c r="F13" s="21">
        <v>2.6870406901593218</v>
      </c>
      <c r="G13" s="21">
        <v>1.1769238222897829</v>
      </c>
      <c r="I13" s="35">
        <f t="shared" si="0"/>
        <v>-1.614305435686969E-3</v>
      </c>
      <c r="J13" s="35">
        <f t="shared" si="1"/>
        <v>-7.0706578083079563E-4</v>
      </c>
      <c r="M13">
        <v>1.8027500753865888</v>
      </c>
      <c r="N13">
        <v>0.78960453301932587</v>
      </c>
      <c r="P13" s="21">
        <v>1.8023799578588189</v>
      </c>
      <c r="Q13" s="21">
        <v>0.78944242154216271</v>
      </c>
      <c r="S13" s="35">
        <f t="shared" si="2"/>
        <v>3.70117527769942E-4</v>
      </c>
      <c r="T13" s="35">
        <f t="shared" si="3"/>
        <v>1.6211147716316265E-4</v>
      </c>
    </row>
    <row r="14" spans="2:20" x14ac:dyDescent="0.25">
      <c r="B14">
        <v>2.6452191591868126</v>
      </c>
      <c r="C14">
        <v>1.1586059917238238</v>
      </c>
      <c r="D14" s="34"/>
      <c r="E14" s="34"/>
      <c r="F14" s="21">
        <v>2.6460343085024172</v>
      </c>
      <c r="G14" s="21">
        <v>1.1589630271240587</v>
      </c>
      <c r="I14" s="35">
        <f t="shared" si="0"/>
        <v>-8.151493156045575E-4</v>
      </c>
      <c r="J14" s="35">
        <f t="shared" si="1"/>
        <v>-3.5703540023490632E-4</v>
      </c>
      <c r="M14">
        <v>1.6361774321643718</v>
      </c>
      <c r="N14">
        <v>0.71664571528799481</v>
      </c>
      <c r="P14" s="21">
        <v>1.6353517986813058</v>
      </c>
      <c r="Q14" s="21">
        <v>0.71628408782241193</v>
      </c>
      <c r="S14" s="35">
        <f t="shared" si="2"/>
        <v>8.2563348306607942E-4</v>
      </c>
      <c r="T14" s="35">
        <f t="shared" si="3"/>
        <v>3.6162746558288106E-4</v>
      </c>
    </row>
    <row r="15" spans="2:20" x14ac:dyDescent="0.25">
      <c r="B15">
        <v>2.562094068207958</v>
      </c>
      <c r="C15">
        <v>1.1221972018750856</v>
      </c>
      <c r="D15" s="34"/>
      <c r="E15" s="34"/>
      <c r="F15" s="21">
        <v>2.5622024800530592</v>
      </c>
      <c r="G15" s="21">
        <v>1.1222446862632398</v>
      </c>
      <c r="I15" s="35">
        <f t="shared" si="0"/>
        <v>-1.0841184510113067E-4</v>
      </c>
      <c r="J15" s="35">
        <f t="shared" si="1"/>
        <v>-4.7484388154162005E-5</v>
      </c>
      <c r="M15">
        <v>1.4238304732178786</v>
      </c>
      <c r="N15">
        <v>0.62363774726943078</v>
      </c>
      <c r="P15" s="21">
        <v>1.4227253609143362</v>
      </c>
      <c r="Q15" s="21">
        <v>0.62315370808047921</v>
      </c>
      <c r="S15" s="35">
        <f t="shared" si="2"/>
        <v>1.1051123035423771E-3</v>
      </c>
      <c r="T15" s="35">
        <f t="shared" si="3"/>
        <v>4.8403918895156828E-4</v>
      </c>
    </row>
    <row r="16" spans="2:20" x14ac:dyDescent="0.25">
      <c r="B16">
        <v>2.439282563707434</v>
      </c>
      <c r="C16">
        <v>1.0684057629038561</v>
      </c>
      <c r="D16" s="34"/>
      <c r="E16" s="34"/>
      <c r="F16" s="21">
        <v>2.4387919318044755</v>
      </c>
      <c r="G16" s="21">
        <v>1.0681908661303603</v>
      </c>
      <c r="I16" s="35">
        <f t="shared" si="0"/>
        <v>4.906319029585049E-4</v>
      </c>
      <c r="J16" s="35">
        <f t="shared" si="1"/>
        <v>2.1489677349584291E-4</v>
      </c>
      <c r="M16">
        <v>1.1691557236463208</v>
      </c>
      <c r="N16">
        <v>0.51209020695708851</v>
      </c>
      <c r="P16" s="21">
        <v>1.1679575883385249</v>
      </c>
      <c r="Q16" s="21">
        <v>0.51156542369227387</v>
      </c>
      <c r="S16" s="35">
        <f t="shared" si="2"/>
        <v>1.1981353077958889E-3</v>
      </c>
      <c r="T16" s="35">
        <f t="shared" si="3"/>
        <v>5.2478326481464332E-4</v>
      </c>
    </row>
    <row r="17" spans="2:20" x14ac:dyDescent="0.25">
      <c r="B17">
        <v>2.2795109084892644</v>
      </c>
      <c r="C17">
        <v>0.99842577791829779</v>
      </c>
      <c r="D17" s="34"/>
      <c r="E17" s="34"/>
      <c r="F17" s="21">
        <v>2.2785403395266695</v>
      </c>
      <c r="G17" s="21">
        <v>0.99800066871268123</v>
      </c>
      <c r="I17" s="35">
        <f t="shared" si="0"/>
        <v>9.7056896259495318E-4</v>
      </c>
      <c r="J17" s="35">
        <f t="shared" si="1"/>
        <v>4.2510920561655841E-4</v>
      </c>
      <c r="M17">
        <v>0.87506089596180292</v>
      </c>
      <c r="N17">
        <v>0.38327667243126967</v>
      </c>
      <c r="P17" s="21">
        <v>0.87396341382200426</v>
      </c>
      <c r="Q17" s="21">
        <v>0.38279597525403786</v>
      </c>
      <c r="S17" s="35">
        <f t="shared" si="2"/>
        <v>1.0974821397986556E-3</v>
      </c>
      <c r="T17" s="35">
        <f t="shared" si="3"/>
        <v>4.8069717723181471E-4</v>
      </c>
    </row>
    <row r="18" spans="2:20" x14ac:dyDescent="0.25">
      <c r="B18">
        <v>2.0851135921908988</v>
      </c>
      <c r="C18">
        <v>0.91327975337961365</v>
      </c>
      <c r="D18" s="34"/>
      <c r="E18" s="34"/>
      <c r="F18" s="21">
        <v>2.0837908152159983</v>
      </c>
      <c r="G18" s="21">
        <v>0.91270037706460727</v>
      </c>
      <c r="I18" s="35">
        <f t="shared" si="0"/>
        <v>1.3227769749004636E-3</v>
      </c>
      <c r="J18" s="35">
        <f t="shared" si="1"/>
        <v>5.7937631500637465E-4</v>
      </c>
      <c r="M18">
        <v>0.54403585457438575</v>
      </c>
      <c r="N18">
        <v>0.23828770430358096</v>
      </c>
      <c r="P18" s="21">
        <v>0.54323765952259895</v>
      </c>
      <c r="Q18" s="21">
        <v>0.23793809487089834</v>
      </c>
      <c r="S18" s="35">
        <f t="shared" si="2"/>
        <v>7.9819505178679862E-4</v>
      </c>
      <c r="T18" s="35">
        <f t="shared" si="3"/>
        <v>3.4960943268261269E-4</v>
      </c>
    </row>
    <row r="19" spans="2:20" x14ac:dyDescent="0.25">
      <c r="B19">
        <v>1.8581146937536985</v>
      </c>
      <c r="C19">
        <v>0.81385423586411998</v>
      </c>
      <c r="D19" s="34"/>
      <c r="E19" s="34"/>
      <c r="F19" s="21">
        <v>1.8565739971670974</v>
      </c>
      <c r="G19" s="21">
        <v>0.81317941075918865</v>
      </c>
      <c r="I19" s="35">
        <f t="shared" si="0"/>
        <v>1.5406965866011646E-3</v>
      </c>
      <c r="J19" s="35">
        <f t="shared" si="1"/>
        <v>6.7482510493133141E-4</v>
      </c>
      <c r="M19">
        <v>0.17823939343988518</v>
      </c>
      <c r="N19">
        <v>7.8068854326669712E-2</v>
      </c>
      <c r="P19" s="21">
        <v>0.17794244206975146</v>
      </c>
      <c r="Q19" s="21">
        <v>7.7938789626551139E-2</v>
      </c>
      <c r="S19" s="35">
        <f t="shared" si="2"/>
        <v>2.9695137013371897E-4</v>
      </c>
      <c r="T19" s="35">
        <f t="shared" si="3"/>
        <v>1.3006470011857341E-4</v>
      </c>
    </row>
    <row r="20" spans="2:20" x14ac:dyDescent="0.25">
      <c r="B20">
        <v>1.6061478730961176</v>
      </c>
      <c r="C20">
        <v>0.70349276841609953</v>
      </c>
      <c r="D20" s="34"/>
      <c r="E20" s="34"/>
      <c r="F20" s="21">
        <v>1.6045287473831307</v>
      </c>
      <c r="G20" s="21">
        <v>0.70278359135381119</v>
      </c>
      <c r="I20" s="35">
        <f t="shared" si="0"/>
        <v>1.6191257129869463E-3</v>
      </c>
      <c r="J20" s="35">
        <f t="shared" si="1"/>
        <v>7.0917706228834643E-4</v>
      </c>
      <c r="M20">
        <v>0</v>
      </c>
      <c r="N20">
        <v>0</v>
      </c>
      <c r="P20" s="21">
        <v>0</v>
      </c>
      <c r="Q20" s="21">
        <v>0</v>
      </c>
      <c r="S20" s="35">
        <f t="shared" si="2"/>
        <v>0</v>
      </c>
      <c r="T20" s="35">
        <f t="shared" si="3"/>
        <v>0</v>
      </c>
    </row>
    <row r="21" spans="2:20" x14ac:dyDescent="0.25">
      <c r="B21">
        <v>1.326137056637027</v>
      </c>
      <c r="C21">
        <v>0.58084803080701786</v>
      </c>
      <c r="D21" s="34"/>
      <c r="E21" s="34"/>
      <c r="F21" s="21">
        <v>1.3245764533788238</v>
      </c>
      <c r="G21" s="21">
        <v>0.58016448657992481</v>
      </c>
      <c r="I21" s="35">
        <f t="shared" si="0"/>
        <v>1.5606032582031748E-3</v>
      </c>
      <c r="J21" s="35">
        <f t="shared" si="1"/>
        <v>6.8354422709304696E-4</v>
      </c>
      <c r="S21" s="35">
        <f t="shared" si="2"/>
        <v>0</v>
      </c>
      <c r="T21" s="35">
        <f t="shared" si="3"/>
        <v>0</v>
      </c>
    </row>
    <row r="22" spans="2:20" x14ac:dyDescent="0.25">
      <c r="B22">
        <v>1.0123612928229793</v>
      </c>
      <c r="C22">
        <v>0.44341424625646492</v>
      </c>
      <c r="D22" s="34"/>
      <c r="E22" s="34"/>
      <c r="F22" s="21">
        <v>1.0110048398968532</v>
      </c>
      <c r="G22" s="21">
        <v>0.44282011987482167</v>
      </c>
      <c r="I22" s="35">
        <f t="shared" si="0"/>
        <v>1.3564529261260727E-3</v>
      </c>
      <c r="J22" s="35">
        <f t="shared" si="1"/>
        <v>5.9412638164324516E-4</v>
      </c>
    </row>
    <row r="23" spans="2:20" x14ac:dyDescent="0.25">
      <c r="B23">
        <v>0.67192761643859245</v>
      </c>
      <c r="C23">
        <v>0.29430429600010349</v>
      </c>
      <c r="D23" s="34"/>
      <c r="E23" s="34"/>
      <c r="F23" s="21">
        <v>0.67092339908807208</v>
      </c>
      <c r="G23" s="21">
        <v>0.29386444880057555</v>
      </c>
      <c r="I23" s="35">
        <f t="shared" si="0"/>
        <v>1.0042173505203644E-3</v>
      </c>
      <c r="J23" s="35">
        <f t="shared" si="1"/>
        <v>4.3984719952794293E-4</v>
      </c>
    </row>
    <row r="24" spans="2:20" x14ac:dyDescent="0.25">
      <c r="B24">
        <v>0.30597423858774508</v>
      </c>
      <c r="C24">
        <v>0.13401671650143235</v>
      </c>
      <c r="D24" s="34"/>
      <c r="E24" s="34"/>
      <c r="F24" s="21">
        <v>0.30547195547244199</v>
      </c>
      <c r="G24" s="21">
        <v>0.13379671649692959</v>
      </c>
      <c r="I24" s="35">
        <f t="shared" si="0"/>
        <v>5.0228311530309266E-4</v>
      </c>
      <c r="J24" s="35">
        <f t="shared" si="1"/>
        <v>2.2000000450275725E-4</v>
      </c>
    </row>
    <row r="25" spans="2:20" x14ac:dyDescent="0.25">
      <c r="B25">
        <v>0</v>
      </c>
      <c r="C25">
        <v>0</v>
      </c>
      <c r="D25" s="34"/>
      <c r="E25" s="34"/>
      <c r="F25" s="21">
        <v>0</v>
      </c>
      <c r="G25" s="21">
        <v>0</v>
      </c>
      <c r="I25" s="35">
        <f t="shared" si="0"/>
        <v>0</v>
      </c>
      <c r="J25" s="35">
        <f t="shared" si="1"/>
        <v>0</v>
      </c>
    </row>
    <row r="26" spans="2:20" x14ac:dyDescent="0.25">
      <c r="D26" s="34"/>
      <c r="E26" s="34"/>
    </row>
    <row r="27" spans="2:20" x14ac:dyDescent="0.25">
      <c r="D27" s="34"/>
      <c r="E27" s="34"/>
    </row>
    <row r="28" spans="2:20" x14ac:dyDescent="0.25">
      <c r="D28" s="34"/>
      <c r="E28" s="34"/>
    </row>
    <row r="29" spans="2:20" x14ac:dyDescent="0.25">
      <c r="D29" s="34"/>
      <c r="E29" s="34"/>
    </row>
    <row r="30" spans="2:20" x14ac:dyDescent="0.25">
      <c r="D30" s="34"/>
      <c r="E30" s="3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Particulate Solid Properties </vt:lpstr>
      <vt:lpstr>FULL-Steep Hopper-Filling Load</vt:lpstr>
      <vt:lpstr>FULL-Steep Hopper-Discharge</vt:lpstr>
      <vt:lpstr>HALF-Steep Hopper-Filling Load </vt:lpstr>
      <vt:lpstr>HALF-Steep Hopper-Discharge </vt:lpstr>
      <vt:lpstr>Sayfa1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2014-02-24T16:25:59Z</dcterms:modified>
</cp:coreProperties>
</file>