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onal.PROKON\Desktop\Silo-Bunker Tutorial\"/>
    </mc:Choice>
  </mc:AlternateContent>
  <bookViews>
    <workbookView xWindow="0" yWindow="0" windowWidth="28800" windowHeight="11880" tabRatio="942" firstSheet="4" activeTab="4"/>
  </bookViews>
  <sheets>
    <sheet name="Particulate Solid Properties" sheetId="1" r:id="rId1"/>
    <sheet name="Properties of Silo" sheetId="2" r:id="rId2"/>
    <sheet name="EUROCODE1-Vertical Wall Loads" sheetId="3" r:id="rId3"/>
    <sheet name="EUROCODE1-Loads on Silo Hoppers" sheetId="4" r:id="rId4"/>
    <sheet name="Preliminary Design" sheetId="5" r:id="rId5"/>
    <sheet name="Buckling Checks" sheetId="6" r:id="rId6"/>
    <sheet name="Ring Girder" sheetId="7" r:id="rId7"/>
    <sheet name="Design of Hopper" sheetId="8" r:id="rId8"/>
    <sheet name="Stresses at Junction" sheetId="9" r:id="rId9"/>
    <sheet name="Load Combinations" sheetId="13" r:id="rId10"/>
    <sheet name="Deprem Yükleri" sheetId="14" r:id="rId11"/>
    <sheet name="Slab Calc." sheetId="15" r:id="rId12"/>
  </sheets>
  <definedNames>
    <definedName name="con">'Properties of Silo'!$L$13</definedName>
    <definedName name="dc">'Properties of Silo'!$F$2</definedName>
    <definedName name="di">'EUROCODE1-Vertical Wall Loads'!$F$14</definedName>
    <definedName name="do">'EUROCODE1-Vertical Wall Loads'!$F$13</definedName>
    <definedName name="Es">'Properties of Silo'!$E$17</definedName>
    <definedName name="fir">'Particulate Solid Properties'!$C$45</definedName>
    <definedName name="fy">'Properties of Silo'!$E$18</definedName>
    <definedName name="hb">'Properties of Silo'!$F$6</definedName>
    <definedName name="hc">'Properties of Silo'!$F$4</definedName>
    <definedName name="hh">'Properties of Silo'!$F$5</definedName>
    <definedName name="hhop">'Properties of Silo'!$F$11</definedName>
    <definedName name="ho">'Properties of Silo'!$F$7</definedName>
    <definedName name="htp">'Properties of Silo'!$F$8</definedName>
    <definedName name="n">'EUROCODE1-Vertical Wall Loads'!$F$18</definedName>
    <definedName name="phir">'Particulate Solid Properties'!$C$45</definedName>
    <definedName name="rad">'Preliminary Design'!$E$34</definedName>
    <definedName name="sy">'Preliminary Design'!$J$3</definedName>
    <definedName name="t">'Properties of Silo'!$F$3</definedName>
    <definedName name="th">'Ring Girder'!$F$16</definedName>
    <definedName name="theta">'Design of Hopper'!$F$15</definedName>
    <definedName name="wcon">'Ring Girder'!$F$18</definedName>
    <definedName name="wcyl">'Ring Girder'!$F$17</definedName>
    <definedName name="wmat">'Ring Girder'!$F$15</definedName>
    <definedName name="_xlnm.Print_Area" localSheetId="1">'Properties of Silo'!$A$1:$S$50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6" i="15" l="1"/>
  <c r="G20" i="15"/>
  <c r="G17" i="15"/>
  <c r="G7" i="15"/>
  <c r="G10" i="9" l="1"/>
  <c r="F37" i="7"/>
  <c r="F117" i="6"/>
  <c r="F118" i="6"/>
  <c r="F119" i="6"/>
  <c r="F120" i="6"/>
  <c r="F121" i="6"/>
  <c r="F116" i="6"/>
  <c r="H26" i="6"/>
  <c r="H27" i="6"/>
  <c r="H28" i="6"/>
  <c r="H29" i="6"/>
  <c r="H30" i="6"/>
  <c r="H25" i="6"/>
  <c r="F25" i="2"/>
  <c r="F16" i="7" l="1"/>
  <c r="D117" i="6" l="1"/>
  <c r="D118" i="6"/>
  <c r="D119" i="6"/>
  <c r="D120" i="6"/>
  <c r="D121" i="6"/>
  <c r="D116" i="6"/>
  <c r="A117" i="6"/>
  <c r="A118" i="6"/>
  <c r="A119" i="6"/>
  <c r="A120" i="6"/>
  <c r="A121" i="6"/>
  <c r="A116" i="6"/>
  <c r="G18" i="15"/>
  <c r="G19" i="15"/>
  <c r="G16" i="15"/>
  <c r="G10" i="15"/>
  <c r="I18" i="15" l="1"/>
  <c r="I33" i="14"/>
  <c r="I22" i="14"/>
  <c r="I23" i="14"/>
  <c r="I24" i="14"/>
  <c r="I25" i="14"/>
  <c r="I26" i="14"/>
  <c r="I27" i="14"/>
  <c r="I28" i="14"/>
  <c r="I29" i="14"/>
  <c r="I30" i="14"/>
  <c r="I31" i="14"/>
  <c r="I32" i="14"/>
  <c r="I21" i="14"/>
  <c r="O28" i="14"/>
  <c r="O29" i="14"/>
  <c r="O30" i="14"/>
  <c r="O31" i="14"/>
  <c r="O32" i="14"/>
  <c r="O33" i="14"/>
  <c r="E31" i="14" s="1"/>
  <c r="F31" i="14" s="1"/>
  <c r="O34" i="14"/>
  <c r="E32" i="14" s="1"/>
  <c r="F32" i="14" s="1"/>
  <c r="O27" i="14"/>
  <c r="N28" i="14"/>
  <c r="E26" i="14" s="1"/>
  <c r="F26" i="14" s="1"/>
  <c r="N29" i="14"/>
  <c r="E27" i="14" s="1"/>
  <c r="F27" i="14" s="1"/>
  <c r="N30" i="14"/>
  <c r="E28" i="14" s="1"/>
  <c r="F28" i="14" s="1"/>
  <c r="N31" i="14"/>
  <c r="E29" i="14" s="1"/>
  <c r="F29" i="14" s="1"/>
  <c r="N32" i="14"/>
  <c r="E30" i="14" s="1"/>
  <c r="F30" i="14" s="1"/>
  <c r="N33" i="14"/>
  <c r="N34" i="14"/>
  <c r="N27" i="14"/>
  <c r="E25" i="14" s="1"/>
  <c r="F25" i="14" s="1"/>
  <c r="E22" i="14"/>
  <c r="F22" i="14" s="1"/>
  <c r="E23" i="14"/>
  <c r="F23" i="14" s="1"/>
  <c r="E24" i="14"/>
  <c r="F24" i="14" s="1"/>
  <c r="E21" i="14"/>
  <c r="F21" i="14" s="1"/>
  <c r="O22" i="14"/>
  <c r="O23" i="14"/>
  <c r="O24" i="14"/>
  <c r="O21" i="14"/>
  <c r="N24" i="14"/>
  <c r="N23" i="14"/>
  <c r="M23" i="14"/>
  <c r="M24" i="14"/>
  <c r="N22" i="14"/>
  <c r="N21" i="14"/>
  <c r="M22" i="14"/>
  <c r="D26" i="14"/>
  <c r="D27" i="14"/>
  <c r="D28" i="14"/>
  <c r="D29" i="14"/>
  <c r="D30" i="14"/>
  <c r="D31" i="14"/>
  <c r="D32" i="14"/>
  <c r="D24" i="14"/>
  <c r="D25" i="14"/>
  <c r="D23" i="14"/>
  <c r="D22" i="14"/>
  <c r="D21" i="14"/>
  <c r="F10" i="14"/>
  <c r="F5" i="14"/>
  <c r="F4" i="14"/>
  <c r="F33" i="14" l="1"/>
  <c r="E33" i="14"/>
  <c r="F9" i="14"/>
  <c r="F12" i="14"/>
  <c r="F13" i="14" s="1"/>
  <c r="F8" i="14"/>
  <c r="G8" i="9" l="1"/>
  <c r="F4" i="8"/>
  <c r="L32" i="7" l="1"/>
  <c r="F35" i="7" s="1"/>
  <c r="F36" i="7" s="1"/>
  <c r="F99" i="6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D85" i="6" s="1"/>
  <c r="C116" i="6" s="1"/>
  <c r="F9" i="6"/>
  <c r="D44" i="5"/>
  <c r="C39" i="5"/>
  <c r="C40" i="5"/>
  <c r="C41" i="5"/>
  <c r="C42" i="5"/>
  <c r="C43" i="5"/>
  <c r="C44" i="5"/>
  <c r="C38" i="5"/>
  <c r="F34" i="7" l="1"/>
  <c r="F11" i="2"/>
  <c r="G36" i="9" l="1"/>
  <c r="G35" i="9"/>
  <c r="G12" i="9" l="1"/>
  <c r="G11" i="9"/>
  <c r="G9" i="9"/>
  <c r="F28" i="8"/>
  <c r="F26" i="8"/>
  <c r="F29" i="8" s="1"/>
  <c r="F24" i="8"/>
  <c r="F18" i="7"/>
  <c r="F10" i="8"/>
  <c r="F8" i="8"/>
  <c r="F7" i="8"/>
  <c r="F6" i="8"/>
  <c r="H44" i="7"/>
  <c r="H41" i="7"/>
  <c r="H49" i="7" s="1"/>
  <c r="J22" i="7"/>
  <c r="F30" i="7"/>
  <c r="F10" i="7"/>
  <c r="F11" i="7"/>
  <c r="F101" i="6"/>
  <c r="I86" i="6"/>
  <c r="I87" i="6"/>
  <c r="I88" i="6"/>
  <c r="I89" i="6"/>
  <c r="I90" i="6"/>
  <c r="I85" i="6"/>
  <c r="B86" i="6"/>
  <c r="B87" i="6"/>
  <c r="B88" i="6"/>
  <c r="B89" i="6"/>
  <c r="B90" i="6"/>
  <c r="B85" i="6"/>
  <c r="B26" i="6"/>
  <c r="B27" i="6"/>
  <c r="B28" i="6"/>
  <c r="B29" i="6"/>
  <c r="B30" i="6"/>
  <c r="B25" i="6"/>
  <c r="B60" i="6"/>
  <c r="B59" i="6"/>
  <c r="F49" i="6" s="1"/>
  <c r="A60" i="6"/>
  <c r="A59" i="6"/>
  <c r="E49" i="6" s="1"/>
  <c r="B58" i="6"/>
  <c r="B57" i="6"/>
  <c r="F50" i="6" s="1"/>
  <c r="A58" i="6"/>
  <c r="A57" i="6"/>
  <c r="B56" i="6"/>
  <c r="B55" i="6"/>
  <c r="F51" i="6" s="1"/>
  <c r="A56" i="6"/>
  <c r="A55" i="6"/>
  <c r="B54" i="6"/>
  <c r="B53" i="6"/>
  <c r="F52" i="6" s="1"/>
  <c r="A54" i="6"/>
  <c r="A53" i="6"/>
  <c r="B52" i="6"/>
  <c r="B51" i="6"/>
  <c r="F53" i="6" s="1"/>
  <c r="A52" i="6"/>
  <c r="A51" i="6"/>
  <c r="B50" i="6"/>
  <c r="B49" i="6"/>
  <c r="F54" i="6" s="1"/>
  <c r="A50" i="6"/>
  <c r="A49" i="6"/>
  <c r="H29" i="8" l="1"/>
  <c r="E54" i="6"/>
  <c r="F17" i="8"/>
  <c r="F5" i="8"/>
  <c r="F9" i="8" s="1"/>
  <c r="G16" i="9"/>
  <c r="G18" i="9" s="1"/>
  <c r="E51" i="6"/>
  <c r="E53" i="6"/>
  <c r="E52" i="6"/>
  <c r="E50" i="6"/>
  <c r="G19" i="9"/>
  <c r="C38" i="6"/>
  <c r="B37" i="6"/>
  <c r="C86" i="6" s="1"/>
  <c r="B117" i="6" s="1"/>
  <c r="B38" i="6"/>
  <c r="C87" i="6" s="1"/>
  <c r="B118" i="6" s="1"/>
  <c r="B39" i="6"/>
  <c r="C88" i="6" s="1"/>
  <c r="B119" i="6" s="1"/>
  <c r="B40" i="6"/>
  <c r="C89" i="6" s="1"/>
  <c r="B120" i="6" s="1"/>
  <c r="B41" i="6"/>
  <c r="C90" i="6" s="1"/>
  <c r="B121" i="6" s="1"/>
  <c r="B36" i="6"/>
  <c r="C85" i="6" s="1"/>
  <c r="D22" i="6"/>
  <c r="E26" i="6"/>
  <c r="E27" i="6"/>
  <c r="F27" i="6" s="1"/>
  <c r="G27" i="6" s="1"/>
  <c r="D38" i="6" s="1"/>
  <c r="E38" i="6" s="1"/>
  <c r="E28" i="6"/>
  <c r="E29" i="6"/>
  <c r="E30" i="6"/>
  <c r="E25" i="6"/>
  <c r="D88" i="6"/>
  <c r="C119" i="6" s="1"/>
  <c r="D89" i="6"/>
  <c r="C120" i="6" s="1"/>
  <c r="D90" i="6"/>
  <c r="C121" i="6" s="1"/>
  <c r="D86" i="6"/>
  <c r="C117" i="6" s="1"/>
  <c r="D87" i="6"/>
  <c r="C118" i="6" s="1"/>
  <c r="I10" i="6"/>
  <c r="F10" i="6"/>
  <c r="H10" i="6" s="1"/>
  <c r="J10" i="6" s="1"/>
  <c r="A53" i="5"/>
  <c r="B52" i="5"/>
  <c r="E41" i="5"/>
  <c r="A49" i="5"/>
  <c r="B48" i="5"/>
  <c r="B51" i="5"/>
  <c r="B17" i="5"/>
  <c r="B18" i="5"/>
  <c r="B19" i="5"/>
  <c r="B20" i="5"/>
  <c r="B21" i="5"/>
  <c r="B22" i="5"/>
  <c r="B16" i="5"/>
  <c r="B50" i="5"/>
  <c r="G39" i="5"/>
  <c r="G40" i="5"/>
  <c r="G41" i="5"/>
  <c r="G42" i="5"/>
  <c r="G43" i="5"/>
  <c r="G44" i="5"/>
  <c r="G38" i="5"/>
  <c r="D38" i="5"/>
  <c r="E17" i="5"/>
  <c r="E18" i="5"/>
  <c r="E19" i="5"/>
  <c r="E20" i="5"/>
  <c r="E21" i="5"/>
  <c r="E22" i="5"/>
  <c r="E16" i="5"/>
  <c r="E34" i="5"/>
  <c r="E28" i="5"/>
  <c r="E29" i="5" s="1"/>
  <c r="F38" i="5" s="1"/>
  <c r="E27" i="5"/>
  <c r="J6" i="5"/>
  <c r="J5" i="5"/>
  <c r="F16" i="3"/>
  <c r="F17" i="3" s="1"/>
  <c r="G17" i="9" l="1"/>
  <c r="F102" i="6"/>
  <c r="B116" i="6"/>
  <c r="F19" i="5"/>
  <c r="G19" i="5" s="1"/>
  <c r="F20" i="5"/>
  <c r="G20" i="5" s="1"/>
  <c r="F21" i="5"/>
  <c r="G21" i="5" s="1"/>
  <c r="F18" i="5"/>
  <c r="G18" i="5" s="1"/>
  <c r="F17" i="5"/>
  <c r="G17" i="5" s="1"/>
  <c r="F16" i="5"/>
  <c r="G16" i="5" s="1"/>
  <c r="F30" i="6"/>
  <c r="G30" i="6" s="1"/>
  <c r="D41" i="6" s="1"/>
  <c r="E41" i="6" s="1"/>
  <c r="F41" i="6" s="1"/>
  <c r="G41" i="6" s="1"/>
  <c r="C41" i="6"/>
  <c r="F29" i="6"/>
  <c r="G29" i="6" s="1"/>
  <c r="D40" i="6" s="1"/>
  <c r="E40" i="6" s="1"/>
  <c r="H40" i="6" s="1"/>
  <c r="C40" i="6"/>
  <c r="F28" i="6"/>
  <c r="G28" i="6" s="1"/>
  <c r="D39" i="6" s="1"/>
  <c r="E39" i="6" s="1"/>
  <c r="H39" i="6" s="1"/>
  <c r="C39" i="6"/>
  <c r="F26" i="6"/>
  <c r="G26" i="6" s="1"/>
  <c r="D37" i="6" s="1"/>
  <c r="E37" i="6" s="1"/>
  <c r="F37" i="6" s="1"/>
  <c r="G37" i="6" s="1"/>
  <c r="C37" i="6"/>
  <c r="C36" i="6"/>
  <c r="F25" i="6"/>
  <c r="G25" i="6" s="1"/>
  <c r="D36" i="6" s="1"/>
  <c r="E36" i="6" s="1"/>
  <c r="F36" i="6" s="1"/>
  <c r="G36" i="6" s="1"/>
  <c r="F22" i="5"/>
  <c r="G22" i="5" s="1"/>
  <c r="F47" i="5"/>
  <c r="F41" i="5"/>
  <c r="F50" i="5" s="1"/>
  <c r="A48" i="5"/>
  <c r="C48" i="5" s="1"/>
  <c r="D48" i="5" s="1"/>
  <c r="E48" i="5" s="1"/>
  <c r="F17" i="7"/>
  <c r="E55" i="6"/>
  <c r="F14" i="7" s="1"/>
  <c r="E64" i="6"/>
  <c r="H38" i="6"/>
  <c r="F38" i="6"/>
  <c r="G38" i="6" s="1"/>
  <c r="E43" i="5"/>
  <c r="F43" i="5" s="1"/>
  <c r="F52" i="5" s="1"/>
  <c r="A52" i="5"/>
  <c r="C52" i="5" s="1"/>
  <c r="D52" i="5" s="1"/>
  <c r="E52" i="5" s="1"/>
  <c r="A51" i="5"/>
  <c r="C51" i="5" s="1"/>
  <c r="D51" i="5" s="1"/>
  <c r="E51" i="5" s="1"/>
  <c r="E42" i="5"/>
  <c r="F42" i="5" s="1"/>
  <c r="F51" i="5" s="1"/>
  <c r="A50" i="5"/>
  <c r="C50" i="5" s="1"/>
  <c r="D50" i="5" s="1"/>
  <c r="E50" i="5" s="1"/>
  <c r="B53" i="5"/>
  <c r="C53" i="5" s="1"/>
  <c r="D53" i="5" s="1"/>
  <c r="E53" i="5" s="1"/>
  <c r="B49" i="5"/>
  <c r="C49" i="5" s="1"/>
  <c r="D49" i="5" s="1"/>
  <c r="E49" i="5" s="1"/>
  <c r="E39" i="5"/>
  <c r="F39" i="5" s="1"/>
  <c r="F48" i="5" s="1"/>
  <c r="E44" i="5"/>
  <c r="F44" i="5" s="1"/>
  <c r="F53" i="5" s="1"/>
  <c r="E40" i="5"/>
  <c r="F40" i="5" s="1"/>
  <c r="F49" i="5" s="1"/>
  <c r="B47" i="5"/>
  <c r="A47" i="5"/>
  <c r="B72" i="3"/>
  <c r="A72" i="3"/>
  <c r="E19" i="2"/>
  <c r="F40" i="6" l="1"/>
  <c r="G40" i="6" s="1"/>
  <c r="E65" i="6"/>
  <c r="E85" i="6" s="1"/>
  <c r="F85" i="6" s="1"/>
  <c r="G85" i="6" s="1"/>
  <c r="H85" i="6" s="1"/>
  <c r="J85" i="6" s="1"/>
  <c r="G116" i="6" s="1"/>
  <c r="J116" i="6" s="1"/>
  <c r="G64" i="6"/>
  <c r="H37" i="6"/>
  <c r="I37" i="6" s="1"/>
  <c r="E117" i="6" s="1"/>
  <c r="H41" i="6"/>
  <c r="I41" i="6" s="1"/>
  <c r="E121" i="6" s="1"/>
  <c r="F39" i="6"/>
  <c r="G39" i="6" s="1"/>
  <c r="I39" i="6" s="1"/>
  <c r="E119" i="6" s="1"/>
  <c r="I38" i="6"/>
  <c r="E118" i="6" s="1"/>
  <c r="H36" i="6"/>
  <c r="I36" i="6" s="1"/>
  <c r="E116" i="6" s="1"/>
  <c r="C47" i="5"/>
  <c r="D47" i="5" s="1"/>
  <c r="E47" i="5" s="1"/>
  <c r="G47" i="5" s="1"/>
  <c r="G50" i="5"/>
  <c r="G53" i="5"/>
  <c r="G51" i="5"/>
  <c r="G52" i="5"/>
  <c r="E66" i="6"/>
  <c r="E68" i="6" s="1"/>
  <c r="E67" i="6"/>
  <c r="C79" i="6"/>
  <c r="B76" i="6"/>
  <c r="I40" i="6"/>
  <c r="E120" i="6" s="1"/>
  <c r="G49" i="5"/>
  <c r="G48" i="5"/>
  <c r="C16" i="1"/>
  <c r="G50" i="4"/>
  <c r="G51" i="4" s="1"/>
  <c r="B39" i="4"/>
  <c r="B55" i="4" s="1"/>
  <c r="A39" i="4"/>
  <c r="A55" i="4" s="1"/>
  <c r="G27" i="4"/>
  <c r="B12" i="4"/>
  <c r="F3" i="4"/>
  <c r="F15" i="8" s="1"/>
  <c r="I117" i="6" l="1"/>
  <c r="I118" i="6"/>
  <c r="I120" i="6"/>
  <c r="I119" i="6"/>
  <c r="I116" i="6"/>
  <c r="H116" i="6"/>
  <c r="I121" i="6"/>
  <c r="E89" i="6"/>
  <c r="F89" i="6" s="1"/>
  <c r="G89" i="6" s="1"/>
  <c r="H89" i="6" s="1"/>
  <c r="J89" i="6" s="1"/>
  <c r="G120" i="6" s="1"/>
  <c r="J120" i="6" s="1"/>
  <c r="E88" i="6"/>
  <c r="F88" i="6" s="1"/>
  <c r="G88" i="6" s="1"/>
  <c r="H88" i="6" s="1"/>
  <c r="J88" i="6" s="1"/>
  <c r="G119" i="6" s="1"/>
  <c r="J119" i="6" s="1"/>
  <c r="C76" i="6"/>
  <c r="D76" i="6" s="1"/>
  <c r="E90" i="6"/>
  <c r="F90" i="6" s="1"/>
  <c r="G90" i="6" s="1"/>
  <c r="H90" i="6" s="1"/>
  <c r="J90" i="6" s="1"/>
  <c r="G121" i="6" s="1"/>
  <c r="J121" i="6" s="1"/>
  <c r="E87" i="6"/>
  <c r="F87" i="6" s="1"/>
  <c r="G87" i="6" s="1"/>
  <c r="H87" i="6" s="1"/>
  <c r="J87" i="6" s="1"/>
  <c r="G118" i="6" s="1"/>
  <c r="J118" i="6" s="1"/>
  <c r="C81" i="6"/>
  <c r="E86" i="6"/>
  <c r="F86" i="6" s="1"/>
  <c r="G86" i="6" s="1"/>
  <c r="H86" i="6" s="1"/>
  <c r="J86" i="6" s="1"/>
  <c r="G117" i="6" s="1"/>
  <c r="J117" i="6" s="1"/>
  <c r="E69" i="6"/>
  <c r="C80" i="6" s="1"/>
  <c r="G49" i="4"/>
  <c r="G34" i="4"/>
  <c r="A40" i="4"/>
  <c r="A56" i="4" s="1"/>
  <c r="B40" i="4"/>
  <c r="B56" i="4" s="1"/>
  <c r="F40" i="4"/>
  <c r="F5" i="4"/>
  <c r="C126" i="3"/>
  <c r="C130" i="3"/>
  <c r="C125" i="3"/>
  <c r="A112" i="3"/>
  <c r="G103" i="3"/>
  <c r="G101" i="3"/>
  <c r="B133" i="3"/>
  <c r="C133" i="3" s="1"/>
  <c r="B132" i="3"/>
  <c r="C132" i="3" s="1"/>
  <c r="B131" i="3"/>
  <c r="C131" i="3" s="1"/>
  <c r="B130" i="3"/>
  <c r="B129" i="3"/>
  <c r="C129" i="3" s="1"/>
  <c r="B128" i="3"/>
  <c r="C128" i="3" s="1"/>
  <c r="B127" i="3"/>
  <c r="C127" i="3" s="1"/>
  <c r="B126" i="3"/>
  <c r="B125" i="3"/>
  <c r="G104" i="3"/>
  <c r="G135" i="3" s="1"/>
  <c r="C88" i="3"/>
  <c r="C92" i="3"/>
  <c r="B86" i="3"/>
  <c r="C86" i="3" s="1"/>
  <c r="B87" i="3"/>
  <c r="C87" i="3" s="1"/>
  <c r="B88" i="3"/>
  <c r="B89" i="3"/>
  <c r="C89" i="3" s="1"/>
  <c r="B90" i="3"/>
  <c r="C90" i="3" s="1"/>
  <c r="B91" i="3"/>
  <c r="C91" i="3" s="1"/>
  <c r="B92" i="3"/>
  <c r="B93" i="3"/>
  <c r="C93" i="3" s="1"/>
  <c r="B85" i="3"/>
  <c r="C85" i="3" s="1"/>
  <c r="G64" i="3"/>
  <c r="G95" i="3" s="1"/>
  <c r="G63" i="3"/>
  <c r="A45" i="3"/>
  <c r="H118" i="6" l="1"/>
  <c r="K118" i="6" s="1"/>
  <c r="H119" i="6"/>
  <c r="H121" i="6"/>
  <c r="K121" i="6" s="1"/>
  <c r="K119" i="6"/>
  <c r="K116" i="6"/>
  <c r="H117" i="6"/>
  <c r="K117" i="6" s="1"/>
  <c r="H120" i="6"/>
  <c r="K120" i="6" s="1"/>
  <c r="A41" i="4"/>
  <c r="B41" i="4" s="1"/>
  <c r="B57" i="4" s="1"/>
  <c r="A57" i="4"/>
  <c r="F41" i="4"/>
  <c r="G41" i="4" s="1"/>
  <c r="G40" i="4"/>
  <c r="H40" i="4" s="1"/>
  <c r="I40" i="4"/>
  <c r="G32" i="4"/>
  <c r="G33" i="4" s="1"/>
  <c r="J40" i="4" l="1"/>
  <c r="A42" i="4"/>
  <c r="F42" i="4" s="1"/>
  <c r="G42" i="4" s="1"/>
  <c r="B42" i="4"/>
  <c r="B58" i="4" s="1"/>
  <c r="I41" i="4"/>
  <c r="H41" i="4"/>
  <c r="H42" i="4" l="1"/>
  <c r="A58" i="4"/>
  <c r="J41" i="4"/>
  <c r="I42" i="4"/>
  <c r="J42" i="4" l="1"/>
  <c r="A25" i="3" l="1"/>
  <c r="A12" i="4" s="1"/>
  <c r="F13" i="3"/>
  <c r="F7" i="2"/>
  <c r="F8" i="2"/>
  <c r="F4" i="2" s="1"/>
  <c r="A22" i="5" s="1"/>
  <c r="A44" i="5" l="1"/>
  <c r="A21" i="5"/>
  <c r="B26" i="3"/>
  <c r="B73" i="3" s="1"/>
  <c r="B13" i="4"/>
  <c r="A26" i="3"/>
  <c r="A73" i="3" s="1"/>
  <c r="F12" i="3"/>
  <c r="F15" i="3"/>
  <c r="B46" i="3"/>
  <c r="B113" i="3"/>
  <c r="A46" i="3"/>
  <c r="A113" i="3"/>
  <c r="F4" i="3"/>
  <c r="F5" i="2"/>
  <c r="A43" i="4" s="1"/>
  <c r="L13" i="2"/>
  <c r="F24" i="2"/>
  <c r="D22" i="2"/>
  <c r="F23" i="2" s="1"/>
  <c r="F6" i="3" s="1"/>
  <c r="C15" i="2"/>
  <c r="C43" i="1"/>
  <c r="C42" i="1"/>
  <c r="C15" i="1"/>
  <c r="C10" i="1"/>
  <c r="C9" i="1"/>
  <c r="A20" i="5" l="1"/>
  <c r="A43" i="5"/>
  <c r="B43" i="4"/>
  <c r="B59" i="4" s="1"/>
  <c r="F43" i="4"/>
  <c r="A59" i="4"/>
  <c r="F105" i="3"/>
  <c r="G105" i="3" s="1"/>
  <c r="G106" i="3"/>
  <c r="E42" i="3"/>
  <c r="E40" i="3" s="1"/>
  <c r="F65" i="3"/>
  <c r="G65" i="3" s="1"/>
  <c r="F22" i="3"/>
  <c r="A13" i="4"/>
  <c r="B27" i="3"/>
  <c r="B74" i="3" s="1"/>
  <c r="A27" i="3"/>
  <c r="A74" i="3" s="1"/>
  <c r="G36" i="4"/>
  <c r="F6" i="2"/>
  <c r="B114" i="3"/>
  <c r="A114" i="3"/>
  <c r="A115" i="3" s="1"/>
  <c r="A116" i="3" s="1"/>
  <c r="A117" i="3" s="1"/>
  <c r="A118" i="3" s="1"/>
  <c r="A119" i="3" s="1"/>
  <c r="A120" i="3" s="1"/>
  <c r="F14" i="3"/>
  <c r="A47" i="3"/>
  <c r="A48" i="3" s="1"/>
  <c r="A49" i="3" s="1"/>
  <c r="A50" i="3" s="1"/>
  <c r="A51" i="3" s="1"/>
  <c r="A52" i="3" s="1"/>
  <c r="A53" i="3" s="1"/>
  <c r="B47" i="3"/>
  <c r="A42" i="5" l="1"/>
  <c r="A19" i="5"/>
  <c r="G43" i="4"/>
  <c r="H43" i="4" s="1"/>
  <c r="I43" i="4"/>
  <c r="E41" i="3"/>
  <c r="F18" i="3"/>
  <c r="B115" i="3"/>
  <c r="B14" i="4"/>
  <c r="B28" i="3"/>
  <c r="B75" i="3" s="1"/>
  <c r="H107" i="3"/>
  <c r="F107" i="3"/>
  <c r="C14" i="2"/>
  <c r="E13" i="2"/>
  <c r="F13" i="2" s="1"/>
  <c r="A121" i="3"/>
  <c r="B122" i="3" s="1"/>
  <c r="A34" i="3"/>
  <c r="A54" i="3"/>
  <c r="B55" i="3" s="1"/>
  <c r="G66" i="3"/>
  <c r="B48" i="3"/>
  <c r="A14" i="4"/>
  <c r="A28" i="3"/>
  <c r="A75" i="3" s="1"/>
  <c r="F32" i="2"/>
  <c r="F33" i="2" s="1"/>
  <c r="F26" i="2"/>
  <c r="F28" i="2" s="1"/>
  <c r="F29" i="2" s="1"/>
  <c r="A81" i="3" l="1"/>
  <c r="B35" i="3"/>
  <c r="C35" i="3" s="1"/>
  <c r="D35" i="3" s="1"/>
  <c r="E35" i="3" s="1"/>
  <c r="F35" i="3"/>
  <c r="G35" i="3" s="1"/>
  <c r="A18" i="5"/>
  <c r="A41" i="5"/>
  <c r="J43" i="4"/>
  <c r="J44" i="4" s="1"/>
  <c r="C114" i="3"/>
  <c r="C112" i="3"/>
  <c r="C113" i="3"/>
  <c r="C46" i="3"/>
  <c r="C47" i="3"/>
  <c r="C122" i="3"/>
  <c r="C26" i="3"/>
  <c r="C73" i="3" s="1"/>
  <c r="C28" i="3"/>
  <c r="C75" i="3" s="1"/>
  <c r="C25" i="3"/>
  <c r="C72" i="3" s="1"/>
  <c r="C27" i="3"/>
  <c r="C74" i="3" s="1"/>
  <c r="H67" i="3"/>
  <c r="F67" i="3"/>
  <c r="C55" i="3"/>
  <c r="C115" i="3"/>
  <c r="B116" i="3"/>
  <c r="A21" i="4"/>
  <c r="B15" i="4"/>
  <c r="B29" i="3"/>
  <c r="B76" i="3" s="1"/>
  <c r="F25" i="3"/>
  <c r="F26" i="3"/>
  <c r="H26" i="3" s="1"/>
  <c r="F27" i="3"/>
  <c r="H27" i="3" s="1"/>
  <c r="F28" i="3"/>
  <c r="H28" i="3" s="1"/>
  <c r="A15" i="4"/>
  <c r="A29" i="3"/>
  <c r="A76" i="3" s="1"/>
  <c r="B49" i="3"/>
  <c r="C48" i="3"/>
  <c r="C45" i="3"/>
  <c r="F34" i="2"/>
  <c r="F35" i="2" s="1"/>
  <c r="F30" i="2"/>
  <c r="F31" i="2" s="1"/>
  <c r="F29" i="3" l="1"/>
  <c r="H29" i="3" s="1"/>
  <c r="C29" i="3"/>
  <c r="C76" i="3" s="1"/>
  <c r="A17" i="5"/>
  <c r="A40" i="5"/>
  <c r="B82" i="3"/>
  <c r="F36" i="2"/>
  <c r="F37" i="2" s="1"/>
  <c r="D25" i="3"/>
  <c r="D72" i="3" s="1"/>
  <c r="E72" i="3" s="1"/>
  <c r="C82" i="3"/>
  <c r="C12" i="4"/>
  <c r="D27" i="3"/>
  <c r="D74" i="3" s="1"/>
  <c r="D114" i="3" s="1"/>
  <c r="E114" i="3" s="1"/>
  <c r="C14" i="4"/>
  <c r="B22" i="4"/>
  <c r="B16" i="4"/>
  <c r="B30" i="3"/>
  <c r="C116" i="3"/>
  <c r="B117" i="3"/>
  <c r="C49" i="3"/>
  <c r="B50" i="3"/>
  <c r="F15" i="4"/>
  <c r="G28" i="3"/>
  <c r="G15" i="4" s="1"/>
  <c r="F12" i="4"/>
  <c r="G25" i="3"/>
  <c r="G12" i="4" s="1"/>
  <c r="C15" i="4"/>
  <c r="D28" i="3"/>
  <c r="D75" i="3" s="1"/>
  <c r="E75" i="3" s="1"/>
  <c r="F14" i="4"/>
  <c r="G27" i="3"/>
  <c r="G14" i="4" s="1"/>
  <c r="C13" i="4"/>
  <c r="D26" i="3"/>
  <c r="D73" i="3" s="1"/>
  <c r="E73" i="3" s="1"/>
  <c r="A16" i="4"/>
  <c r="A30" i="3"/>
  <c r="A77" i="3" s="1"/>
  <c r="F13" i="4"/>
  <c r="G26" i="3"/>
  <c r="G13" i="4" s="1"/>
  <c r="F16" i="4"/>
  <c r="G29" i="3"/>
  <c r="G16" i="4" s="1"/>
  <c r="H25" i="3"/>
  <c r="D45" i="3" l="1"/>
  <c r="D12" i="4"/>
  <c r="A16" i="5"/>
  <c r="A38" i="5" s="1"/>
  <c r="A39" i="5"/>
  <c r="E25" i="3"/>
  <c r="E45" i="3" s="1"/>
  <c r="D112" i="3"/>
  <c r="E112" i="3" s="1"/>
  <c r="B77" i="3"/>
  <c r="C30" i="3"/>
  <c r="C77" i="3" s="1"/>
  <c r="D115" i="3"/>
  <c r="E115" i="3" s="1"/>
  <c r="E74" i="3"/>
  <c r="D47" i="3"/>
  <c r="D14" i="4"/>
  <c r="D113" i="3"/>
  <c r="E113" i="3" s="1"/>
  <c r="E27" i="3"/>
  <c r="E14" i="4" s="1"/>
  <c r="G36" i="3"/>
  <c r="G57" i="3"/>
  <c r="C22" i="4"/>
  <c r="A17" i="4"/>
  <c r="A31" i="3"/>
  <c r="A78" i="3" s="1"/>
  <c r="E26" i="3"/>
  <c r="D13" i="4"/>
  <c r="D46" i="3"/>
  <c r="C50" i="3"/>
  <c r="B51" i="3"/>
  <c r="B118" i="3"/>
  <c r="C117" i="3"/>
  <c r="B31" i="3"/>
  <c r="B17" i="4"/>
  <c r="F30" i="3"/>
  <c r="H30" i="3" s="1"/>
  <c r="E12" i="4"/>
  <c r="E28" i="3"/>
  <c r="D15" i="4"/>
  <c r="D48" i="3"/>
  <c r="C16" i="4"/>
  <c r="D29" i="3"/>
  <c r="D76" i="3" s="1"/>
  <c r="E76" i="3" s="1"/>
  <c r="F22" i="4"/>
  <c r="G22" i="4"/>
  <c r="H24" i="4" s="1"/>
  <c r="F16" i="8" s="1"/>
  <c r="F18" i="8" s="1"/>
  <c r="B78" i="3" l="1"/>
  <c r="C31" i="3"/>
  <c r="C78" i="3" s="1"/>
  <c r="F19" i="8"/>
  <c r="G15" i="9"/>
  <c r="D82" i="3"/>
  <c r="G13" i="9"/>
  <c r="D116" i="3"/>
  <c r="E116" i="3" s="1"/>
  <c r="E47" i="3"/>
  <c r="E82" i="3"/>
  <c r="D122" i="3"/>
  <c r="E122" i="3" s="1"/>
  <c r="B52" i="3"/>
  <c r="C51" i="3"/>
  <c r="E13" i="4"/>
  <c r="E46" i="3"/>
  <c r="D22" i="4"/>
  <c r="D55" i="3"/>
  <c r="C42" i="4"/>
  <c r="C39" i="4"/>
  <c r="C43" i="4"/>
  <c r="C40" i="4"/>
  <c r="C41" i="4"/>
  <c r="E15" i="4"/>
  <c r="E48" i="3"/>
  <c r="B32" i="3"/>
  <c r="B18" i="4"/>
  <c r="F31" i="3"/>
  <c r="F17" i="4"/>
  <c r="G30" i="3"/>
  <c r="G17" i="4" s="1"/>
  <c r="A18" i="4"/>
  <c r="A32" i="3"/>
  <c r="A79" i="3" s="1"/>
  <c r="E29" i="3"/>
  <c r="D16" i="4"/>
  <c r="D49" i="3"/>
  <c r="C17" i="4"/>
  <c r="D30" i="3"/>
  <c r="D77" i="3" s="1"/>
  <c r="E77" i="3" s="1"/>
  <c r="B119" i="3"/>
  <c r="C118" i="3"/>
  <c r="B79" i="3" l="1"/>
  <c r="C32" i="3"/>
  <c r="C79" i="3" s="1"/>
  <c r="D117" i="3"/>
  <c r="E117" i="3" s="1"/>
  <c r="A19" i="4"/>
  <c r="A33" i="3"/>
  <c r="E30" i="3"/>
  <c r="D17" i="4"/>
  <c r="D50" i="3"/>
  <c r="E16" i="4"/>
  <c r="E49" i="3"/>
  <c r="C59" i="4"/>
  <c r="D43" i="4"/>
  <c r="F22" i="8" s="1"/>
  <c r="E43" i="4"/>
  <c r="C57" i="4"/>
  <c r="D41" i="4"/>
  <c r="E41" i="4"/>
  <c r="F18" i="4"/>
  <c r="G31" i="3"/>
  <c r="G18" i="4" s="1"/>
  <c r="H31" i="3"/>
  <c r="C18" i="4"/>
  <c r="D31" i="3"/>
  <c r="D78" i="3" s="1"/>
  <c r="E78" i="3" s="1"/>
  <c r="C55" i="4"/>
  <c r="D39" i="4"/>
  <c r="D55" i="4" s="1"/>
  <c r="E39" i="4"/>
  <c r="E55" i="4" s="1"/>
  <c r="E22" i="4"/>
  <c r="E55" i="3"/>
  <c r="B53" i="3"/>
  <c r="C52" i="3"/>
  <c r="C58" i="4"/>
  <c r="E42" i="4"/>
  <c r="D42" i="4"/>
  <c r="B120" i="3"/>
  <c r="C119" i="3"/>
  <c r="B33" i="3"/>
  <c r="B19" i="4"/>
  <c r="F32" i="3"/>
  <c r="C56" i="4"/>
  <c r="E40" i="4"/>
  <c r="D40" i="4"/>
  <c r="B80" i="3" l="1"/>
  <c r="C33" i="3"/>
  <c r="C80" i="3" s="1"/>
  <c r="B34" i="3"/>
  <c r="A80" i="3"/>
  <c r="D118" i="3"/>
  <c r="E118" i="3" s="1"/>
  <c r="C19" i="4"/>
  <c r="D32" i="3"/>
  <c r="D79" i="3" s="1"/>
  <c r="E79" i="3" s="1"/>
  <c r="D57" i="4"/>
  <c r="K41" i="4"/>
  <c r="E17" i="4"/>
  <c r="E50" i="3"/>
  <c r="D56" i="4"/>
  <c r="K40" i="4"/>
  <c r="B20" i="4"/>
  <c r="F33" i="3"/>
  <c r="H33" i="3" s="1"/>
  <c r="E58" i="4"/>
  <c r="L42" i="4"/>
  <c r="E31" i="3"/>
  <c r="D18" i="4"/>
  <c r="D51" i="3"/>
  <c r="E59" i="4"/>
  <c r="L43" i="4"/>
  <c r="E56" i="4"/>
  <c r="L40" i="4"/>
  <c r="F19" i="4"/>
  <c r="G32" i="3"/>
  <c r="G19" i="4" s="1"/>
  <c r="E57" i="4"/>
  <c r="L41" i="4"/>
  <c r="D59" i="4"/>
  <c r="K43" i="4"/>
  <c r="H32" i="3"/>
  <c r="B121" i="3"/>
  <c r="C121" i="3" s="1"/>
  <c r="C120" i="3"/>
  <c r="A20" i="4"/>
  <c r="D58" i="4"/>
  <c r="K42" i="4"/>
  <c r="C53" i="3"/>
  <c r="B54" i="3"/>
  <c r="C54" i="3" s="1"/>
  <c r="B81" i="3" l="1"/>
  <c r="C34" i="3"/>
  <c r="C81" i="3" s="1"/>
  <c r="G14" i="9"/>
  <c r="G20" i="9" s="1"/>
  <c r="F23" i="8"/>
  <c r="D119" i="3"/>
  <c r="E119" i="3" s="1"/>
  <c r="F20" i="4"/>
  <c r="G33" i="3"/>
  <c r="G20" i="4" s="1"/>
  <c r="K45" i="4"/>
  <c r="E18" i="4"/>
  <c r="E51" i="3"/>
  <c r="B21" i="4"/>
  <c r="F34" i="3"/>
  <c r="C20" i="4"/>
  <c r="D33" i="3"/>
  <c r="D80" i="3" s="1"/>
  <c r="E80" i="3" s="1"/>
  <c r="E32" i="3"/>
  <c r="D19" i="4"/>
  <c r="D52" i="3"/>
  <c r="L45" i="4"/>
  <c r="G34" i="9" l="1"/>
  <c r="F25" i="8"/>
  <c r="H25" i="8" s="1"/>
  <c r="A56" i="9"/>
  <c r="G21" i="9"/>
  <c r="D55" i="9"/>
  <c r="G29" i="9"/>
  <c r="G32" i="9" s="1"/>
  <c r="A55" i="9"/>
  <c r="G28" i="9"/>
  <c r="G31" i="9" s="1"/>
  <c r="D56" i="9"/>
  <c r="G27" i="9"/>
  <c r="G30" i="9" s="1"/>
  <c r="D120" i="3"/>
  <c r="E120" i="3" s="1"/>
  <c r="C21" i="4"/>
  <c r="D34" i="3"/>
  <c r="D81" i="3" s="1"/>
  <c r="E33" i="3"/>
  <c r="D20" i="4"/>
  <c r="D53" i="3"/>
  <c r="F21" i="4"/>
  <c r="G34" i="3"/>
  <c r="G21" i="4" s="1"/>
  <c r="H34" i="3"/>
  <c r="H15" i="7" s="1"/>
  <c r="F15" i="7" s="1"/>
  <c r="F19" i="7" s="1"/>
  <c r="E19" i="4"/>
  <c r="E52" i="3"/>
  <c r="K46" i="4"/>
  <c r="F23" i="7" l="1"/>
  <c r="F14" i="14"/>
  <c r="I15" i="14" s="1"/>
  <c r="H50" i="7"/>
  <c r="H52" i="7" s="1"/>
  <c r="H53" i="7" s="1"/>
  <c r="F31" i="7"/>
  <c r="H37" i="7" s="1"/>
  <c r="F32" i="7"/>
  <c r="G40" i="9"/>
  <c r="B56" i="9" s="1"/>
  <c r="C56" i="9" s="1"/>
  <c r="G39" i="9"/>
  <c r="B55" i="9" s="1"/>
  <c r="C55" i="9" s="1"/>
  <c r="G43" i="9"/>
  <c r="E56" i="9" s="1"/>
  <c r="F56" i="9" s="1"/>
  <c r="G42" i="9"/>
  <c r="E55" i="9" s="1"/>
  <c r="F55" i="9" s="1"/>
  <c r="E81" i="3"/>
  <c r="D121" i="3"/>
  <c r="E121" i="3" s="1"/>
  <c r="E20" i="4"/>
  <c r="E53" i="3"/>
  <c r="E34" i="3"/>
  <c r="D21" i="4"/>
  <c r="D54" i="3"/>
  <c r="F15" i="14" l="1"/>
  <c r="E21" i="4"/>
  <c r="E54" i="3"/>
  <c r="G23" i="14" l="1"/>
  <c r="H23" i="14" s="1"/>
  <c r="G27" i="14"/>
  <c r="H27" i="14" s="1"/>
  <c r="G31" i="14"/>
  <c r="H31" i="14" s="1"/>
  <c r="H15" i="14"/>
  <c r="G26" i="14"/>
  <c r="H26" i="14" s="1"/>
  <c r="G24" i="14"/>
  <c r="H24" i="14" s="1"/>
  <c r="G28" i="14"/>
  <c r="H28" i="14" s="1"/>
  <c r="G32" i="14"/>
  <c r="H32" i="14" s="1"/>
  <c r="G25" i="14"/>
  <c r="H25" i="14" s="1"/>
  <c r="G29" i="14"/>
  <c r="H29" i="14" s="1"/>
  <c r="G21" i="14"/>
  <c r="G22" i="14"/>
  <c r="H22" i="14" s="1"/>
  <c r="G30" i="14"/>
  <c r="H30" i="14" s="1"/>
  <c r="H16" i="14"/>
  <c r="G33" i="14" l="1"/>
  <c r="H21" i="14"/>
</calcChain>
</file>

<file path=xl/comments1.xml><?xml version="1.0" encoding="utf-8"?>
<comments xmlns="http://schemas.openxmlformats.org/spreadsheetml/2006/main">
  <authors>
    <author>Ilkay Onal</author>
  </authors>
  <commentList>
    <comment ref="G8" authorId="0" shapeId="0">
      <text>
        <r>
          <rPr>
            <b/>
            <sz val="9"/>
            <color indexed="81"/>
            <rFont val="Tahoma"/>
            <family val="2"/>
            <charset val="162"/>
          </rPr>
          <t>Ilkay Onal:</t>
        </r>
        <r>
          <rPr>
            <sz val="9"/>
            <color indexed="81"/>
            <rFont val="Tahoma"/>
            <family val="2"/>
            <charset val="162"/>
          </rPr>
          <t xml:space="preserve">
For silos storing clinker, the magnification factor is 1.2. The reason is the dominant dynamic effects.
</t>
        </r>
      </text>
    </comment>
  </commentList>
</comments>
</file>

<file path=xl/sharedStrings.xml><?xml version="1.0" encoding="utf-8"?>
<sst xmlns="http://schemas.openxmlformats.org/spreadsheetml/2006/main" count="821" uniqueCount="543">
  <si>
    <t>Type of particulate solid</t>
  </si>
  <si>
    <t>:</t>
  </si>
  <si>
    <r>
      <t>Lower Unit Weight,</t>
    </r>
    <r>
      <rPr>
        <sz val="11"/>
        <color theme="1"/>
        <rFont val="Arial Tur"/>
        <charset val="162"/>
      </rPr>
      <t>γl</t>
    </r>
  </si>
  <si>
    <t>t/m3</t>
  </si>
  <si>
    <r>
      <t>Upper Unit Weight,</t>
    </r>
    <r>
      <rPr>
        <sz val="11"/>
        <color theme="1"/>
        <rFont val="Arial Tur"/>
        <charset val="162"/>
      </rPr>
      <t>γu</t>
    </r>
  </si>
  <si>
    <t>Mean Lateral Pressure, Km</t>
  </si>
  <si>
    <r>
      <t xml:space="preserve">Factor Lateral Pressure, </t>
    </r>
    <r>
      <rPr>
        <sz val="11"/>
        <color theme="1"/>
        <rFont val="Arial Tur"/>
        <charset val="162"/>
      </rPr>
      <t>α</t>
    </r>
    <r>
      <rPr>
        <i/>
        <sz val="11"/>
        <color theme="1"/>
        <rFont val="Calibri"/>
        <family val="2"/>
        <charset val="162"/>
        <scheme val="minor"/>
      </rPr>
      <t>K</t>
    </r>
  </si>
  <si>
    <t>Upper Characteristic Value of K=Km*αK</t>
  </si>
  <si>
    <t>Lower Characteristic Value of K=Km/αK</t>
  </si>
  <si>
    <t>Wall Type</t>
  </si>
  <si>
    <t>D2</t>
  </si>
  <si>
    <t>Table 4.1 (Galvanized Carbon Steel)</t>
  </si>
  <si>
    <r>
      <t xml:space="preserve">Wall Friction Coefficient, </t>
    </r>
    <r>
      <rPr>
        <sz val="11"/>
        <color theme="1"/>
        <rFont val="Arial Tur"/>
        <charset val="162"/>
      </rPr>
      <t>μ</t>
    </r>
    <r>
      <rPr>
        <i/>
        <sz val="11"/>
        <color theme="1"/>
        <rFont val="Calibri"/>
        <family val="2"/>
        <charset val="162"/>
      </rPr>
      <t>m</t>
    </r>
  </si>
  <si>
    <r>
      <t>Factor Friction Coefficient, α</t>
    </r>
    <r>
      <rPr>
        <sz val="11"/>
        <color theme="1"/>
        <rFont val="Arial Tur"/>
        <charset val="162"/>
      </rPr>
      <t>μ</t>
    </r>
  </si>
  <si>
    <t>Upper Characteristic Value of μ=μm*αμ</t>
  </si>
  <si>
    <t>Lower Characteristic Value of μ=μm/αμ</t>
  </si>
  <si>
    <r>
      <t xml:space="preserve">Angle of internal Friction, </t>
    </r>
    <r>
      <rPr>
        <sz val="11"/>
        <color theme="1"/>
        <rFont val="Arial Tur"/>
        <charset val="162"/>
      </rPr>
      <t>ɸ</t>
    </r>
    <r>
      <rPr>
        <i/>
        <sz val="11"/>
        <color theme="1"/>
        <rFont val="Calibri"/>
        <family val="2"/>
        <charset val="162"/>
      </rPr>
      <t>im</t>
    </r>
  </si>
  <si>
    <t>º</t>
  </si>
  <si>
    <t>Factor Friction Coefficient, αɸ</t>
  </si>
  <si>
    <t>Upper Characteristic Value of ɸi=ɸim*αɸ</t>
  </si>
  <si>
    <t>Lower Characteristic Value of ɸi=ɸim/αɸ</t>
  </si>
  <si>
    <t>Properties of Silo</t>
  </si>
  <si>
    <t>dc: Diameter of the silo</t>
  </si>
  <si>
    <t>t: Thickness of the plate</t>
  </si>
  <si>
    <t>mm</t>
  </si>
  <si>
    <t>hc: height of vertical-walled segment of silo fromthe transition to the equivalent surface</t>
  </si>
  <si>
    <t>hh:height of hopper from theapex to the transition</t>
  </si>
  <si>
    <t>hb: overall height of silo from the hopper apex to the equivalent surface</t>
  </si>
  <si>
    <t>ho: depth below the equivalent surface of the base of top pile</t>
  </si>
  <si>
    <t>htp: total height of the top pile of the solid</t>
  </si>
  <si>
    <r>
      <t xml:space="preserve">Angle of Repose, </t>
    </r>
    <r>
      <rPr>
        <sz val="11"/>
        <color theme="1"/>
        <rFont val="Arial Tur"/>
        <charset val="162"/>
      </rPr>
      <t>ɸr</t>
    </r>
  </si>
  <si>
    <t>Preliminary Design</t>
  </si>
  <si>
    <t>i)</t>
  </si>
  <si>
    <t>hb/dc&lt;10</t>
  </si>
  <si>
    <t>hb/dc=</t>
  </si>
  <si>
    <t>ii)</t>
  </si>
  <si>
    <t>hb&lt;100m</t>
  </si>
  <si>
    <t>iii)</t>
  </si>
  <si>
    <t>dc&lt;60m</t>
  </si>
  <si>
    <t>According to AISI:  min(dc/t)=0.441 (E/fy)</t>
  </si>
  <si>
    <t>E: Modulus of Elasticity of Steel</t>
  </si>
  <si>
    <t>ton/cm2</t>
  </si>
  <si>
    <t>fy: Yield Stress of Steel Used</t>
  </si>
  <si>
    <t>t=</t>
  </si>
  <si>
    <t>Do: Outside Diameter :</t>
  </si>
  <si>
    <t>Di: Inside Diameter:</t>
  </si>
  <si>
    <t>r: Radius of Gyration:</t>
  </si>
  <si>
    <t>KL/r Ratio:</t>
  </si>
  <si>
    <t>L: Unbraced Length:</t>
  </si>
  <si>
    <t>λc: Fy/Fe</t>
  </si>
  <si>
    <t>Fe: Euler Buckling Stress:</t>
  </si>
  <si>
    <t>Fn: Flexural Buckling Stress</t>
  </si>
  <si>
    <t>Pn: Nominal Axial Strength of Member</t>
  </si>
  <si>
    <t>Ae: Effective Buckling Area</t>
  </si>
  <si>
    <t>A: Area of Cross Section</t>
  </si>
  <si>
    <t>mm2</t>
  </si>
  <si>
    <t>Ao</t>
  </si>
  <si>
    <t>R</t>
  </si>
  <si>
    <t>&lt;1.0</t>
  </si>
  <si>
    <t xml:space="preserve">Allowable Axial Load: </t>
  </si>
  <si>
    <t>tonf</t>
  </si>
  <si>
    <t>EUROCODE1- Actions on Structures- Part4 Silos and Tanks</t>
  </si>
  <si>
    <t>β: Angle of hopper with the vertical axis</t>
  </si>
  <si>
    <t>Slenderness of the silo :</t>
  </si>
  <si>
    <t>1) Loads on the vertical walls of silos</t>
  </si>
  <si>
    <t>1.1) Filling Symmetrical Load</t>
  </si>
  <si>
    <t>A: The plan cross-sectional area</t>
  </si>
  <si>
    <t>U: Internal perimeter of the plan cross-section</t>
  </si>
  <si>
    <t>ton/m2</t>
  </si>
  <si>
    <t>unitless</t>
  </si>
  <si>
    <t>YR(z)</t>
  </si>
  <si>
    <t>YR(z): Shape Function of z distance</t>
  </si>
  <si>
    <t>z(mm)</t>
  </si>
  <si>
    <t>midpoint(z)</t>
  </si>
  <si>
    <t>Phf (ton/m2)</t>
  </si>
  <si>
    <t>Pwf(ton/m2)</t>
  </si>
  <si>
    <t>Pvf : The value of vertical pressure</t>
  </si>
  <si>
    <t>zv</t>
  </si>
  <si>
    <t>Pvf(ton/m2)</t>
  </si>
  <si>
    <t>ton</t>
  </si>
  <si>
    <t>n(zSk) : The resulting caharacteristic value of the vertical force (compression)per unit length of perimeter at any depth z</t>
  </si>
  <si>
    <t>1.2) Discharge Symmetrical Load</t>
  </si>
  <si>
    <t>Ch: Discharge Factor 1</t>
  </si>
  <si>
    <t>Cw: Discharge Factor 2</t>
  </si>
  <si>
    <t>Cs: Slenderness Adjustment Farctor</t>
  </si>
  <si>
    <t xml:space="preserve">Assessment Class : </t>
  </si>
  <si>
    <t>Phe(ton/m2)</t>
  </si>
  <si>
    <t>Pwe(ton/m2)</t>
  </si>
  <si>
    <t>n(zSk) : The resulting caharacteristic value of the discharge vertical force in the wall (compression)per unit length of perimeter at any depth z</t>
  </si>
  <si>
    <t>Thickness Class of the Silo's Wall</t>
  </si>
  <si>
    <t>1.3) Filling Patch Load</t>
  </si>
  <si>
    <t>For thin walled circular silos in Action Asses. Class 2 and 3</t>
  </si>
  <si>
    <t>Cop: The patch load solid reference factor for the solid (see Table E.1)</t>
  </si>
  <si>
    <t>ef: The maximum eccentricity of the surface pile during filling</t>
  </si>
  <si>
    <t>s: The height of the zone on which the patch load is applied</t>
  </si>
  <si>
    <t>Cpf : Filling patch load factor</t>
  </si>
  <si>
    <t xml:space="preserve">Ppf: The reference magnitude of the filling patch pressure </t>
  </si>
  <si>
    <t>zp (1) : the lesser of zo and hc/2 (The approximate point of load application)</t>
  </si>
  <si>
    <t>Pho: Asymptotic horizontal pressure at great depth due to stored solid</t>
  </si>
  <si>
    <t>n: Power in hopper pressure relationship</t>
  </si>
  <si>
    <t>E : 2ef/dc (Flow channel eccentricity to silo radius ratio)</t>
  </si>
  <si>
    <t>Ppf(ton/m2)</t>
  </si>
  <si>
    <t>The load application interval based on zp distances</t>
  </si>
  <si>
    <t>-</t>
  </si>
  <si>
    <r>
      <rPr>
        <sz val="11"/>
        <color theme="1"/>
        <rFont val="Calibri"/>
        <family val="2"/>
        <charset val="162"/>
      </rPr>
      <t>θ</t>
    </r>
    <r>
      <rPr>
        <sz val="11"/>
        <color theme="1"/>
        <rFont val="Calibri"/>
        <family val="2"/>
        <charset val="162"/>
        <scheme val="minor"/>
      </rPr>
      <t>(degree)</t>
    </r>
  </si>
  <si>
    <r>
      <t>cos</t>
    </r>
    <r>
      <rPr>
        <sz val="11"/>
        <color theme="1"/>
        <rFont val="Calibri"/>
        <family val="2"/>
        <charset val="162"/>
      </rPr>
      <t>θ</t>
    </r>
  </si>
  <si>
    <t>Ppfs(ton/m2)</t>
  </si>
  <si>
    <t>Ppfs: Ppf*cosθ</t>
  </si>
  <si>
    <t>Fpf : The total horizontal force due to filling patch load on a thin walled circular silo</t>
  </si>
  <si>
    <t>1.4) Discharge Patch Load</t>
  </si>
  <si>
    <t>Ppes: Ppe*cosθ</t>
  </si>
  <si>
    <t>Ppes(ton/m2)</t>
  </si>
  <si>
    <t>eo : The eccentricity of the centre of the outlet</t>
  </si>
  <si>
    <t>Cpe : Filling patch load factor</t>
  </si>
  <si>
    <t>Ppe(ton/m2)</t>
  </si>
  <si>
    <t>Fpf : The total horizontal force due to discharge patch load on a thin walled circular silo</t>
  </si>
  <si>
    <t xml:space="preserve">Ppe: The reference magnitude of the filling patch pressure </t>
  </si>
  <si>
    <t>β: Half angle of hopper with the vertical axis</t>
  </si>
  <si>
    <t>Physical property of the hopper</t>
  </si>
  <si>
    <t>Pvf : The filling value of the vertical pressure calculated according to the slenderness of the silo with thje z coordinate equal to the height of the vertical wall hc</t>
  </si>
  <si>
    <t>Cb : Bottom load magnifier</t>
  </si>
  <si>
    <t>Pvft : The mean vertical pressure calculated at the transition between the vertical</t>
  </si>
  <si>
    <t>walled segment and the hopper</t>
  </si>
  <si>
    <t>S: The hopper shape coefficient</t>
  </si>
  <si>
    <t>Conical</t>
  </si>
  <si>
    <t>Type of hopper (Conical,Square Pyramidal,Rectangular Platform,Wedge)</t>
  </si>
  <si>
    <t>b: The width of rectangular planform</t>
  </si>
  <si>
    <t>a: The length of rectangular planform</t>
  </si>
  <si>
    <t>2) Loads on the silo hoppers</t>
  </si>
  <si>
    <t>2.1) Filling Loads</t>
  </si>
  <si>
    <t>μeff : Effective or mobilized wall frcition coef.</t>
  </si>
  <si>
    <t>Ff : The caharacteristic value of the hopper pressure ratio</t>
  </si>
  <si>
    <t>n: A parameter</t>
  </si>
  <si>
    <t>pv : The mean vertical stress at any height x above the apex of the hopper</t>
  </si>
  <si>
    <t>x(mm)</t>
  </si>
  <si>
    <t>midx</t>
  </si>
  <si>
    <t>pv(ton/m2)</t>
  </si>
  <si>
    <t>Pnf(ton/m2)</t>
  </si>
  <si>
    <t>Ptf(ton/m2)</t>
  </si>
  <si>
    <t>2.1) Discharge Loads</t>
  </si>
  <si>
    <t>Fe : The caharacteristic value of the hopper pressure ratio</t>
  </si>
  <si>
    <t>ϵ :</t>
  </si>
  <si>
    <t>Pne(ton/m2)</t>
  </si>
  <si>
    <t>Pte(ton/m2)</t>
  </si>
  <si>
    <t>a(mm)</t>
  </si>
  <si>
    <t>hor dist.</t>
  </si>
  <si>
    <t>Pnf(ton)</t>
  </si>
  <si>
    <t>Ptf(ton)</t>
  </si>
  <si>
    <t>Area(m2)</t>
  </si>
  <si>
    <t>atotal(mm)</t>
  </si>
  <si>
    <t>Perpendicular to surface</t>
  </si>
  <si>
    <r>
      <t>Vertical (Pnf sin</t>
    </r>
    <r>
      <rPr>
        <b/>
        <sz val="11"/>
        <color theme="1"/>
        <rFont val="Arial Tur"/>
        <charset val="162"/>
      </rPr>
      <t>β</t>
    </r>
    <r>
      <rPr>
        <b/>
        <sz val="11"/>
        <color theme="1"/>
        <rFont val="Calibri"/>
        <family val="2"/>
        <charset val="162"/>
      </rPr>
      <t xml:space="preserve"> + Pnt cos</t>
    </r>
    <r>
      <rPr>
        <b/>
        <sz val="11"/>
        <color theme="1"/>
        <rFont val="Arial Tur"/>
        <charset val="162"/>
      </rPr>
      <t>β</t>
    </r>
    <r>
      <rPr>
        <b/>
        <sz val="11"/>
        <color theme="1"/>
        <rFont val="Calibri"/>
        <family val="2"/>
        <charset val="162"/>
      </rPr>
      <t>)</t>
    </r>
  </si>
  <si>
    <t>hor. total(mm)</t>
  </si>
  <si>
    <r>
      <rPr>
        <i/>
        <sz val="11"/>
        <color theme="1"/>
        <rFont val="Arial Tur"/>
        <charset val="162"/>
      </rPr>
      <t>ø</t>
    </r>
    <r>
      <rPr>
        <i/>
        <sz val="11"/>
        <color theme="1"/>
        <rFont val="Calibri"/>
        <family val="2"/>
        <charset val="162"/>
      </rPr>
      <t>wh : Angle of wall friction</t>
    </r>
  </si>
  <si>
    <t>deg-rad conv.</t>
  </si>
  <si>
    <t>(*Use always the upper limit for critical design)</t>
  </si>
  <si>
    <t>(*arctan[shear stress/normal stress])</t>
  </si>
  <si>
    <t>fa: Allowable Tensile Stress of Steel</t>
  </si>
  <si>
    <t>zo: Janssen characteristic depth</t>
  </si>
  <si>
    <t>(*Horizontal Pressure/Vertical Pressure)</t>
  </si>
  <si>
    <t>Elev. (m)</t>
  </si>
  <si>
    <t>t(mm)</t>
  </si>
  <si>
    <t>DESIGN OF THE VERTICAL BIN WALLS</t>
  </si>
  <si>
    <t>Elev.(m)</t>
  </si>
  <si>
    <t>Ph(t/m2)</t>
  </si>
  <si>
    <r>
      <rPr>
        <sz val="11"/>
        <color theme="1"/>
        <rFont val="Arial Tur"/>
        <charset val="162"/>
      </rPr>
      <t>σ</t>
    </r>
    <r>
      <rPr>
        <sz val="11"/>
        <color theme="1"/>
        <rFont val="Calibri"/>
        <family val="2"/>
        <charset val="162"/>
      </rPr>
      <t>(t/cm2)</t>
    </r>
  </si>
  <si>
    <t>z (coord.)</t>
  </si>
  <si>
    <r>
      <rPr>
        <sz val="11"/>
        <color theme="1"/>
        <rFont val="Arial Tur"/>
        <charset val="162"/>
      </rPr>
      <t>σy</t>
    </r>
    <r>
      <rPr>
        <sz val="11"/>
        <color theme="1"/>
        <rFont val="Calibri"/>
        <family val="2"/>
        <charset val="162"/>
      </rPr>
      <t>(t/cm2)</t>
    </r>
  </si>
  <si>
    <r>
      <t>(When T=150C and t</t>
    </r>
    <r>
      <rPr>
        <i/>
        <sz val="11"/>
        <color theme="1"/>
        <rFont val="Arial Tur"/>
        <charset val="162"/>
      </rPr>
      <t>≤</t>
    </r>
    <r>
      <rPr>
        <i/>
        <sz val="11"/>
        <color theme="1"/>
        <rFont val="Calibri"/>
        <family val="2"/>
        <charset val="162"/>
      </rPr>
      <t>16mm)</t>
    </r>
  </si>
  <si>
    <r>
      <t>(When T=150C and 16mm</t>
    </r>
    <r>
      <rPr>
        <i/>
        <sz val="11"/>
        <color theme="1"/>
        <rFont val="Arial Tur"/>
        <charset val="162"/>
      </rPr>
      <t>≤</t>
    </r>
    <r>
      <rPr>
        <i/>
        <sz val="11"/>
        <color theme="1"/>
        <rFont val="Calibri"/>
        <family val="2"/>
        <charset val="162"/>
        <scheme val="minor"/>
      </rPr>
      <t>t</t>
    </r>
    <r>
      <rPr>
        <i/>
        <sz val="11"/>
        <color theme="1"/>
        <rFont val="Arial Tur"/>
        <charset val="162"/>
      </rPr>
      <t>≤40</t>
    </r>
    <r>
      <rPr>
        <i/>
        <sz val="11"/>
        <color theme="1"/>
        <rFont val="Calibri"/>
        <family val="2"/>
        <charset val="162"/>
      </rPr>
      <t>mm)</t>
    </r>
  </si>
  <si>
    <r>
      <rPr>
        <sz val="11"/>
        <color theme="1"/>
        <rFont val="Arial Tur"/>
        <charset val="162"/>
      </rPr>
      <t>σall</t>
    </r>
    <r>
      <rPr>
        <sz val="11"/>
        <color theme="1"/>
        <rFont val="Calibri"/>
        <family val="2"/>
        <charset val="162"/>
      </rPr>
      <t>(t/cm2)</t>
    </r>
  </si>
  <si>
    <t>Check</t>
  </si>
  <si>
    <t>*API Standard 650</t>
  </si>
  <si>
    <t>The Hoop Tension Stress Check</t>
  </si>
  <si>
    <t>Padd.(t/m2)</t>
  </si>
  <si>
    <t>Axial Compression with Hoop Tension</t>
  </si>
  <si>
    <t>*Source:Gaylord</t>
  </si>
  <si>
    <t xml:space="preserve">Live Load on Roof: </t>
  </si>
  <si>
    <t>kg/m2</t>
  </si>
  <si>
    <t>Roof Area:</t>
  </si>
  <si>
    <t>m2</t>
  </si>
  <si>
    <t>Total Live Load on Roof:</t>
  </si>
  <si>
    <t>Total Live Load on Roof per unit perimeter:</t>
  </si>
  <si>
    <t>ton/m</t>
  </si>
  <si>
    <t>Fc :The vertical stress resultant (Roof Load+Shell Load+Load Due to Material Friction)</t>
  </si>
  <si>
    <t>m</t>
  </si>
  <si>
    <t>r: Radius of cylindrical part</t>
  </si>
  <si>
    <t>Fc (ton/m)</t>
  </si>
  <si>
    <t>n(zSk) (ton/m)</t>
  </si>
  <si>
    <t>Wshell(ton/m)</t>
  </si>
  <si>
    <t>Phtotal(t/m2)</t>
  </si>
  <si>
    <t>C</t>
  </si>
  <si>
    <t>ρ</t>
  </si>
  <si>
    <t>Cp</t>
  </si>
  <si>
    <t>f_cr(p)(ton/cm2)</t>
  </si>
  <si>
    <t>f_cr(i)/1.5(ton/cm2)</t>
  </si>
  <si>
    <t>Analysis of Safety Against Buckling (DIN18800 - Part4)</t>
  </si>
  <si>
    <t>Notation:</t>
  </si>
  <si>
    <t>Cylinders satisfying equation the equation below need not be analysed for safety against buckling.</t>
  </si>
  <si>
    <t xml:space="preserve">r/t : </t>
  </si>
  <si>
    <t>t: Thickness of Shells</t>
  </si>
  <si>
    <t>tc: Reduced thickness for calculations</t>
  </si>
  <si>
    <t>Classification of the each course (Cylindrical Segments)</t>
  </si>
  <si>
    <t>l(mm)</t>
  </si>
  <si>
    <t>Segment id</t>
  </si>
  <si>
    <t>t'(mm)</t>
  </si>
  <si>
    <t>l/r</t>
  </si>
  <si>
    <t>Class</t>
  </si>
  <si>
    <t>Cx</t>
  </si>
  <si>
    <r>
      <rPr>
        <sz val="11"/>
        <color theme="1"/>
        <rFont val="Arial Tur"/>
        <charset val="162"/>
      </rPr>
      <t>σ</t>
    </r>
    <r>
      <rPr>
        <sz val="9"/>
        <color theme="1"/>
        <rFont val="Calibri"/>
        <family val="2"/>
        <charset val="162"/>
        <scheme val="minor"/>
      </rPr>
      <t>xSi (ton/cm2)</t>
    </r>
  </si>
  <si>
    <r>
      <rPr>
        <sz val="11"/>
        <color theme="1"/>
        <rFont val="Arial Tur"/>
        <charset val="162"/>
      </rPr>
      <t>λ</t>
    </r>
    <r>
      <rPr>
        <sz val="9"/>
        <color theme="1"/>
        <rFont val="Calibri"/>
        <family val="2"/>
        <charset val="162"/>
        <scheme val="minor"/>
      </rPr>
      <t>Sx</t>
    </r>
  </si>
  <si>
    <r>
      <rPr>
        <sz val="14"/>
        <color theme="1"/>
        <rFont val="Calibri"/>
        <family val="2"/>
        <charset val="162"/>
        <scheme val="minor"/>
      </rPr>
      <t>x</t>
    </r>
    <r>
      <rPr>
        <sz val="8"/>
        <color theme="1"/>
        <rFont val="Calibri"/>
        <family val="2"/>
        <charset val="162"/>
        <scheme val="minor"/>
      </rPr>
      <t>2</t>
    </r>
  </si>
  <si>
    <r>
      <rPr>
        <sz val="11"/>
        <color theme="1"/>
        <rFont val="Arial Tur"/>
        <charset val="162"/>
      </rPr>
      <t>σ</t>
    </r>
    <r>
      <rPr>
        <sz val="9"/>
        <color theme="1"/>
        <rFont val="Calibri"/>
        <family val="2"/>
        <charset val="162"/>
        <scheme val="minor"/>
      </rPr>
      <t>xS,R,k (ton/cm2)</t>
    </r>
  </si>
  <si>
    <r>
      <rPr>
        <sz val="11"/>
        <color theme="1"/>
        <rFont val="Arial Tur"/>
        <charset val="162"/>
      </rPr>
      <t>σ</t>
    </r>
    <r>
      <rPr>
        <sz val="9"/>
        <color theme="1"/>
        <rFont val="Calibri"/>
        <family val="2"/>
        <charset val="162"/>
        <scheme val="minor"/>
      </rPr>
      <t>xS,R,d (ton/cm2)</t>
    </r>
  </si>
  <si>
    <r>
      <t>γ</t>
    </r>
    <r>
      <rPr>
        <sz val="8"/>
        <color theme="1"/>
        <rFont val="Arial Tur"/>
        <charset val="162"/>
      </rPr>
      <t>m2</t>
    </r>
  </si>
  <si>
    <t>Cylindrical shells of constant wall thickness - Axial Compression</t>
  </si>
  <si>
    <t>Hoop Compression</t>
  </si>
  <si>
    <t>Equivalent c ylinder is composed of 3 courses with averaged thickness</t>
  </si>
  <si>
    <t>Elevations(m)</t>
  </si>
  <si>
    <t>Thickess(mm)</t>
  </si>
  <si>
    <t>Segment No</t>
  </si>
  <si>
    <t>Length(mm)</t>
  </si>
  <si>
    <t>Total</t>
  </si>
  <si>
    <t>to: thickness</t>
  </si>
  <si>
    <t>First equivalent segment is composed of the first 2 segments</t>
  </si>
  <si>
    <t xml:space="preserve">lo : l1+l2 </t>
  </si>
  <si>
    <t xml:space="preserve">lm : </t>
  </si>
  <si>
    <t xml:space="preserve">lu : </t>
  </si>
  <si>
    <t>tm: thickness for the 2nd equivalent segment</t>
  </si>
  <si>
    <t>Thickness(mm)</t>
  </si>
  <si>
    <t>tu: thickness for the 3rd equ. segment</t>
  </si>
  <si>
    <r>
      <t>(lo/</t>
    </r>
    <r>
      <rPr>
        <sz val="11"/>
        <color theme="1"/>
        <rFont val="Arial Tur"/>
        <charset val="162"/>
      </rPr>
      <t>β)/r</t>
    </r>
  </si>
  <si>
    <t>1.63(r/to)^0.5</t>
  </si>
  <si>
    <r>
      <rPr>
        <i/>
        <sz val="11"/>
        <color theme="1"/>
        <rFont val="Arial Tur"/>
        <charset val="162"/>
      </rPr>
      <t>Using β</t>
    </r>
    <r>
      <rPr>
        <i/>
        <sz val="11"/>
        <color theme="1"/>
        <rFont val="Calibri"/>
        <family val="2"/>
        <charset val="162"/>
      </rPr>
      <t xml:space="preserve"> charts for determination of the ideal hoop buckling stress (Figure 20. DIN18800-Part4)</t>
    </r>
  </si>
  <si>
    <t>lo/l :</t>
  </si>
  <si>
    <t>tu/to:</t>
  </si>
  <si>
    <t>tm/to:</t>
  </si>
  <si>
    <t>β :</t>
  </si>
  <si>
    <r>
      <rPr>
        <sz val="11"/>
        <color theme="1"/>
        <rFont val="Arial Tur"/>
        <charset val="162"/>
      </rPr>
      <t>λ</t>
    </r>
    <r>
      <rPr>
        <sz val="9"/>
        <color theme="1"/>
        <rFont val="Calibri"/>
        <family val="2"/>
        <charset val="162"/>
        <scheme val="minor"/>
      </rPr>
      <t>S</t>
    </r>
  </si>
  <si>
    <r>
      <t>x</t>
    </r>
    <r>
      <rPr>
        <sz val="8"/>
        <color theme="1"/>
        <rFont val="Calibri"/>
        <family val="2"/>
        <charset val="162"/>
        <scheme val="minor"/>
      </rPr>
      <t>1</t>
    </r>
  </si>
  <si>
    <r>
      <rPr>
        <sz val="11"/>
        <color theme="1"/>
        <rFont val="Arial Tur"/>
        <charset val="162"/>
      </rPr>
      <t>σ</t>
    </r>
    <r>
      <rPr>
        <sz val="10"/>
        <color theme="1"/>
        <rFont val="Calibri"/>
        <family val="2"/>
        <charset val="162"/>
      </rPr>
      <t>ϕ</t>
    </r>
    <r>
      <rPr>
        <sz val="8"/>
        <color theme="1"/>
        <rFont val="Calibri"/>
        <family val="2"/>
        <charset val="162"/>
        <scheme val="minor"/>
      </rPr>
      <t>S,R,</t>
    </r>
    <r>
      <rPr>
        <sz val="9"/>
        <color theme="1"/>
        <rFont val="Calibri"/>
        <family val="2"/>
        <charset val="162"/>
        <scheme val="minor"/>
      </rPr>
      <t>k (ton/cm2)</t>
    </r>
  </si>
  <si>
    <t>*Shells are assumed to have normal imperfection sensitivity.</t>
  </si>
  <si>
    <r>
      <rPr>
        <sz val="11"/>
        <color theme="1"/>
        <rFont val="Arial Tur"/>
        <charset val="162"/>
      </rPr>
      <t>σ</t>
    </r>
    <r>
      <rPr>
        <sz val="10"/>
        <color theme="1"/>
        <rFont val="Calibri"/>
        <family val="2"/>
        <charset val="162"/>
      </rPr>
      <t>ϕ</t>
    </r>
    <r>
      <rPr>
        <sz val="8"/>
        <color theme="1"/>
        <rFont val="Calibri"/>
        <family val="2"/>
        <charset val="162"/>
        <scheme val="minor"/>
      </rPr>
      <t>S,R,d</t>
    </r>
    <r>
      <rPr>
        <sz val="9"/>
        <color theme="1"/>
        <rFont val="Calibri"/>
        <family val="2"/>
        <charset val="162"/>
        <scheme val="minor"/>
      </rPr>
      <t xml:space="preserve"> (ton/cm2)</t>
    </r>
  </si>
  <si>
    <t>For very narrow bays between stiffeners of ring-stiffened cylinders ;</t>
  </si>
  <si>
    <r>
      <rPr>
        <sz val="11"/>
        <color theme="1"/>
        <rFont val="Arial Tur"/>
        <charset val="162"/>
      </rPr>
      <t>σ</t>
    </r>
    <r>
      <rPr>
        <sz val="9"/>
        <color theme="1"/>
        <rFont val="Calibri"/>
        <family val="2"/>
        <charset val="162"/>
      </rPr>
      <t>ϕ</t>
    </r>
    <r>
      <rPr>
        <sz val="9"/>
        <color theme="1"/>
        <rFont val="Calibri"/>
        <family val="2"/>
        <charset val="162"/>
        <scheme val="minor"/>
      </rPr>
      <t>Si (ton/cm2)</t>
    </r>
  </si>
  <si>
    <t>ψ :</t>
  </si>
  <si>
    <r>
      <t>l</t>
    </r>
    <r>
      <rPr>
        <i/>
        <sz val="8"/>
        <color theme="1"/>
        <rFont val="Calibri"/>
        <family val="2"/>
        <charset val="162"/>
        <scheme val="minor"/>
      </rPr>
      <t>R</t>
    </r>
    <r>
      <rPr>
        <i/>
        <sz val="11"/>
        <color theme="1"/>
        <rFont val="Calibri"/>
        <family val="2"/>
        <charset val="162"/>
        <scheme val="minor"/>
      </rPr>
      <t xml:space="preserve">:  </t>
    </r>
  </si>
  <si>
    <t>A factor</t>
  </si>
  <si>
    <r>
      <t>A</t>
    </r>
    <r>
      <rPr>
        <i/>
        <sz val="8"/>
        <color theme="1"/>
        <rFont val="Calibri"/>
        <family val="2"/>
        <charset val="162"/>
        <scheme val="minor"/>
      </rPr>
      <t>R</t>
    </r>
    <r>
      <rPr>
        <i/>
        <sz val="11"/>
        <color theme="1"/>
        <rFont val="Calibri"/>
        <family val="2"/>
        <charset val="162"/>
        <scheme val="minor"/>
      </rPr>
      <t>:</t>
    </r>
  </si>
  <si>
    <t xml:space="preserve">b: </t>
  </si>
  <si>
    <t>Distance between the ring stiffeners</t>
  </si>
  <si>
    <t>Cross sectional area of the ring stiffener</t>
  </si>
  <si>
    <t>Flange width of the ring stiffener</t>
  </si>
  <si>
    <t xml:space="preserve">l: </t>
  </si>
  <si>
    <r>
      <t>l</t>
    </r>
    <r>
      <rPr>
        <sz val="8"/>
        <color theme="1"/>
        <rFont val="Calibri"/>
        <family val="2"/>
        <charset val="162"/>
        <scheme val="minor"/>
      </rPr>
      <t>R</t>
    </r>
    <r>
      <rPr>
        <sz val="11"/>
        <color theme="1"/>
        <rFont val="Calibri"/>
        <family val="2"/>
        <charset val="162"/>
        <scheme val="minor"/>
      </rPr>
      <t xml:space="preserve">-b </t>
    </r>
  </si>
  <si>
    <r>
      <rPr>
        <i/>
        <sz val="11"/>
        <color theme="1"/>
        <rFont val="Arial Tur"/>
        <charset val="162"/>
      </rPr>
      <t>σ</t>
    </r>
    <r>
      <rPr>
        <i/>
        <sz val="8"/>
        <color theme="1"/>
        <rFont val="Calibri"/>
        <family val="2"/>
        <charset val="162"/>
      </rPr>
      <t>ϕ</t>
    </r>
    <r>
      <rPr>
        <i/>
        <sz val="9"/>
        <color theme="1"/>
        <rFont val="Calibri"/>
        <family val="2"/>
        <charset val="162"/>
        <scheme val="minor"/>
      </rPr>
      <t xml:space="preserve"> (ton/cm2) :</t>
    </r>
  </si>
  <si>
    <t>Design of The Ring Girder</t>
  </si>
  <si>
    <t>The circular girder supports the weight of the shell, the contents on the bin and the own weight of girder.</t>
  </si>
  <si>
    <t>Steel Structures Theory and Design)</t>
  </si>
  <si>
    <t>Steel ring girders should be designed for an allowable stress of 10000 psi (0.7 t/cm2). (According to : Troitsky, Tubular</t>
  </si>
  <si>
    <t>i)Calculation of the total load on supports</t>
  </si>
  <si>
    <t>Vcone: Volume of the cone</t>
  </si>
  <si>
    <t>R: Inlet radius of the cone</t>
  </si>
  <si>
    <t>r: Outlet radius of the cone</t>
  </si>
  <si>
    <t>h: Height of the cone</t>
  </si>
  <si>
    <t>m3</t>
  </si>
  <si>
    <t>Vcylinder: Volume of the cylindrical part</t>
  </si>
  <si>
    <t>Wmaterial: Total material weight on three supports</t>
  </si>
  <si>
    <t>th: Thickness of hopper</t>
  </si>
  <si>
    <t>Self weight of cylindrical part:</t>
  </si>
  <si>
    <t>Self weight of conical part:</t>
  </si>
  <si>
    <t>Total weight:</t>
  </si>
  <si>
    <t>*There are 3 supports</t>
  </si>
  <si>
    <t>Wd: Distributed load on the circular girder</t>
  </si>
  <si>
    <r>
      <t>M</t>
    </r>
    <r>
      <rPr>
        <i/>
        <sz val="8"/>
        <color theme="1"/>
        <rFont val="Calibri"/>
        <family val="2"/>
        <charset val="162"/>
        <scheme val="minor"/>
      </rPr>
      <t>support</t>
    </r>
    <r>
      <rPr>
        <i/>
        <sz val="11"/>
        <color theme="1"/>
        <rFont val="Calibri"/>
        <family val="2"/>
        <charset val="162"/>
        <scheme val="minor"/>
      </rPr>
      <t>: Support Moment</t>
    </r>
  </si>
  <si>
    <t>N: Number of columns</t>
  </si>
  <si>
    <t>α : 2*Π/N</t>
  </si>
  <si>
    <t>degree</t>
  </si>
  <si>
    <t>ton.m</t>
  </si>
  <si>
    <r>
      <t>M</t>
    </r>
    <r>
      <rPr>
        <i/>
        <sz val="8"/>
        <color theme="1"/>
        <rFont val="Calibri"/>
        <family val="2"/>
        <charset val="162"/>
      </rPr>
      <t>span</t>
    </r>
    <r>
      <rPr>
        <i/>
        <sz val="11"/>
        <color theme="1"/>
        <rFont val="Calibri"/>
        <family val="2"/>
        <charset val="162"/>
      </rPr>
      <t>: Span Moment</t>
    </r>
  </si>
  <si>
    <t>A: Area of the cross section of the stiffener ring</t>
  </si>
  <si>
    <t>Ixx: Moment of inertia of the cross section</t>
  </si>
  <si>
    <t>mm4</t>
  </si>
  <si>
    <t>Wxx: Section modulus</t>
  </si>
  <si>
    <t>mm3</t>
  </si>
  <si>
    <r>
      <t>σ</t>
    </r>
    <r>
      <rPr>
        <sz val="8"/>
        <color theme="1"/>
        <rFont val="Arial Tur"/>
        <charset val="162"/>
      </rPr>
      <t xml:space="preserve">max: </t>
    </r>
    <r>
      <rPr>
        <sz val="11"/>
        <color theme="1"/>
        <rFont val="Calibri"/>
        <family val="2"/>
        <charset val="162"/>
        <scheme val="minor"/>
      </rPr>
      <t>Maximum stress</t>
    </r>
  </si>
  <si>
    <t>ii) Bending Moments and Stress Check</t>
  </si>
  <si>
    <t>*Buckling of Flat Plates (Gaylord: Design of Steel Bins for Storage of Bulk Solids)</t>
  </si>
  <si>
    <t>k: Coefficient dependent on the nature of loading, and the ratio a/b</t>
  </si>
  <si>
    <t>b: The plate dimension which is perpendicular to the loading</t>
  </si>
  <si>
    <t>a: The plate unbraced length in the direction of bending</t>
  </si>
  <si>
    <t>μ: Poisson's ratio</t>
  </si>
  <si>
    <r>
      <rPr>
        <i/>
        <sz val="11"/>
        <color theme="1"/>
        <rFont val="Arial Tur"/>
        <charset val="162"/>
      </rPr>
      <t>σ</t>
    </r>
    <r>
      <rPr>
        <i/>
        <sz val="9"/>
        <color theme="1"/>
        <rFont val="Calibri"/>
        <family val="2"/>
        <charset val="162"/>
      </rPr>
      <t>cr :</t>
    </r>
    <r>
      <rPr>
        <i/>
        <sz val="11"/>
        <color theme="1"/>
        <rFont val="Calibri"/>
        <family val="2"/>
        <charset val="162"/>
      </rPr>
      <t xml:space="preserve"> Critical buckling load of the stiffener plates</t>
    </r>
  </si>
  <si>
    <t>ts: Thickness of the stiffener</t>
  </si>
  <si>
    <t>R: Vertical reaction force at each support</t>
  </si>
  <si>
    <t xml:space="preserve">n: Number of stiffeners at the support </t>
  </si>
  <si>
    <r>
      <t xml:space="preserve">σ: </t>
    </r>
    <r>
      <rPr>
        <sz val="11"/>
        <color theme="1"/>
        <rFont val="Calibri"/>
        <family val="2"/>
        <charset val="162"/>
        <scheme val="minor"/>
      </rPr>
      <t>Stress at the stiffener cross section</t>
    </r>
  </si>
  <si>
    <t>Design of The Hopper</t>
  </si>
  <si>
    <t>iii) Vertical stiffener buckling check in conical section</t>
  </si>
  <si>
    <t>Wmaterial in the cone:</t>
  </si>
  <si>
    <t>Nm: Meridional Tension</t>
  </si>
  <si>
    <t>Pv: Vertical pressure at the top level of the cone</t>
  </si>
  <si>
    <t>W: total weight</t>
  </si>
  <si>
    <r>
      <rPr>
        <i/>
        <sz val="11"/>
        <color theme="1"/>
        <rFont val="Calibri"/>
        <family val="2"/>
        <charset val="162"/>
      </rPr>
      <t>θ</t>
    </r>
    <r>
      <rPr>
        <i/>
        <sz val="11"/>
        <color theme="1"/>
        <rFont val="Calibri"/>
        <family val="2"/>
        <charset val="162"/>
        <scheme val="minor"/>
      </rPr>
      <t>: Half angle of hopper with the vertical axis</t>
    </r>
  </si>
  <si>
    <t>kip/in</t>
  </si>
  <si>
    <t>(According to Gaylord)</t>
  </si>
  <si>
    <t xml:space="preserve">p': Pressure normal to the surface </t>
  </si>
  <si>
    <t>Nh: Hoop tension</t>
  </si>
  <si>
    <t>tc: Thickness demand for hopper</t>
  </si>
  <si>
    <t>Allowable tensile stress (Using API650)</t>
  </si>
  <si>
    <r>
      <t>M</t>
    </r>
    <r>
      <rPr>
        <i/>
        <sz val="9"/>
        <color theme="1"/>
        <rFont val="Calibri"/>
        <family val="2"/>
        <charset val="162"/>
        <scheme val="minor"/>
      </rPr>
      <t>max</t>
    </r>
    <r>
      <rPr>
        <i/>
        <sz val="11"/>
        <color theme="1"/>
        <rFont val="Calibri"/>
        <family val="2"/>
        <charset val="162"/>
        <scheme val="minor"/>
      </rPr>
      <t>: Maximum bending moment</t>
    </r>
  </si>
  <si>
    <t>t.cm/cm</t>
  </si>
  <si>
    <t>σ : M/W</t>
  </si>
  <si>
    <t>t/cm2</t>
  </si>
  <si>
    <r>
      <t>σ</t>
    </r>
    <r>
      <rPr>
        <i/>
        <sz val="9"/>
        <color theme="1"/>
        <rFont val="Calibri"/>
        <family val="2"/>
        <charset val="162"/>
        <scheme val="minor"/>
      </rPr>
      <t>all</t>
    </r>
    <r>
      <rPr>
        <i/>
        <sz val="11"/>
        <color theme="1"/>
        <rFont val="Calibri"/>
        <family val="2"/>
        <charset val="162"/>
        <scheme val="minor"/>
      </rPr>
      <t>: Allowable stress</t>
    </r>
  </si>
  <si>
    <t>Stresses at Hopper Cylinder Junction</t>
  </si>
  <si>
    <t>Local bending stresses at the hopper-cylinder transition can be determined as:</t>
  </si>
  <si>
    <r>
      <t>A</t>
    </r>
    <r>
      <rPr>
        <i/>
        <sz val="9"/>
        <color theme="1"/>
        <rFont val="Calibri"/>
        <family val="2"/>
        <charset val="162"/>
        <scheme val="minor"/>
      </rPr>
      <t>r</t>
    </r>
    <r>
      <rPr>
        <i/>
        <sz val="11"/>
        <color theme="1"/>
        <rFont val="Calibri"/>
        <family val="2"/>
        <charset val="162"/>
        <scheme val="minor"/>
      </rPr>
      <t>: Cross sectional area of ring</t>
    </r>
  </si>
  <si>
    <t>in2</t>
  </si>
  <si>
    <t>ts: Thickness of skirt</t>
  </si>
  <si>
    <t>in</t>
  </si>
  <si>
    <t>tc : Thickness of cylinder</t>
  </si>
  <si>
    <t>r: Radius of the cylinder</t>
  </si>
  <si>
    <t>Ph: Horizontal pressure on cylinder junction</t>
  </si>
  <si>
    <t>psi</t>
  </si>
  <si>
    <t>p' : Normal pressure on hopper junction</t>
  </si>
  <si>
    <t>Nm: Meridional tension on hopper</t>
  </si>
  <si>
    <t>lb/in</t>
  </si>
  <si>
    <t xml:space="preserve">T: </t>
  </si>
  <si>
    <t>in^(2.5)</t>
  </si>
  <si>
    <t>a1: A coefficient</t>
  </si>
  <si>
    <t>a2: A coefficient</t>
  </si>
  <si>
    <t>a3: A coefficient</t>
  </si>
  <si>
    <t xml:space="preserve">Bc: </t>
  </si>
  <si>
    <t>Bh:</t>
  </si>
  <si>
    <t>Bs:</t>
  </si>
  <si>
    <t>Mc:</t>
  </si>
  <si>
    <t>Mh:</t>
  </si>
  <si>
    <t>Ms:</t>
  </si>
  <si>
    <t>lb-in</t>
  </si>
  <si>
    <t>fr: The ring stress</t>
  </si>
  <si>
    <t>Nh: Meridional tensionfor the hopper</t>
  </si>
  <si>
    <t>Nc: Axial stress in the cylinder</t>
  </si>
  <si>
    <t>ksi</t>
  </si>
  <si>
    <t>fm limits for cylinder:</t>
  </si>
  <si>
    <t>fm limits for hopper:</t>
  </si>
  <si>
    <t>f1</t>
  </si>
  <si>
    <t>f3</t>
  </si>
  <si>
    <t>f2</t>
  </si>
  <si>
    <t>Cylinder (ksi)</t>
  </si>
  <si>
    <t>Hopper (ksi)</t>
  </si>
  <si>
    <t>DEAD</t>
  </si>
  <si>
    <t>Silo zati ağırlığı ve çatı üzerindeki ölü yükler için</t>
  </si>
  <si>
    <t>Ph-fill</t>
  </si>
  <si>
    <t>LIVE</t>
  </si>
  <si>
    <t>L</t>
  </si>
  <si>
    <t>D</t>
  </si>
  <si>
    <t>Çatı üzerindeki hareketli yük (500 kgf/m2)</t>
  </si>
  <si>
    <t>Malzemenin dolum esnasında silo duvarına uyguladığı yatay basınç</t>
  </si>
  <si>
    <t>Malzemenin dolum esnasında silo duvarına uyguladığı sürtünme kuvveti</t>
  </si>
  <si>
    <t>Malzeme boşaltımı esnasında silo duvarına uyguladığı sürtünme kuvveti</t>
  </si>
  <si>
    <t>Malzeme boşaltımı esnasında silo duvarına uyguladığı yatay basınç</t>
  </si>
  <si>
    <t>Pw-fill</t>
  </si>
  <si>
    <t>Pw-disc</t>
  </si>
  <si>
    <t>Pp-fill</t>
  </si>
  <si>
    <t>Ansimetrik yükleme sırasında oluşabilecek yükler</t>
  </si>
  <si>
    <t>Ph-disch</t>
  </si>
  <si>
    <t>Pp-disch</t>
  </si>
  <si>
    <t>Ansimetrik boşaltım sırasında oluşabilecek yükler</t>
  </si>
  <si>
    <t>EQ_x</t>
  </si>
  <si>
    <t>QUAKE</t>
  </si>
  <si>
    <t>EQ_y</t>
  </si>
  <si>
    <t>X-doğrultusundaki sismik yükler</t>
  </si>
  <si>
    <t>Y-doğrultusundaki sismik yükler</t>
  </si>
  <si>
    <t>YÜKLEME DURUMLARI</t>
  </si>
  <si>
    <t xml:space="preserve">  YÜK KOMBİNASYONLARI</t>
  </si>
  <si>
    <t>Kombinasyon Adı</t>
  </si>
  <si>
    <t>1.0 D+1.0 L+1.0 Ph-fill+1.0 Pw-fill+1.0 Pp-fill</t>
  </si>
  <si>
    <t xml:space="preserve">COMB1 - Dolum </t>
  </si>
  <si>
    <t>COMB2 - Boşaltma</t>
  </si>
  <si>
    <t>Yükler</t>
  </si>
  <si>
    <t>1.0 D+1.0 L+1.0 Ph-disch+1.0 Pw-disch+1.0 Pp-disch</t>
  </si>
  <si>
    <t>1.0 D+1.0 L+1.0 Ph-fill+1.0 Pw-fill+1.0 Pp-fill+1.0 Ex+0.3 Ey</t>
  </si>
  <si>
    <t>1.0 D+1.0 L+1.0 Ph-fill+1.0 Pw-fill+1.0 Pp-fill+1.0 Ey+0.3 Ex</t>
  </si>
  <si>
    <t>COMB3 - Sismik, Boş Silo</t>
  </si>
  <si>
    <t>0.9 D+1.0 L+1.0 Ex+0.3 Ey</t>
  </si>
  <si>
    <t>0.9 D+1.0 L+1.0 Ey+0.3 Ex</t>
  </si>
  <si>
    <t xml:space="preserve">COMB3 - Sismik, Dolu Silo </t>
  </si>
  <si>
    <t>hhop: Clear height of the hopper from tech. Drawings</t>
  </si>
  <si>
    <t>h: Height of the cylindrical part</t>
  </si>
  <si>
    <t>The Calculations Below are for Intermediate Slender and Squat Silos</t>
  </si>
  <si>
    <t>*2 mm tolerance is added to cover the losses due to corrosion.</t>
  </si>
  <si>
    <t>25mm</t>
  </si>
  <si>
    <t>20mm</t>
  </si>
  <si>
    <t>6.8-8.3</t>
  </si>
  <si>
    <t>8.3-9.8</t>
  </si>
  <si>
    <t>15mm</t>
  </si>
  <si>
    <t>3.8-5.3</t>
  </si>
  <si>
    <t>5.3-6.8</t>
  </si>
  <si>
    <t>9.8-11.3</t>
  </si>
  <si>
    <t>11.3-15.8</t>
  </si>
  <si>
    <t>d:depth</t>
  </si>
  <si>
    <t>ls: length of stif.</t>
  </si>
  <si>
    <t>tw:thickness wall</t>
  </si>
  <si>
    <t>tr:thickness of ring.</t>
  </si>
  <si>
    <t>Eşdeğer Deprem Yükü Yöntemi (DY-2007)</t>
  </si>
  <si>
    <r>
      <t>T</t>
    </r>
    <r>
      <rPr>
        <i/>
        <sz val="8"/>
        <color theme="1"/>
        <rFont val="Calibri"/>
        <family val="2"/>
        <charset val="162"/>
        <scheme val="minor"/>
      </rPr>
      <t>A</t>
    </r>
    <r>
      <rPr>
        <i/>
        <sz val="11"/>
        <color theme="1"/>
        <rFont val="Calibri"/>
        <family val="2"/>
        <charset val="162"/>
        <scheme val="minor"/>
      </rPr>
      <t>: Spektrum karakteristik periyodu</t>
    </r>
  </si>
  <si>
    <r>
      <t>T</t>
    </r>
    <r>
      <rPr>
        <i/>
        <sz val="8"/>
        <color theme="1"/>
        <rFont val="Calibri"/>
        <family val="2"/>
        <charset val="162"/>
        <scheme val="minor"/>
      </rPr>
      <t>B</t>
    </r>
    <r>
      <rPr>
        <i/>
        <sz val="11"/>
        <color theme="1"/>
        <rFont val="Calibri"/>
        <family val="2"/>
        <charset val="162"/>
        <scheme val="minor"/>
      </rPr>
      <t>: Spektrum karakteristik periyodu</t>
    </r>
  </si>
  <si>
    <t>T: Yapının ilk modu için doğal periyodu</t>
  </si>
  <si>
    <t>R: Taşıyıcı sistem davranış katsayısı</t>
  </si>
  <si>
    <t>S(T): Spektrum katsayısı</t>
  </si>
  <si>
    <t>Ao: Etkin yer ivmesi katsayısı</t>
  </si>
  <si>
    <t>I: Bina önem katsayısı</t>
  </si>
  <si>
    <t>Vt: Toplam taban kesme kuvveti</t>
  </si>
  <si>
    <t>W: Binanın hareketli yük katılımı ile toplam ağırlığı</t>
  </si>
  <si>
    <t>Zemin Sınıfı</t>
  </si>
  <si>
    <t>Z1</t>
  </si>
  <si>
    <t>Z2</t>
  </si>
  <si>
    <t>Z3</t>
  </si>
  <si>
    <t>Z4</t>
  </si>
  <si>
    <t>TA</t>
  </si>
  <si>
    <t>TB</t>
  </si>
  <si>
    <t>sn</t>
  </si>
  <si>
    <t>Deprem Bölgesi</t>
  </si>
  <si>
    <t>a</t>
  </si>
  <si>
    <t>Ra(T): Deprem yükü azaltma katsayısı</t>
  </si>
  <si>
    <t>A(T): Spektral ivme katsayısı</t>
  </si>
  <si>
    <r>
      <t>S</t>
    </r>
    <r>
      <rPr>
        <i/>
        <sz val="9"/>
        <color theme="1"/>
        <rFont val="Calibri"/>
        <family val="2"/>
        <charset val="162"/>
        <scheme val="minor"/>
      </rPr>
      <t>ae</t>
    </r>
    <r>
      <rPr>
        <i/>
        <sz val="11"/>
        <color theme="1"/>
        <rFont val="Calibri"/>
        <family val="2"/>
        <charset val="162"/>
        <scheme val="minor"/>
      </rPr>
      <t>(T): Elastik spektral ivme</t>
    </r>
  </si>
  <si>
    <t>m/s2</t>
  </si>
  <si>
    <t>Segment #</t>
  </si>
  <si>
    <t>0-0.95</t>
  </si>
  <si>
    <t>0.95-1.9</t>
  </si>
  <si>
    <t>1.9-2.85</t>
  </si>
  <si>
    <t>2.85-3.8</t>
  </si>
  <si>
    <t>6.8-8.0</t>
  </si>
  <si>
    <t>8.0-9.8</t>
  </si>
  <si>
    <t>11.3-12.8</t>
  </si>
  <si>
    <t>12.8-14.3</t>
  </si>
  <si>
    <t>14.3-15.8</t>
  </si>
  <si>
    <r>
      <t>w</t>
    </r>
    <r>
      <rPr>
        <sz val="9"/>
        <color theme="1"/>
        <rFont val="Calibri"/>
        <family val="2"/>
        <charset val="162"/>
        <scheme val="minor"/>
      </rPr>
      <t>i</t>
    </r>
    <r>
      <rPr>
        <sz val="11"/>
        <color theme="1"/>
        <rFont val="Calibri"/>
        <family val="2"/>
        <charset val="162"/>
        <scheme val="minor"/>
      </rPr>
      <t>(tonf)</t>
    </r>
  </si>
  <si>
    <t>Koni Segment</t>
  </si>
  <si>
    <t>b</t>
  </si>
  <si>
    <t>Hacim</t>
  </si>
  <si>
    <t>Silindir Segment</t>
  </si>
  <si>
    <t>Alan</t>
  </si>
  <si>
    <t>hi(m)</t>
  </si>
  <si>
    <t>Fi(tonf)</t>
  </si>
  <si>
    <t>wjHj</t>
  </si>
  <si>
    <t>*Hopper Part</t>
  </si>
  <si>
    <t>Using Formulas for Flat Plates with Straight Boundaries and Constant Thickness</t>
  </si>
  <si>
    <t>Roark's Formulas for Stress and Strain 7th Edition</t>
  </si>
  <si>
    <t>q: Distributed load on the slab</t>
  </si>
  <si>
    <t>Rectangular Plate, all edges fixed</t>
  </si>
  <si>
    <t>a/b</t>
  </si>
  <si>
    <r>
      <rPr>
        <sz val="11"/>
        <color theme="1"/>
        <rFont val="Arial Tur"/>
        <charset val="162"/>
      </rPr>
      <t>β</t>
    </r>
    <r>
      <rPr>
        <sz val="11"/>
        <color theme="1"/>
        <rFont val="Calibri"/>
        <family val="2"/>
        <charset val="162"/>
      </rPr>
      <t>1</t>
    </r>
  </si>
  <si>
    <t>β2</t>
  </si>
  <si>
    <t>α</t>
  </si>
  <si>
    <t>Inf.</t>
  </si>
  <si>
    <t>b: Short edge</t>
  </si>
  <si>
    <t>a: Long edge</t>
  </si>
  <si>
    <t>a/b: The ratio</t>
  </si>
  <si>
    <t>α: A constant</t>
  </si>
  <si>
    <r>
      <t xml:space="preserve">γ: </t>
    </r>
    <r>
      <rPr>
        <i/>
        <sz val="11"/>
        <color theme="1"/>
        <rFont val="Calibri"/>
        <family val="2"/>
        <charset val="162"/>
        <scheme val="minor"/>
      </rPr>
      <t>A constant</t>
    </r>
  </si>
  <si>
    <r>
      <rPr>
        <i/>
        <sz val="11"/>
        <color theme="1"/>
        <rFont val="Arial Tur"/>
        <charset val="162"/>
      </rPr>
      <t>β</t>
    </r>
    <r>
      <rPr>
        <i/>
        <sz val="9"/>
        <color theme="1"/>
        <rFont val="Calibri"/>
        <family val="2"/>
        <charset val="162"/>
      </rPr>
      <t>1</t>
    </r>
    <r>
      <rPr>
        <i/>
        <sz val="11"/>
        <color theme="1"/>
        <rFont val="Calibri"/>
        <family val="2"/>
        <charset val="162"/>
      </rPr>
      <t>: A constant</t>
    </r>
  </si>
  <si>
    <r>
      <rPr>
        <i/>
        <sz val="11"/>
        <color theme="1"/>
        <rFont val="Arial Tur"/>
        <charset val="162"/>
      </rPr>
      <t>β</t>
    </r>
    <r>
      <rPr>
        <i/>
        <sz val="8"/>
        <color theme="1"/>
        <rFont val="Arial Tur"/>
        <charset val="162"/>
      </rPr>
      <t>2</t>
    </r>
    <r>
      <rPr>
        <i/>
        <sz val="11"/>
        <color theme="1"/>
        <rFont val="Calibri"/>
        <family val="2"/>
        <charset val="162"/>
      </rPr>
      <t>: A constant</t>
    </r>
  </si>
  <si>
    <r>
      <t>R</t>
    </r>
    <r>
      <rPr>
        <i/>
        <sz val="9"/>
        <color theme="1"/>
        <rFont val="Calibri"/>
        <family val="2"/>
        <charset val="162"/>
        <scheme val="minor"/>
      </rPr>
      <t>max</t>
    </r>
    <r>
      <rPr>
        <i/>
        <sz val="11"/>
        <color theme="1"/>
        <rFont val="Calibri"/>
        <family val="2"/>
        <charset val="162"/>
        <scheme val="minor"/>
      </rPr>
      <t>: Max. Reaction force per unit length by the boundary</t>
    </r>
  </si>
  <si>
    <r>
      <t>σ</t>
    </r>
    <r>
      <rPr>
        <i/>
        <sz val="9"/>
        <color theme="1"/>
        <rFont val="Calibri"/>
        <family val="2"/>
        <charset val="162"/>
        <scheme val="minor"/>
      </rPr>
      <t>max</t>
    </r>
    <r>
      <rPr>
        <i/>
        <sz val="11"/>
        <color theme="1"/>
        <rFont val="Calibri"/>
        <family val="2"/>
        <charset val="162"/>
        <scheme val="minor"/>
      </rPr>
      <t>: Maximum stress on the slab (At center)</t>
    </r>
  </si>
  <si>
    <r>
      <rPr>
        <i/>
        <sz val="11"/>
        <color theme="1"/>
        <rFont val="Arial Tur"/>
        <charset val="162"/>
      </rPr>
      <t>β</t>
    </r>
    <r>
      <rPr>
        <i/>
        <sz val="11"/>
        <color theme="1"/>
        <rFont val="Calibri"/>
        <family val="2"/>
        <charset val="162"/>
      </rPr>
      <t>: A constant</t>
    </r>
  </si>
  <si>
    <t>Slab Boundary Conditions</t>
  </si>
  <si>
    <t>All edges simply supported</t>
  </si>
  <si>
    <t>BCs</t>
  </si>
  <si>
    <t>3 edges simply, 1 edge free</t>
  </si>
  <si>
    <t>3 edges simply, 1 edge fixed</t>
  </si>
  <si>
    <t>2 edges simply, 2 edges fixed</t>
  </si>
  <si>
    <t>1 edge fixed, 2 edges simply, 1 edge free</t>
  </si>
  <si>
    <t>4 edges fixed</t>
  </si>
  <si>
    <t>3 edges fixed, 1 edge free</t>
  </si>
  <si>
    <t>t: thickness of plate</t>
  </si>
  <si>
    <r>
      <t>y</t>
    </r>
    <r>
      <rPr>
        <i/>
        <sz val="8"/>
        <color theme="1"/>
        <rFont val="Calibri"/>
        <family val="2"/>
        <charset val="162"/>
        <scheme val="minor"/>
      </rPr>
      <t>max</t>
    </r>
    <r>
      <rPr>
        <i/>
        <sz val="11"/>
        <color theme="1"/>
        <rFont val="Calibri"/>
        <family val="2"/>
        <charset val="162"/>
        <scheme val="minor"/>
      </rPr>
      <t>: Maximum deflection</t>
    </r>
  </si>
  <si>
    <t>Deflection limit:L/353</t>
  </si>
  <si>
    <t>Stress Combination</t>
  </si>
  <si>
    <r>
      <rPr>
        <sz val="11"/>
        <color theme="1"/>
        <rFont val="Arial Tur"/>
        <charset val="162"/>
      </rPr>
      <t>σ</t>
    </r>
    <r>
      <rPr>
        <sz val="9"/>
        <color theme="1"/>
        <rFont val="Calibri"/>
        <family val="2"/>
        <charset val="162"/>
        <scheme val="minor"/>
      </rPr>
      <t>x (ton/cm2)</t>
    </r>
  </si>
  <si>
    <r>
      <rPr>
        <sz val="11"/>
        <color theme="1"/>
        <rFont val="Arial Tur"/>
        <charset val="162"/>
      </rPr>
      <t>σ</t>
    </r>
    <r>
      <rPr>
        <sz val="10"/>
        <color theme="1"/>
        <rFont val="Calibri"/>
        <family val="2"/>
        <charset val="162"/>
      </rPr>
      <t>ϕ</t>
    </r>
    <r>
      <rPr>
        <sz val="9"/>
        <color theme="1"/>
        <rFont val="Calibri"/>
        <family val="2"/>
        <charset val="162"/>
        <scheme val="minor"/>
      </rPr>
      <t xml:space="preserve"> (ton/cm2)</t>
    </r>
  </si>
  <si>
    <t>Ratio Combined</t>
  </si>
  <si>
    <t>Ratio in x</t>
  </si>
  <si>
    <r>
      <t xml:space="preserve">Ratio in </t>
    </r>
    <r>
      <rPr>
        <sz val="11"/>
        <color theme="1"/>
        <rFont val="Calibri"/>
        <family val="2"/>
        <charset val="162"/>
      </rPr>
      <t>ϕ</t>
    </r>
  </si>
  <si>
    <t>W: Section Modulus for 1m strip of hopper</t>
  </si>
  <si>
    <t>Particulate Solid Properties (Eurocede 1 - Actions on Structures : Table E.1)</t>
  </si>
  <si>
    <t>Clinker</t>
  </si>
  <si>
    <t>LOAD CASES</t>
  </si>
  <si>
    <t>LOAD</t>
  </si>
  <si>
    <t>LOAD CASE NAME</t>
  </si>
  <si>
    <t>EXPLANATION</t>
  </si>
  <si>
    <t>NO</t>
  </si>
  <si>
    <t>Self weight of silo and the load on roof</t>
  </si>
  <si>
    <t>Live load on the roof (150 kgf/m2)</t>
  </si>
  <si>
    <t>Horizontal pressure of the material on the silo wall, changing with height (filling)</t>
  </si>
  <si>
    <t>Frictional pressure of the material on the silo wall, changing with height (filling)</t>
  </si>
  <si>
    <t>Horizontal pressure of the material on the silo wall, changing with height (discharging)</t>
  </si>
  <si>
    <t>Frictional pressure of the material on the silo wall, changing with height (discharging)</t>
  </si>
  <si>
    <t>Loads due to unsymmetrical loading of the silo</t>
  </si>
  <si>
    <t>Loads due to unsymmetrically discharging of the silo</t>
  </si>
  <si>
    <t>Seismic loads in x-direction</t>
  </si>
  <si>
    <t>Seismic loads in y-direction</t>
  </si>
  <si>
    <t>LOAD COMBINATIONS</t>
  </si>
  <si>
    <t>Name of the Combination</t>
  </si>
  <si>
    <t>Loads</t>
  </si>
  <si>
    <t xml:space="preserve">COMB1 - Filling </t>
  </si>
  <si>
    <t>COMB2 - Discharging</t>
  </si>
  <si>
    <t xml:space="preserve">COMB3 - Seismic, Full Silo </t>
  </si>
  <si>
    <t>COMB3 - Seismic, Empty Silo</t>
  </si>
  <si>
    <t>Equivalent Earthquake Loads Method</t>
  </si>
  <si>
    <t>Soil Class</t>
  </si>
  <si>
    <t>Seismic Zone</t>
  </si>
  <si>
    <r>
      <t>T</t>
    </r>
    <r>
      <rPr>
        <i/>
        <sz val="8"/>
        <color theme="1"/>
        <rFont val="Calibri"/>
        <family val="2"/>
        <charset val="162"/>
        <scheme val="minor"/>
      </rPr>
      <t>A</t>
    </r>
    <r>
      <rPr>
        <i/>
        <sz val="11"/>
        <color theme="1"/>
        <rFont val="Calibri"/>
        <family val="2"/>
        <charset val="162"/>
        <scheme val="minor"/>
      </rPr>
      <t>: Spectrum characteristic period</t>
    </r>
  </si>
  <si>
    <r>
      <t>T</t>
    </r>
    <r>
      <rPr>
        <i/>
        <sz val="8"/>
        <color theme="1"/>
        <rFont val="Calibri"/>
        <family val="2"/>
        <charset val="162"/>
        <scheme val="minor"/>
      </rPr>
      <t>B</t>
    </r>
    <r>
      <rPr>
        <i/>
        <sz val="11"/>
        <color theme="1"/>
        <rFont val="Calibri"/>
        <family val="2"/>
        <charset val="162"/>
        <scheme val="minor"/>
      </rPr>
      <t>: Spectrum characteristic period</t>
    </r>
  </si>
  <si>
    <t>T: Fundamental period of the structure</t>
  </si>
  <si>
    <t>R: Structural behaviour factor</t>
  </si>
  <si>
    <t>Ra(T): Reduction factor</t>
  </si>
  <si>
    <t>S(T): Spectrum COEFFİCİENT</t>
  </si>
  <si>
    <t>Ao: Effective ground acceleration coefficient</t>
  </si>
  <si>
    <t>I: Building importance factor</t>
  </si>
  <si>
    <t>A(T): Spectral acceleration coefficient</t>
  </si>
  <si>
    <r>
      <t>S</t>
    </r>
    <r>
      <rPr>
        <i/>
        <sz val="9"/>
        <color theme="1"/>
        <rFont val="Calibri"/>
        <family val="2"/>
        <charset val="162"/>
        <scheme val="minor"/>
      </rPr>
      <t>ae</t>
    </r>
    <r>
      <rPr>
        <i/>
        <sz val="11"/>
        <color theme="1"/>
        <rFont val="Calibri"/>
        <family val="2"/>
        <charset val="162"/>
        <scheme val="minor"/>
      </rPr>
      <t>(T): Elasric spectral acceleration</t>
    </r>
  </si>
  <si>
    <t>Vt: Total base shear</t>
  </si>
  <si>
    <t>Distribution of Loads (Full Silo)</t>
  </si>
  <si>
    <t>Distributed Load (tonf/m2)</t>
  </si>
  <si>
    <t>Application height(m)</t>
  </si>
  <si>
    <t>Weight</t>
  </si>
  <si>
    <t>W: Total weight of the structure including live load contribution</t>
  </si>
  <si>
    <t>Interval (m)</t>
  </si>
  <si>
    <t>Elevation (m)</t>
  </si>
  <si>
    <t>hc: height of vertical-walled segment of silo from the transition to the equivalent surface</t>
  </si>
  <si>
    <t>zv (mm)</t>
  </si>
  <si>
    <t>n(zSk) (ton)</t>
  </si>
  <si>
    <t>Elevations (m)</t>
  </si>
  <si>
    <t>Plate Thickness</t>
  </si>
  <si>
    <r>
      <rPr>
        <i/>
        <sz val="11"/>
        <color theme="1"/>
        <rFont val="Arial Tur"/>
        <charset val="162"/>
      </rPr>
      <t>η</t>
    </r>
    <r>
      <rPr>
        <i/>
        <sz val="11"/>
        <color theme="1"/>
        <rFont val="Calibri"/>
        <family val="2"/>
        <charset val="162"/>
      </rPr>
      <t xml:space="preserve">: Buckling Factor (Condition of Supports) </t>
    </r>
  </si>
  <si>
    <t>σx</t>
  </si>
  <si>
    <r>
      <t>σ</t>
    </r>
    <r>
      <rPr>
        <sz val="11"/>
        <color rgb="FFFF0000"/>
        <rFont val="Calibri"/>
        <family val="2"/>
        <charset val="162"/>
      </rPr>
      <t>ϕ</t>
    </r>
  </si>
  <si>
    <t>S. No.</t>
  </si>
  <si>
    <t>cm2</t>
  </si>
  <si>
    <t>10mm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</si>
</sst>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0.0"/>
    <numFmt numFmtId="166" formatCode="0.000E+00"/>
    <numFmt numFmtId="167" formatCode="#,#00\ &quot;tonf&quot;"/>
  </numFmts>
  <fonts count="32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theme="1"/>
      <name val="Arial Tur"/>
      <charset val="162"/>
    </font>
    <font>
      <i/>
      <sz val="11"/>
      <color theme="1"/>
      <name val="Calibri"/>
      <family val="2"/>
      <charset val="162"/>
      <scheme val="minor"/>
    </font>
    <font>
      <i/>
      <sz val="11"/>
      <color theme="1"/>
      <name val="Calibri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i/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i/>
      <sz val="11"/>
      <color theme="1"/>
      <name val="Arial Tur"/>
      <charset val="162"/>
    </font>
    <font>
      <b/>
      <sz val="11"/>
      <color theme="1"/>
      <name val="Calibri"/>
      <family val="2"/>
      <charset val="162"/>
    </font>
    <font>
      <b/>
      <sz val="11"/>
      <color theme="1"/>
      <name val="Arial Tur"/>
      <charset val="162"/>
    </font>
    <font>
      <sz val="8"/>
      <color theme="1"/>
      <name val="Calibri"/>
      <family val="2"/>
      <scheme val="minor"/>
    </font>
    <font>
      <sz val="8"/>
      <color theme="1"/>
      <name val="Calibri"/>
      <family val="2"/>
      <charset val="162"/>
      <scheme val="minor"/>
    </font>
    <font>
      <i/>
      <sz val="9"/>
      <color theme="1"/>
      <name val="Calibri"/>
      <family val="2"/>
      <charset val="162"/>
      <scheme val="minor"/>
    </font>
    <font>
      <sz val="10"/>
      <color theme="1"/>
      <name val="Arial Tur"/>
      <charset val="162"/>
    </font>
    <font>
      <sz val="8"/>
      <color theme="1"/>
      <name val="Arial Tur"/>
      <charset val="162"/>
    </font>
    <font>
      <sz val="9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</font>
    <font>
      <i/>
      <sz val="10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</font>
    <font>
      <i/>
      <sz val="8"/>
      <color theme="1"/>
      <name val="Calibri"/>
      <family val="2"/>
      <charset val="162"/>
      <scheme val="minor"/>
    </font>
    <font>
      <i/>
      <sz val="9"/>
      <color theme="1"/>
      <name val="Calibri"/>
      <family val="2"/>
      <charset val="162"/>
    </font>
    <font>
      <i/>
      <sz val="8"/>
      <color theme="1"/>
      <name val="Calibri"/>
      <family val="2"/>
      <charset val="162"/>
    </font>
    <font>
      <i/>
      <sz val="8"/>
      <color theme="1"/>
      <name val="Arial Tur"/>
      <charset val="162"/>
    </font>
    <font>
      <sz val="11"/>
      <color theme="0" tint="-0.14999847407452621"/>
      <name val="Calibri"/>
      <family val="2"/>
      <charset val="162"/>
      <scheme val="minor"/>
    </font>
    <font>
      <sz val="11"/>
      <color rgb="FFFF0000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03">
    <xf numFmtId="0" fontId="0" fillId="0" borderId="0" xfId="0"/>
    <xf numFmtId="0" fontId="2" fillId="0" borderId="0" xfId="1"/>
    <xf numFmtId="0" fontId="4" fillId="0" borderId="0" xfId="1" applyFont="1"/>
    <xf numFmtId="164" fontId="4" fillId="0" borderId="0" xfId="1" applyNumberFormat="1" applyFont="1"/>
    <xf numFmtId="0" fontId="4" fillId="3" borderId="0" xfId="1" applyFont="1" applyFill="1"/>
    <xf numFmtId="0" fontId="4" fillId="0" borderId="0" xfId="0" applyFont="1"/>
    <xf numFmtId="0" fontId="2" fillId="0" borderId="0" xfId="1"/>
    <xf numFmtId="0" fontId="4" fillId="0" borderId="0" xfId="1" applyFont="1"/>
    <xf numFmtId="0" fontId="3" fillId="0" borderId="0" xfId="1" applyFont="1"/>
    <xf numFmtId="165" fontId="4" fillId="0" borderId="0" xfId="1" applyNumberFormat="1" applyFont="1"/>
    <xf numFmtId="0" fontId="4" fillId="3" borderId="0" xfId="1" applyFont="1" applyFill="1"/>
    <xf numFmtId="0" fontId="0" fillId="3" borderId="0" xfId="0" applyFill="1"/>
    <xf numFmtId="0" fontId="0" fillId="3" borderId="1" xfId="0" applyFill="1" applyBorder="1"/>
    <xf numFmtId="0" fontId="0" fillId="0" borderId="1" xfId="0" applyBorder="1"/>
    <xf numFmtId="0" fontId="0" fillId="0" borderId="1" xfId="0" applyFill="1" applyBorder="1"/>
    <xf numFmtId="0" fontId="4" fillId="0" borderId="0" xfId="1" applyFont="1" applyFill="1"/>
    <xf numFmtId="0" fontId="0" fillId="0" borderId="1" xfId="0" applyBorder="1" applyAlignment="1">
      <alignment horizontal="right"/>
    </xf>
    <xf numFmtId="0" fontId="1" fillId="0" borderId="1" xfId="0" applyFont="1" applyBorder="1"/>
    <xf numFmtId="0" fontId="0" fillId="0" borderId="6" xfId="0" applyBorder="1" applyAlignment="1">
      <alignment horizontal="right"/>
    </xf>
    <xf numFmtId="0" fontId="0" fillId="0" borderId="7" xfId="0" applyBorder="1"/>
    <xf numFmtId="0" fontId="0" fillId="0" borderId="8" xfId="0" applyBorder="1"/>
    <xf numFmtId="0" fontId="4" fillId="4" borderId="9" xfId="0" applyFont="1" applyFill="1" applyBorder="1"/>
    <xf numFmtId="0" fontId="0" fillId="4" borderId="0" xfId="0" applyFill="1" applyBorder="1"/>
    <xf numFmtId="0" fontId="0" fillId="4" borderId="10" xfId="0" applyFill="1" applyBorder="1"/>
    <xf numFmtId="0" fontId="0" fillId="4" borderId="9" xfId="0" applyFill="1" applyBorder="1"/>
    <xf numFmtId="0" fontId="4" fillId="4" borderId="0" xfId="0" applyFont="1" applyFill="1" applyBorder="1"/>
    <xf numFmtId="0" fontId="4" fillId="4" borderId="11" xfId="0" applyFont="1" applyFill="1" applyBorder="1"/>
    <xf numFmtId="0" fontId="0" fillId="4" borderId="12" xfId="0" applyFill="1" applyBorder="1"/>
    <xf numFmtId="0" fontId="0" fillId="4" borderId="13" xfId="0" applyFill="1" applyBorder="1"/>
    <xf numFmtId="0" fontId="4" fillId="0" borderId="4" xfId="0" applyFont="1" applyBorder="1"/>
    <xf numFmtId="0" fontId="0" fillId="0" borderId="5" xfId="0" applyBorder="1"/>
    <xf numFmtId="0" fontId="0" fillId="0" borderId="3" xfId="0" applyBorder="1"/>
    <xf numFmtId="0" fontId="0" fillId="3" borderId="4" xfId="0" applyFill="1" applyBorder="1"/>
    <xf numFmtId="0" fontId="3" fillId="0" borderId="3" xfId="1" applyFont="1" applyBorder="1"/>
    <xf numFmtId="0" fontId="6" fillId="0" borderId="0" xfId="0" applyFont="1"/>
    <xf numFmtId="0" fontId="9" fillId="0" borderId="0" xfId="0" applyFont="1"/>
    <xf numFmtId="0" fontId="0" fillId="0" borderId="0" xfId="0" applyFill="1" applyBorder="1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6" fillId="0" borderId="0" xfId="0" applyNumberFormat="1" applyFont="1" applyAlignment="1">
      <alignment horizontal="center"/>
    </xf>
    <xf numFmtId="164" fontId="0" fillId="0" borderId="0" xfId="0" applyNumberFormat="1" applyAlignment="1">
      <alignment horizontal="left"/>
    </xf>
    <xf numFmtId="0" fontId="0" fillId="3" borderId="0" xfId="0" applyFill="1" applyAlignment="1">
      <alignment horizontal="center"/>
    </xf>
    <xf numFmtId="164" fontId="10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0" fillId="0" borderId="0" xfId="0" applyNumberFormat="1" applyFont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0" fontId="4" fillId="0" borderId="6" xfId="0" applyFont="1" applyBorder="1"/>
    <xf numFmtId="164" fontId="0" fillId="0" borderId="7" xfId="0" applyNumberFormat="1" applyBorder="1"/>
    <xf numFmtId="164" fontId="4" fillId="0" borderId="0" xfId="0" applyNumberFormat="1" applyFont="1"/>
    <xf numFmtId="164" fontId="4" fillId="0" borderId="17" xfId="0" applyNumberFormat="1" applyFont="1" applyBorder="1"/>
    <xf numFmtId="164" fontId="0" fillId="0" borderId="18" xfId="0" applyNumberFormat="1" applyBorder="1"/>
    <xf numFmtId="164" fontId="0" fillId="0" borderId="19" xfId="0" applyNumberFormat="1" applyBorder="1"/>
    <xf numFmtId="164" fontId="4" fillId="0" borderId="11" xfId="0" applyNumberFormat="1" applyFont="1" applyBorder="1"/>
    <xf numFmtId="164" fontId="0" fillId="0" borderId="12" xfId="0" applyNumberFormat="1" applyBorder="1"/>
    <xf numFmtId="164" fontId="0" fillId="0" borderId="13" xfId="0" applyNumberFormat="1" applyBorder="1"/>
    <xf numFmtId="164" fontId="0" fillId="3" borderId="0" xfId="0" applyNumberFormat="1" applyFill="1"/>
    <xf numFmtId="164" fontId="0" fillId="0" borderId="0" xfId="0" applyNumberFormat="1" applyFill="1" applyBorder="1"/>
    <xf numFmtId="0" fontId="5" fillId="0" borderId="0" xfId="0" applyFont="1"/>
    <xf numFmtId="0" fontId="3" fillId="0" borderId="0" xfId="0" applyFont="1"/>
    <xf numFmtId="0" fontId="1" fillId="0" borderId="0" xfId="0" applyFont="1"/>
    <xf numFmtId="164" fontId="1" fillId="0" borderId="0" xfId="0" applyNumberFormat="1" applyFont="1"/>
    <xf numFmtId="164" fontId="1" fillId="0" borderId="0" xfId="0" applyNumberFormat="1" applyFont="1" applyAlignment="1">
      <alignment horizontal="right"/>
    </xf>
    <xf numFmtId="0" fontId="0" fillId="5" borderId="0" xfId="0" applyFill="1"/>
    <xf numFmtId="0" fontId="16" fillId="0" borderId="0" xfId="1" applyFont="1"/>
    <xf numFmtId="0" fontId="17" fillId="0" borderId="0" xfId="0" applyFont="1"/>
    <xf numFmtId="0" fontId="4" fillId="3" borderId="0" xfId="1" applyFont="1" applyFill="1" applyAlignment="1">
      <alignment horizontal="right"/>
    </xf>
    <xf numFmtId="0" fontId="10" fillId="0" borderId="0" xfId="0" applyFont="1" applyAlignment="1">
      <alignment horizontal="center"/>
    </xf>
    <xf numFmtId="0" fontId="0" fillId="3" borderId="0" xfId="0" applyFill="1" applyAlignment="1">
      <alignment horizontal="right"/>
    </xf>
    <xf numFmtId="0" fontId="4" fillId="0" borderId="0" xfId="0" applyFont="1" applyBorder="1"/>
    <xf numFmtId="0" fontId="0" fillId="0" borderId="0" xfId="0" applyBorder="1"/>
    <xf numFmtId="0" fontId="3" fillId="0" borderId="0" xfId="1" applyFont="1" applyBorder="1"/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8" fillId="0" borderId="0" xfId="0" applyFont="1"/>
    <xf numFmtId="0" fontId="0" fillId="0" borderId="9" xfId="0" applyBorder="1"/>
    <xf numFmtId="0" fontId="0" fillId="0" borderId="0" xfId="0" applyFont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0" xfId="0" applyBorder="1"/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12" xfId="0" applyBorder="1"/>
    <xf numFmtId="0" fontId="0" fillId="0" borderId="1" xfId="0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0" fillId="0" borderId="17" xfId="0" applyFont="1" applyBorder="1" applyAlignment="1">
      <alignment horizontal="center"/>
    </xf>
    <xf numFmtId="0" fontId="6" fillId="0" borderId="12" xfId="0" applyFont="1" applyBorder="1"/>
    <xf numFmtId="0" fontId="0" fillId="0" borderId="13" xfId="0" applyBorder="1"/>
    <xf numFmtId="0" fontId="4" fillId="0" borderId="0" xfId="0" applyFont="1" applyFill="1" applyBorder="1"/>
    <xf numFmtId="0" fontId="24" fillId="0" borderId="0" xfId="0" applyFont="1" applyFill="1" applyBorder="1"/>
    <xf numFmtId="0" fontId="8" fillId="0" borderId="0" xfId="0" applyFont="1"/>
    <xf numFmtId="0" fontId="4" fillId="0" borderId="0" xfId="0" applyFont="1" applyBorder="1" applyAlignment="1">
      <alignment horizontal="right"/>
    </xf>
    <xf numFmtId="2" fontId="0" fillId="0" borderId="0" xfId="0" applyNumberFormat="1"/>
    <xf numFmtId="0" fontId="24" fillId="0" borderId="0" xfId="0" applyFont="1"/>
    <xf numFmtId="0" fontId="0" fillId="0" borderId="0" xfId="0" applyFill="1"/>
    <xf numFmtId="0" fontId="0" fillId="0" borderId="1" xfId="0" applyBorder="1" applyAlignment="1">
      <alignment horizontal="center"/>
    </xf>
    <xf numFmtId="2" fontId="0" fillId="3" borderId="0" xfId="0" applyNumberFormat="1" applyFill="1"/>
    <xf numFmtId="2" fontId="0" fillId="0" borderId="1" xfId="0" applyNumberFormat="1" applyBorder="1" applyAlignment="1">
      <alignment horizontal="center"/>
    </xf>
    <xf numFmtId="0" fontId="0" fillId="0" borderId="0" xfId="0" applyAlignment="1"/>
    <xf numFmtId="0" fontId="1" fillId="0" borderId="0" xfId="0" applyFont="1" applyAlignment="1"/>
    <xf numFmtId="0" fontId="1" fillId="0" borderId="0" xfId="0" applyFont="1" applyAlignment="1">
      <alignment horizontal="right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0" fillId="3" borderId="0" xfId="0" applyNumberFormat="1" applyFill="1" applyAlignment="1">
      <alignment horizontal="left"/>
    </xf>
    <xf numFmtId="0" fontId="0" fillId="6" borderId="0" xfId="0" applyFill="1" applyBorder="1" applyAlignment="1">
      <alignment horizontal="center"/>
    </xf>
    <xf numFmtId="11" fontId="0" fillId="0" borderId="0" xfId="0" applyNumberFormat="1" applyFill="1"/>
    <xf numFmtId="0" fontId="0" fillId="3" borderId="18" xfId="0" applyFill="1" applyBorder="1"/>
    <xf numFmtId="0" fontId="0" fillId="3" borderId="0" xfId="0" applyFill="1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4" fillId="0" borderId="1" xfId="0" applyFont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164" fontId="1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5" fillId="0" borderId="0" xfId="0" applyFont="1" applyBorder="1" applyAlignment="1">
      <alignment horizontal="left"/>
    </xf>
    <xf numFmtId="0" fontId="13" fillId="0" borderId="0" xfId="0" applyFont="1"/>
    <xf numFmtId="0" fontId="5" fillId="0" borderId="0" xfId="0" applyFont="1" applyBorder="1" applyAlignment="1">
      <alignment horizontal="right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0" fillId="0" borderId="0" xfId="0" applyFont="1"/>
    <xf numFmtId="0" fontId="4" fillId="0" borderId="0" xfId="1" applyFont="1" applyAlignment="1">
      <alignment horizontal="right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7" fontId="0" fillId="0" borderId="0" xfId="0" applyNumberFormat="1" applyAlignment="1">
      <alignment horizontal="left"/>
    </xf>
    <xf numFmtId="2" fontId="0" fillId="0" borderId="7" xfId="0" applyNumberFormat="1" applyBorder="1"/>
    <xf numFmtId="0" fontId="0" fillId="0" borderId="1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10" fillId="0" borderId="1" xfId="0" applyNumberFormat="1" applyFont="1" applyBorder="1" applyAlignment="1">
      <alignment horizontal="center"/>
    </xf>
    <xf numFmtId="164" fontId="0" fillId="0" borderId="1" xfId="0" applyNumberFormat="1" applyBorder="1"/>
    <xf numFmtId="164" fontId="0" fillId="0" borderId="1" xfId="0" applyNumberFormat="1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4" fillId="0" borderId="0" xfId="0" applyFont="1" applyAlignment="1"/>
    <xf numFmtId="0" fontId="0" fillId="5" borderId="1" xfId="0" applyFill="1" applyBorder="1" applyAlignment="1">
      <alignment horizontal="center"/>
    </xf>
    <xf numFmtId="165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4" fillId="8" borderId="0" xfId="0" applyFont="1" applyFill="1"/>
    <xf numFmtId="0" fontId="0" fillId="8" borderId="0" xfId="0" applyFill="1"/>
    <xf numFmtId="0" fontId="19" fillId="8" borderId="0" xfId="0" applyFont="1" applyFill="1"/>
    <xf numFmtId="0" fontId="5" fillId="8" borderId="0" xfId="0" applyFont="1" applyFill="1"/>
    <xf numFmtId="164" fontId="0" fillId="0" borderId="0" xfId="0" applyNumberForma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4" fillId="0" borderId="0" xfId="1" applyFont="1" applyAlignment="1">
      <alignment horizontal="left"/>
    </xf>
    <xf numFmtId="0" fontId="4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4" fillId="2" borderId="1" xfId="1" applyFont="1" applyFill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4" fillId="0" borderId="7" xfId="0" applyFont="1" applyBorder="1" applyAlignment="1">
      <alignment horizontal="left" wrapText="1"/>
    </xf>
    <xf numFmtId="0" fontId="4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16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4" fillId="0" borderId="0" xfId="0" applyFont="1" applyAlignment="1">
      <alignment horizontal="left" wrapText="1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0" fillId="7" borderId="0" xfId="0" applyFill="1" applyAlignment="1">
      <alignment horizontal="center"/>
    </xf>
    <xf numFmtId="0" fontId="0" fillId="0" borderId="5" xfId="0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tr-TR" sz="1000"/>
              <a:t>Filling</a:t>
            </a:r>
            <a:r>
              <a:rPr lang="tr-TR" sz="1000" baseline="0"/>
              <a:t> Pressure Coef. versus Height(z)</a:t>
            </a:r>
          </a:p>
          <a:p>
            <a:pPr>
              <a:defRPr/>
            </a:pPr>
            <a:endParaRPr lang="tr-TR"/>
          </a:p>
        </c:rich>
      </c:tx>
      <c:layout>
        <c:manualLayout>
          <c:xMode val="edge"/>
          <c:yMode val="edge"/>
          <c:x val="0.37260251397445548"/>
          <c:y val="3.51122646974819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title>
    <c:autoTitleDeleted val="0"/>
    <c:plotArea>
      <c:layout>
        <c:manualLayout>
          <c:layoutTarget val="inner"/>
          <c:xMode val="edge"/>
          <c:yMode val="edge"/>
          <c:x val="0.1136882605583393"/>
          <c:y val="2.2677726993671352E-2"/>
          <c:w val="0.84273862642169728"/>
          <c:h val="0.79717065839012502"/>
        </c:manualLayout>
      </c:layout>
      <c:scatterChart>
        <c:scatterStyle val="smoothMarker"/>
        <c:varyColors val="0"/>
        <c:ser>
          <c:idx val="0"/>
          <c:order val="0"/>
          <c:tx>
            <c:v>Phf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'EUROCODE1-Vertical Wall Loads'!$D$26:$D$34</c:f>
              <c:numCache>
                <c:formatCode>0.000</c:formatCode>
                <c:ptCount val="9"/>
                <c:pt idx="0">
                  <c:v>0</c:v>
                </c:pt>
                <c:pt idx="1">
                  <c:v>0.83480601416412425</c:v>
                </c:pt>
                <c:pt idx="2">
                  <c:v>2.0775228964986114</c:v>
                </c:pt>
                <c:pt idx="3">
                  <c:v>2.9478410765787211</c:v>
                </c:pt>
                <c:pt idx="4">
                  <c:v>3.5839570987502132</c:v>
                </c:pt>
                <c:pt idx="5">
                  <c:v>4.0647481497078006</c:v>
                </c:pt>
                <c:pt idx="6">
                  <c:v>4.4380964145625237</c:v>
                </c:pt>
                <c:pt idx="7">
                  <c:v>4.7345363192687664</c:v>
                </c:pt>
                <c:pt idx="8">
                  <c:v>4.8816746272638456</c:v>
                </c:pt>
              </c:numCache>
            </c:numRef>
          </c:xVal>
          <c:yVal>
            <c:numRef>
              <c:f>'EUROCODE1-Vertical Wall Loads'!$B$26:$B$34</c:f>
              <c:numCache>
                <c:formatCode>0.000</c:formatCode>
                <c:ptCount val="9"/>
                <c:pt idx="0">
                  <c:v>1607.2125315462192</c:v>
                </c:pt>
                <c:pt idx="1">
                  <c:v>2107.212531546219</c:v>
                </c:pt>
                <c:pt idx="2">
                  <c:v>3107.212531546219</c:v>
                </c:pt>
                <c:pt idx="3">
                  <c:v>4107.212531546219</c:v>
                </c:pt>
                <c:pt idx="4">
                  <c:v>5107.212531546219</c:v>
                </c:pt>
                <c:pt idx="5">
                  <c:v>6107.212531546219</c:v>
                </c:pt>
                <c:pt idx="6">
                  <c:v>7107.212531546219</c:v>
                </c:pt>
                <c:pt idx="7">
                  <c:v>8107.212531546219</c:v>
                </c:pt>
                <c:pt idx="8">
                  <c:v>8696.393734226891</c:v>
                </c:pt>
              </c:numCache>
            </c:numRef>
          </c:yVal>
          <c:smooth val="1"/>
        </c:ser>
        <c:ser>
          <c:idx val="1"/>
          <c:order val="1"/>
          <c:tx>
            <c:v>Pwf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'EUROCODE1-Vertical Wall Loads'!$E$26:$E$34</c:f>
              <c:numCache>
                <c:formatCode>0.000</c:formatCode>
                <c:ptCount val="9"/>
                <c:pt idx="0">
                  <c:v>0</c:v>
                </c:pt>
                <c:pt idx="1">
                  <c:v>0.46749136793190965</c:v>
                </c:pt>
                <c:pt idx="2">
                  <c:v>1.1634128220392226</c:v>
                </c:pt>
                <c:pt idx="3">
                  <c:v>1.650791002884084</c:v>
                </c:pt>
                <c:pt idx="4">
                  <c:v>2.0070159753001198</c:v>
                </c:pt>
                <c:pt idx="5">
                  <c:v>2.2762589638363684</c:v>
                </c:pt>
                <c:pt idx="6">
                  <c:v>2.4853339921550135</c:v>
                </c:pt>
                <c:pt idx="7">
                  <c:v>2.6513403387905092</c:v>
                </c:pt>
                <c:pt idx="8">
                  <c:v>2.7337377912677536</c:v>
                </c:pt>
              </c:numCache>
            </c:numRef>
          </c:xVal>
          <c:yVal>
            <c:numRef>
              <c:f>'EUROCODE1-Vertical Wall Loads'!$B$26:$B$34</c:f>
              <c:numCache>
                <c:formatCode>0.000</c:formatCode>
                <c:ptCount val="9"/>
                <c:pt idx="0">
                  <c:v>1607.2125315462192</c:v>
                </c:pt>
                <c:pt idx="1">
                  <c:v>2107.212531546219</c:v>
                </c:pt>
                <c:pt idx="2">
                  <c:v>3107.212531546219</c:v>
                </c:pt>
                <c:pt idx="3">
                  <c:v>4107.212531546219</c:v>
                </c:pt>
                <c:pt idx="4">
                  <c:v>5107.212531546219</c:v>
                </c:pt>
                <c:pt idx="5">
                  <c:v>6107.212531546219</c:v>
                </c:pt>
                <c:pt idx="6">
                  <c:v>7107.212531546219</c:v>
                </c:pt>
                <c:pt idx="7">
                  <c:v>8107.212531546219</c:v>
                </c:pt>
                <c:pt idx="8">
                  <c:v>8696.393734226891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12544"/>
        <c:axId val="294013104"/>
      </c:scatterChart>
      <c:valAx>
        <c:axId val="2940125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Pressur</a:t>
                </a:r>
                <a:r>
                  <a:rPr lang="tr-TR" baseline="0"/>
                  <a:t>e Coef</a:t>
                </a:r>
                <a:r>
                  <a:rPr lang="tr-TR"/>
                  <a:t>.</a:t>
                </a:r>
              </a:p>
            </c:rich>
          </c:tx>
          <c:layout>
            <c:manualLayout>
              <c:xMode val="edge"/>
              <c:yMode val="edge"/>
              <c:x val="0.83062710583578758"/>
              <c:y val="0.869553546848319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.00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94013104"/>
        <c:crossesAt val="10000"/>
        <c:crossBetween val="midCat"/>
      </c:valAx>
      <c:valAx>
        <c:axId val="29401310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Height</a:t>
                </a:r>
                <a:r>
                  <a:rPr lang="tr-TR" baseline="0"/>
                  <a:t> (z in mm)</a:t>
                </a:r>
                <a:endParaRPr lang="tr-T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94012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107293406506"/>
          <c:y val="0.19916748035268264"/>
          <c:w val="0.1106820170205997"/>
          <c:h val="0.122117491803334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tr-T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r-T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'Buckling Checks'!$B$49:$B$60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15</c:v>
                </c:pt>
                <c:pt idx="9">
                  <c:v>15</c:v>
                </c:pt>
                <c:pt idx="10">
                  <c:v>10</c:v>
                </c:pt>
                <c:pt idx="11">
                  <c:v>10</c:v>
                </c:pt>
              </c:numCache>
            </c:numRef>
          </c:xVal>
          <c:yVal>
            <c:numRef>
              <c:f>'Buckling Checks'!$A$49:$A$60</c:f>
              <c:numCache>
                <c:formatCode>General</c:formatCode>
                <c:ptCount val="12"/>
                <c:pt idx="0">
                  <c:v>3.8</c:v>
                </c:pt>
                <c:pt idx="1">
                  <c:v>5.3</c:v>
                </c:pt>
                <c:pt idx="2">
                  <c:v>5.3</c:v>
                </c:pt>
                <c:pt idx="3">
                  <c:v>6.8</c:v>
                </c:pt>
                <c:pt idx="4">
                  <c:v>6.8</c:v>
                </c:pt>
                <c:pt idx="5">
                  <c:v>8.3000000000000007</c:v>
                </c:pt>
                <c:pt idx="6">
                  <c:v>8.3000000000000007</c:v>
                </c:pt>
                <c:pt idx="7">
                  <c:v>9.8000000000000007</c:v>
                </c:pt>
                <c:pt idx="8">
                  <c:v>9.8000000000000007</c:v>
                </c:pt>
                <c:pt idx="9">
                  <c:v>11.3</c:v>
                </c:pt>
                <c:pt idx="10">
                  <c:v>11.3</c:v>
                </c:pt>
                <c:pt idx="11">
                  <c:v>15.8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4015344"/>
        <c:axId val="382042176"/>
      </c:scatterChart>
      <c:valAx>
        <c:axId val="294015344"/>
        <c:scaling>
          <c:orientation val="minMax"/>
          <c:max val="25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Shell thickness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382042176"/>
        <c:crosses val="autoZero"/>
        <c:crossBetween val="midCat"/>
        <c:minorUnit val="5"/>
      </c:valAx>
      <c:valAx>
        <c:axId val="382042176"/>
        <c:scaling>
          <c:orientation val="minMax"/>
          <c:max val="15.8"/>
          <c:min val="3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r-TR"/>
                  <a:t>Elevation</a:t>
                </a:r>
                <a:r>
                  <a:rPr lang="tr-TR" baseline="0"/>
                  <a:t> (m)</a:t>
                </a:r>
                <a:endParaRPr lang="tr-T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tr-T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r-TR"/>
          </a:p>
        </c:txPr>
        <c:crossAx val="294015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r-T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1.png"/><Relationship Id="rId7" Type="http://schemas.openxmlformats.org/officeDocument/2006/relationships/image" Target="../media/image24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chart" Target="../charts/chart2.xml"/><Relationship Id="rId5" Type="http://schemas.openxmlformats.org/officeDocument/2006/relationships/image" Target="../media/image23.png"/><Relationship Id="rId10" Type="http://schemas.openxmlformats.org/officeDocument/2006/relationships/image" Target="../media/image27.png"/><Relationship Id="rId4" Type="http://schemas.openxmlformats.org/officeDocument/2006/relationships/image" Target="../media/image22.png"/><Relationship Id="rId9" Type="http://schemas.openxmlformats.org/officeDocument/2006/relationships/image" Target="../media/image2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png"/><Relationship Id="rId2" Type="http://schemas.openxmlformats.org/officeDocument/2006/relationships/image" Target="../media/image37.png"/><Relationship Id="rId1" Type="http://schemas.openxmlformats.org/officeDocument/2006/relationships/image" Target="../media/image36.png"/><Relationship Id="rId5" Type="http://schemas.openxmlformats.org/officeDocument/2006/relationships/image" Target="../media/image40.png"/><Relationship Id="rId4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180975</xdr:rowOff>
    </xdr:from>
    <xdr:to>
      <xdr:col>4</xdr:col>
      <xdr:colOff>1047750</xdr:colOff>
      <xdr:row>36</xdr:row>
      <xdr:rowOff>43684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19475"/>
          <a:ext cx="5314950" cy="3482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4</xdr:col>
      <xdr:colOff>1035383</xdr:colOff>
      <xdr:row>77</xdr:row>
      <xdr:rowOff>142875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5302583" cy="60483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11</xdr:row>
      <xdr:rowOff>9525</xdr:rowOff>
    </xdr:from>
    <xdr:to>
      <xdr:col>21</xdr:col>
      <xdr:colOff>46629</xdr:colOff>
      <xdr:row>18</xdr:row>
      <xdr:rowOff>161925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2057400"/>
          <a:ext cx="6904629" cy="14859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</xdr:colOff>
      <xdr:row>19</xdr:row>
      <xdr:rowOff>123826</xdr:rowOff>
    </xdr:from>
    <xdr:to>
      <xdr:col>21</xdr:col>
      <xdr:colOff>204897</xdr:colOff>
      <xdr:row>26</xdr:row>
      <xdr:rowOff>19050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72350" y="3695701"/>
          <a:ext cx="5634147" cy="12287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285750</xdr:colOff>
      <xdr:row>0</xdr:row>
      <xdr:rowOff>19050</xdr:rowOff>
    </xdr:from>
    <xdr:to>
      <xdr:col>10</xdr:col>
      <xdr:colOff>647700</xdr:colOff>
      <xdr:row>10</xdr:row>
      <xdr:rowOff>187499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52950" y="19050"/>
          <a:ext cx="2190750" cy="262589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14</xdr:row>
      <xdr:rowOff>28575</xdr:rowOff>
    </xdr:from>
    <xdr:to>
      <xdr:col>14</xdr:col>
      <xdr:colOff>27819</xdr:colOff>
      <xdr:row>22</xdr:row>
      <xdr:rowOff>58449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95775" y="3248025"/>
          <a:ext cx="4533144" cy="15633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333375</xdr:colOff>
      <xdr:row>0</xdr:row>
      <xdr:rowOff>47625</xdr:rowOff>
    </xdr:from>
    <xdr:to>
      <xdr:col>13</xdr:col>
      <xdr:colOff>432894</xdr:colOff>
      <xdr:row>20</xdr:row>
      <xdr:rowOff>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0" y="47625"/>
          <a:ext cx="3947619" cy="3762375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29</xdr:row>
      <xdr:rowOff>157162</xdr:rowOff>
    </xdr:from>
    <xdr:to>
      <xdr:col>16</xdr:col>
      <xdr:colOff>476250</xdr:colOff>
      <xdr:row>47</xdr:row>
      <xdr:rowOff>9526</xdr:rowOff>
    </xdr:to>
    <xdr:graphicFrame macro="">
      <xdr:nvGraphicFramePr>
        <xdr:cNvPr id="6" name="Grafi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161925</xdr:colOff>
      <xdr:row>46</xdr:row>
      <xdr:rowOff>152400</xdr:rowOff>
    </xdr:from>
    <xdr:to>
      <xdr:col>16</xdr:col>
      <xdr:colOff>342900</xdr:colOff>
      <xdr:row>58</xdr:row>
      <xdr:rowOff>160045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48400" y="9305925"/>
          <a:ext cx="5057775" cy="2503195"/>
        </a:xfrm>
        <a:prstGeom prst="rect">
          <a:avLst/>
        </a:prstGeom>
      </xdr:spPr>
    </xdr:pic>
    <xdr:clientData/>
  </xdr:twoCellAnchor>
  <xdr:twoCellAnchor editAs="oneCell">
    <xdr:from>
      <xdr:col>7</xdr:col>
      <xdr:colOff>600076</xdr:colOff>
      <xdr:row>60</xdr:row>
      <xdr:rowOff>1</xdr:rowOff>
    </xdr:from>
    <xdr:to>
      <xdr:col>16</xdr:col>
      <xdr:colOff>333376</xdr:colOff>
      <xdr:row>73</xdr:row>
      <xdr:rowOff>185413</xdr:rowOff>
    </xdr:to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6951" y="11820526"/>
          <a:ext cx="5410200" cy="2661912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73</xdr:row>
      <xdr:rowOff>171450</xdr:rowOff>
    </xdr:from>
    <xdr:to>
      <xdr:col>16</xdr:col>
      <xdr:colOff>266701</xdr:colOff>
      <xdr:row>92</xdr:row>
      <xdr:rowOff>71894</xdr:rowOff>
    </xdr:to>
    <xdr:pic>
      <xdr:nvPicPr>
        <xdr:cNvPr id="10" name="Resim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38876" y="14687550"/>
          <a:ext cx="4991100" cy="352946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285751</xdr:colOff>
      <xdr:row>96</xdr:row>
      <xdr:rowOff>180975</xdr:rowOff>
    </xdr:from>
    <xdr:to>
      <xdr:col>16</xdr:col>
      <xdr:colOff>381001</xdr:colOff>
      <xdr:row>110</xdr:row>
      <xdr:rowOff>153038</xdr:rowOff>
    </xdr:to>
    <xdr:pic>
      <xdr:nvPicPr>
        <xdr:cNvPr id="11" name="Resim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48451" y="19116675"/>
          <a:ext cx="4972050" cy="2639063"/>
        </a:xfrm>
        <a:prstGeom prst="rect">
          <a:avLst/>
        </a:prstGeom>
      </xdr:spPr>
    </xdr:pic>
    <xdr:clientData/>
  </xdr:twoCellAnchor>
  <xdr:twoCellAnchor>
    <xdr:from>
      <xdr:col>8</xdr:col>
      <xdr:colOff>304800</xdr:colOff>
      <xdr:row>20</xdr:row>
      <xdr:rowOff>76199</xdr:rowOff>
    </xdr:from>
    <xdr:to>
      <xdr:col>12</xdr:col>
      <xdr:colOff>561975</xdr:colOff>
      <xdr:row>29</xdr:row>
      <xdr:rowOff>153500</xdr:rowOff>
    </xdr:to>
    <xdr:pic>
      <xdr:nvPicPr>
        <xdr:cNvPr id="12" name="Resim 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0" y="3886199"/>
          <a:ext cx="2695575" cy="196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57150</xdr:rowOff>
    </xdr:from>
    <xdr:to>
      <xdr:col>15</xdr:col>
      <xdr:colOff>447675</xdr:colOff>
      <xdr:row>14</xdr:row>
      <xdr:rowOff>90381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57150"/>
          <a:ext cx="4657725" cy="2900256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16</xdr:row>
      <xdr:rowOff>76201</xdr:rowOff>
    </xdr:from>
    <xdr:to>
      <xdr:col>16</xdr:col>
      <xdr:colOff>184065</xdr:colOff>
      <xdr:row>29</xdr:row>
      <xdr:rowOff>1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81875" y="3324226"/>
          <a:ext cx="3955965" cy="2419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30</xdr:row>
      <xdr:rowOff>171450</xdr:rowOff>
    </xdr:from>
    <xdr:to>
      <xdr:col>20</xdr:col>
      <xdr:colOff>533400</xdr:colOff>
      <xdr:row>50</xdr:row>
      <xdr:rowOff>155273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86825" y="5905500"/>
          <a:ext cx="5238750" cy="3793823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123826</xdr:colOff>
      <xdr:row>50</xdr:row>
      <xdr:rowOff>76201</xdr:rowOff>
    </xdr:from>
    <xdr:to>
      <xdr:col>20</xdr:col>
      <xdr:colOff>295275</xdr:colOff>
      <xdr:row>56</xdr:row>
      <xdr:rowOff>183755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91526" y="9620251"/>
          <a:ext cx="5048249" cy="12505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222218</xdr:colOff>
      <xdr:row>4</xdr:row>
      <xdr:rowOff>3651</xdr:rowOff>
    </xdr:from>
    <xdr:ext cx="1769523" cy="3585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Metin kutusu 1"/>
            <xdr:cNvSpPr txBox="1"/>
          </xdr:nvSpPr>
          <xdr:spPr>
            <a:xfrm>
              <a:off x="2127218" y="765651"/>
              <a:ext cx="1769523" cy="358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tr-TR" sz="1100" b="0" i="1">
                        <a:latin typeface="Cambria Math" panose="02040503050406030204" pitchFamily="18" charset="0"/>
                      </a:rPr>
                      <m:t>𝑡</m:t>
                    </m:r>
                    <m:d>
                      <m:dPr>
                        <m:ctrlPr>
                          <a:rPr lang="tr-TR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𝑚</m:t>
                        </m:r>
                      </m:e>
                    </m:d>
                    <m:r>
                      <a:rPr lang="tr-TR" sz="1100" b="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tr-TR" sz="11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d>
                          <m:dPr>
                            <m:ctrlPr>
                              <a:rPr lang="tr-TR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sSub>
                              <m:sSubPr>
                                <m:ctrlPr>
                                  <a:rPr lang="tr-T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tr-T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𝑃</m:t>
                                </m:r>
                              </m:e>
                              <m:sub>
                                <m:r>
                                  <a:rPr lang="tr-TR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h</m:t>
                                </m:r>
                              </m:sub>
                            </m:sSub>
                          </m:e>
                        </m:d>
                        <m:r>
                          <a:rPr lang="tr-T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tr-T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</m:t>
                        </m:r>
                        <m:r>
                          <a:rPr lang="tr-TR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  <m:r>
                          <m:rPr>
                            <m:nor/>
                          </m:rPr>
                          <a:rPr lang="tr-TR">
                            <a:effectLst/>
                          </a:rPr>
                          <m:t> </m:t>
                        </m:r>
                      </m:num>
                      <m:den>
                        <m:sSub>
                          <m:sSubPr>
                            <m:ctrlPr>
                              <a:rPr lang="tr-TR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𝜎</m:t>
                            </m:r>
                          </m:e>
                          <m:sub>
                            <m:r>
                              <a:rPr lang="tr-TR" sz="1100" b="0" i="1">
                                <a:latin typeface="Cambria Math" panose="02040503050406030204" pitchFamily="18" charset="0"/>
                              </a:rPr>
                              <m:t>𝑎𝑙𝑙</m:t>
                            </m:r>
                          </m:sub>
                        </m:sSub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 </m:t>
                        </m:r>
                        <m:d>
                          <m:dPr>
                            <m:ctrlPr>
                              <a:rPr lang="tr-TR" sz="1100" b="0" i="1">
                                <a:latin typeface="Cambria Math" panose="02040503050406030204" pitchFamily="18" charset="0"/>
                              </a:rPr>
                            </m:ctrlPr>
                          </m:dPr>
                          <m:e>
                            <m:r>
                              <a:rPr lang="tr-TR" sz="1100" b="0" i="1">
                                <a:latin typeface="Cambria Math" panose="02040503050406030204" pitchFamily="18" charset="0"/>
                              </a:rPr>
                              <m:t>1</m:t>
                            </m:r>
                          </m:e>
                        </m:d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(0.75)</m:t>
                        </m:r>
                      </m:den>
                    </m:f>
                    <m:r>
                      <a:rPr lang="tr-TR" sz="1100" b="0" i="1">
                        <a:latin typeface="Cambria Math" panose="02040503050406030204" pitchFamily="18" charset="0"/>
                      </a:rPr>
                      <m:t>+0.02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2" name="Metin kutusu 1"/>
            <xdr:cNvSpPr txBox="1"/>
          </xdr:nvSpPr>
          <xdr:spPr>
            <a:xfrm>
              <a:off x="2127218" y="765651"/>
              <a:ext cx="1769523" cy="358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tr-TR" sz="1100" b="0" i="0">
                  <a:latin typeface="Cambria Math" panose="02040503050406030204" pitchFamily="18" charset="0"/>
                </a:rPr>
                <a:t>𝑡(𝑚)=(</a:t>
              </a:r>
              <a:r>
                <a:rPr lang="tr-TR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(𝑃_ℎ )(𝑟)"</a:t>
              </a:r>
              <a:r>
                <a:rPr lang="tr-TR" i="0">
                  <a:effectLst/>
                </a:rPr>
                <a:t> </a:t>
              </a:r>
              <a:r>
                <a:rPr lang="tr-TR" i="0">
                  <a:effectLst/>
                  <a:latin typeface="Cambria Math" panose="02040503050406030204" pitchFamily="18" charset="0"/>
                </a:rPr>
                <a:t>" </a:t>
              </a:r>
              <a:r>
                <a:rPr lang="tr-TR" sz="1100" b="0" i="0">
                  <a:effectLst/>
                  <a:latin typeface="Cambria Math" panose="02040503050406030204" pitchFamily="18" charset="0"/>
                </a:rPr>
                <a:t>)/(</a:t>
              </a:r>
              <a:r>
                <a:rPr lang="tr-T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tr-TR" sz="1100" b="0" i="0">
                  <a:latin typeface="Cambria Math" panose="02040503050406030204" pitchFamily="18" charset="0"/>
                </a:rPr>
                <a:t>𝑎𝑙𝑙  (1)(0.75))+0.02</a:t>
              </a:r>
              <a:endParaRPr lang="tr-TR" sz="1100"/>
            </a:p>
          </xdr:txBody>
        </xdr:sp>
      </mc:Fallback>
    </mc:AlternateContent>
    <xdr:clientData/>
  </xdr:oneCellAnchor>
  <xdr:twoCellAnchor editAs="oneCell">
    <xdr:from>
      <xdr:col>7</xdr:col>
      <xdr:colOff>314325</xdr:colOff>
      <xdr:row>6</xdr:row>
      <xdr:rowOff>38101</xdr:rowOff>
    </xdr:from>
    <xdr:to>
      <xdr:col>15</xdr:col>
      <xdr:colOff>247650</xdr:colOff>
      <xdr:row>14</xdr:row>
      <xdr:rowOff>596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1525" y="1181101"/>
          <a:ext cx="4924425" cy="148649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238126</xdr:colOff>
      <xdr:row>15</xdr:row>
      <xdr:rowOff>142875</xdr:rowOff>
    </xdr:from>
    <xdr:to>
      <xdr:col>17</xdr:col>
      <xdr:colOff>408924</xdr:colOff>
      <xdr:row>31</xdr:row>
      <xdr:rowOff>19050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0276" y="3000375"/>
          <a:ext cx="5047598" cy="2924175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45</xdr:row>
      <xdr:rowOff>9526</xdr:rowOff>
    </xdr:from>
    <xdr:to>
      <xdr:col>15</xdr:col>
      <xdr:colOff>190500</xdr:colOff>
      <xdr:row>55</xdr:row>
      <xdr:rowOff>182460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25" y="8610601"/>
          <a:ext cx="4286250" cy="2077934"/>
        </a:xfrm>
        <a:prstGeom prst="rect">
          <a:avLst/>
        </a:prstGeom>
      </xdr:spPr>
    </xdr:pic>
    <xdr:clientData/>
  </xdr:twoCellAnchor>
  <xdr:twoCellAnchor editAs="oneCell">
    <xdr:from>
      <xdr:col>8</xdr:col>
      <xdr:colOff>552450</xdr:colOff>
      <xdr:row>33</xdr:row>
      <xdr:rowOff>161925</xdr:rowOff>
    </xdr:from>
    <xdr:to>
      <xdr:col>14</xdr:col>
      <xdr:colOff>496061</xdr:colOff>
      <xdr:row>43</xdr:row>
      <xdr:rowOff>9525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1400" y="6448425"/>
          <a:ext cx="3715511" cy="1752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98393</xdr:colOff>
      <xdr:row>4</xdr:row>
      <xdr:rowOff>156051</xdr:rowOff>
    </xdr:from>
    <xdr:ext cx="688778" cy="36439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Metin kutusu 1"/>
            <xdr:cNvSpPr txBox="1"/>
          </xdr:nvSpPr>
          <xdr:spPr>
            <a:xfrm>
              <a:off x="98393" y="918051"/>
              <a:ext cx="688778" cy="364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𝑟</m:t>
                        </m:r>
                      </m:num>
                      <m:den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𝑡</m:t>
                        </m:r>
                      </m:den>
                    </m:f>
                    <m:r>
                      <a:rPr lang="tr-TR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≤</m:t>
                    </m:r>
                    <m:f>
                      <m:fPr>
                        <m:ctrlP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tr-T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𝐸</m:t>
                        </m:r>
                      </m:num>
                      <m:den>
                        <m:r>
                          <a:rPr lang="tr-T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25 </m:t>
                        </m:r>
                        <m:sSub>
                          <m:sSubPr>
                            <m:ctrlP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𝑦</m:t>
                            </m:r>
                            <m: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,</m:t>
                            </m:r>
                            <m:r>
                              <a:rPr lang="tr-TR" sz="11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𝑘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2" name="Metin kutusu 1"/>
            <xdr:cNvSpPr txBox="1"/>
          </xdr:nvSpPr>
          <xdr:spPr>
            <a:xfrm>
              <a:off x="98393" y="918051"/>
              <a:ext cx="688778" cy="36439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b="0" i="0">
                  <a:latin typeface="Cambria Math" panose="02040503050406030204" pitchFamily="18" charset="0"/>
                </a:rPr>
                <a:t>𝑟/𝑡</a:t>
              </a:r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≤</a:t>
              </a:r>
              <a:r>
                <a:rPr lang="tr-T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𝐸/(25 𝑓_(𝑦,𝑘) )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22193</xdr:colOff>
      <xdr:row>13</xdr:row>
      <xdr:rowOff>22701</xdr:rowOff>
    </xdr:from>
    <xdr:ext cx="188410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Metin kutusu 2"/>
            <xdr:cNvSpPr txBox="1"/>
          </xdr:nvSpPr>
          <xdr:spPr>
            <a:xfrm>
              <a:off x="22193" y="2499201"/>
              <a:ext cx="18841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𝑥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𝐴𝑥𝑖𝑎𝑙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𝑐𝑜𝑚𝑝𝑟𝑒𝑠𝑠𝑖𝑣𝑒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3" name="Metin kutusu 2"/>
            <xdr:cNvSpPr txBox="1"/>
          </xdr:nvSpPr>
          <xdr:spPr>
            <a:xfrm>
              <a:off x="22193" y="2499201"/>
              <a:ext cx="188410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tr-TR" sz="1100" b="0" i="0">
                  <a:latin typeface="Cambria Math" panose="02040503050406030204" pitchFamily="18" charset="0"/>
                </a:rPr>
                <a:t>𝑥  :𝐴𝑥𝑖𝑎𝑙 𝑐𝑜𝑚𝑝𝑟𝑒𝑠𝑠𝑖𝑣𝑒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14</xdr:row>
      <xdr:rowOff>9525</xdr:rowOff>
    </xdr:from>
    <xdr:ext cx="209095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Metin kutusu 3"/>
            <xdr:cNvSpPr txBox="1"/>
          </xdr:nvSpPr>
          <xdr:spPr>
            <a:xfrm>
              <a:off x="9525" y="2676525"/>
              <a:ext cx="209095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𝑥𝑆𝑖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𝐼𝑑𝑒𝑎𝑙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𝑎𝑥𝑖𝑎𝑙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𝑏𝑢𝑐𝑘𝑙𝑖𝑛𝑔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4" name="Metin kutusu 3"/>
            <xdr:cNvSpPr txBox="1"/>
          </xdr:nvSpPr>
          <xdr:spPr>
            <a:xfrm>
              <a:off x="9525" y="2676525"/>
              <a:ext cx="209095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tr-TR" sz="1100" b="0" i="0">
                  <a:latin typeface="Cambria Math" panose="02040503050406030204" pitchFamily="18" charset="0"/>
                </a:rPr>
                <a:t>𝑥𝑆𝑖  :𝐼𝑑𝑒𝑎𝑙 𝑎𝑥𝑖𝑎𝑙 𝑏𝑢𝑐𝑘𝑙𝑖𝑛𝑔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15</xdr:row>
      <xdr:rowOff>38100</xdr:rowOff>
    </xdr:from>
    <xdr:ext cx="2317237" cy="17697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Metin kutusu 4"/>
            <xdr:cNvSpPr txBox="1"/>
          </xdr:nvSpPr>
          <xdr:spPr>
            <a:xfrm>
              <a:off x="0" y="2895600"/>
              <a:ext cx="2317237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𝑥𝑆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𝑅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𝐴𝑐𝑡𝑢𝑎𝑙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𝑎𝑥𝑖𝑎𝑙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𝑏𝑢𝑐𝑘𝑙𝑖𝑛𝑔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5" name="Metin kutusu 4"/>
            <xdr:cNvSpPr txBox="1"/>
          </xdr:nvSpPr>
          <xdr:spPr>
            <a:xfrm>
              <a:off x="0" y="2895600"/>
              <a:ext cx="2317237" cy="17697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𝜎_(</a:t>
              </a:r>
              <a:r>
                <a:rPr lang="tr-TR" sz="1100" b="0" i="0">
                  <a:latin typeface="Cambria Math" panose="02040503050406030204" pitchFamily="18" charset="0"/>
                </a:rPr>
                <a:t>𝑥𝑆,𝑅,𝑘)  :𝐴𝑐𝑡𝑢𝑎𝑙 𝑎𝑥𝑖𝑎𝑙 𝑏𝑢𝑐𝑘𝑙𝑖𝑛𝑔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16</xdr:row>
      <xdr:rowOff>38100</xdr:rowOff>
    </xdr:from>
    <xdr:ext cx="1836465" cy="18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Metin kutusu 5"/>
            <xdr:cNvSpPr txBox="1"/>
          </xdr:nvSpPr>
          <xdr:spPr>
            <a:xfrm>
              <a:off x="9525" y="3086100"/>
              <a:ext cx="1836465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𝐻𝑜𝑜𝑝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𝑐𝑜𝑚𝑝𝑟𝑒𝑠𝑠𝑖𝑣𝑒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6" name="Metin kutusu 5"/>
            <xdr:cNvSpPr txBox="1"/>
          </xdr:nvSpPr>
          <xdr:spPr>
            <a:xfrm>
              <a:off x="9525" y="3086100"/>
              <a:ext cx="1836465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tr-TR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𝜑</a:t>
              </a:r>
              <a:r>
                <a:rPr lang="tr-TR" sz="1100" b="0" i="0">
                  <a:latin typeface="Cambria Math" panose="02040503050406030204" pitchFamily="18" charset="0"/>
                </a:rPr>
                <a:t>:𝐻𝑜𝑜𝑝 𝑐𝑜𝑚𝑝𝑟𝑒𝑠𝑠𝑖𝑣𝑒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9525</xdr:colOff>
      <xdr:row>17</xdr:row>
      <xdr:rowOff>28575</xdr:rowOff>
    </xdr:from>
    <xdr:ext cx="2107821" cy="18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Metin kutusu 6"/>
            <xdr:cNvSpPr txBox="1"/>
          </xdr:nvSpPr>
          <xdr:spPr>
            <a:xfrm>
              <a:off x="9525" y="3267075"/>
              <a:ext cx="2107821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𝑆𝑖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𝐼𝑑𝑒𝑎𝑙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𝑎𝑥𝑖𝑎𝑙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𝑏𝑢𝑐𝑘𝑙𝑖𝑛𝑔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7" name="Metin kutusu 6"/>
            <xdr:cNvSpPr txBox="1"/>
          </xdr:nvSpPr>
          <xdr:spPr>
            <a:xfrm>
              <a:off x="9525" y="3267075"/>
              <a:ext cx="2107821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𝜎_𝜑</a:t>
              </a:r>
              <a:r>
                <a:rPr lang="tr-TR" sz="1100" b="0" i="0">
                  <a:latin typeface="Cambria Math" panose="02040503050406030204" pitchFamily="18" charset="0"/>
                </a:rPr>
                <a:t>𝑆𝑖  :𝐼𝑑𝑒𝑎𝑙 𝑎𝑥𝑖𝑎𝑙 𝑏𝑢𝑐𝑘𝑙𝑖𝑛𝑔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18</xdr:row>
      <xdr:rowOff>9525</xdr:rowOff>
    </xdr:from>
    <xdr:ext cx="2334101" cy="18460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Metin kutusu 7"/>
            <xdr:cNvSpPr txBox="1"/>
          </xdr:nvSpPr>
          <xdr:spPr>
            <a:xfrm>
              <a:off x="0" y="3438525"/>
              <a:ext cx="2334101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𝜎</m:t>
                        </m:r>
                      </m:e>
                      <m:sub>
                        <m:r>
                          <a:rPr lang="tr-TR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𝜑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𝑆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𝑅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,</m:t>
                        </m:r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𝑘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𝐴𝑐𝑡𝑢𝑎𝑙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𝑎𝑥𝑖𝑎𝑙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𝑏𝑢𝑐𝑘𝑙𝑖𝑛𝑔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𝑠𝑡𝑟𝑒𝑠𝑠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8" name="Metin kutusu 7"/>
            <xdr:cNvSpPr txBox="1"/>
          </xdr:nvSpPr>
          <xdr:spPr>
            <a:xfrm>
              <a:off x="0" y="3438525"/>
              <a:ext cx="2334101" cy="18460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𝜎_(𝜑</a:t>
              </a:r>
              <a:r>
                <a:rPr lang="tr-TR" sz="1100" b="0" i="0">
                  <a:latin typeface="Cambria Math" panose="02040503050406030204" pitchFamily="18" charset="0"/>
                </a:rPr>
                <a:t>𝑆,𝑅,𝑘)  :𝐴𝑐𝑡𝑢𝑎𝑙 𝑎𝑥𝑖𝑎𝑙 𝑏𝑢𝑐𝑘𝑙𝑖𝑛𝑔 𝑠𝑡𝑟𝑒𝑠𝑠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19050</xdr:colOff>
      <xdr:row>19</xdr:row>
      <xdr:rowOff>19050</xdr:rowOff>
    </xdr:from>
    <xdr:ext cx="114589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Metin kutusu 9"/>
            <xdr:cNvSpPr txBox="1"/>
          </xdr:nvSpPr>
          <xdr:spPr>
            <a:xfrm>
              <a:off x="19050" y="3638550"/>
              <a:ext cx="11458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tr-TR" sz="110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𝐶𝑦𝑙𝑖𝑛𝑑𝑒𝑟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𝑙𝑒𝑛𝑔𝑡h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10" name="Metin kutusu 9"/>
            <xdr:cNvSpPr txBox="1"/>
          </xdr:nvSpPr>
          <xdr:spPr>
            <a:xfrm>
              <a:off x="19050" y="3638550"/>
              <a:ext cx="114589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latin typeface="Cambria Math" panose="02040503050406030204" pitchFamily="18" charset="0"/>
                </a:rPr>
                <a:t>𝑙</a:t>
              </a:r>
              <a:r>
                <a:rPr lang="tr-TR" sz="1100" b="0" i="0">
                  <a:latin typeface="Cambria Math" panose="02040503050406030204" pitchFamily="18" charset="0"/>
                </a:rPr>
                <a:t>:𝐶𝑦𝑙𝑖𝑛𝑑𝑒𝑟 𝑙𝑒𝑛𝑔𝑡ℎ</a:t>
              </a:r>
              <a:endParaRPr lang="tr-TR" sz="1100"/>
            </a:p>
          </xdr:txBody>
        </xdr:sp>
      </mc:Fallback>
    </mc:AlternateContent>
    <xdr:clientData/>
  </xdr:oneCellAnchor>
  <xdr:oneCellAnchor>
    <xdr:from>
      <xdr:col>0</xdr:col>
      <xdr:colOff>38100</xdr:colOff>
      <xdr:row>20</xdr:row>
      <xdr:rowOff>9525</xdr:rowOff>
    </xdr:from>
    <xdr:ext cx="209153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Metin kutusu 10"/>
            <xdr:cNvSpPr txBox="1"/>
          </xdr:nvSpPr>
          <xdr:spPr>
            <a:xfrm>
              <a:off x="38100" y="3819525"/>
              <a:ext cx="20915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b="0"/>
                <a:t>r</a:t>
              </a:r>
              <a14:m>
                <m:oMath xmlns:m="http://schemas.openxmlformats.org/officeDocument/2006/math">
                  <m:r>
                    <a:rPr lang="tr-TR" sz="1100" b="0" i="1">
                      <a:latin typeface="Cambria Math" panose="02040503050406030204" pitchFamily="18" charset="0"/>
                    </a:rPr>
                    <m:t>: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𝑅𝑎𝑑𝑖𝑢𝑠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𝑜𝑓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𝑐𝑦𝑙𝑖𝑛𝑑𝑒𝑟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 </m:t>
                  </m:r>
                  <m:r>
                    <a:rPr lang="tr-TR" sz="1100" b="0" i="1">
                      <a:latin typeface="Cambria Math" panose="02040503050406030204" pitchFamily="18" charset="0"/>
                    </a:rPr>
                    <m:t>𝑚𝑖𝑑𝑠𝑢𝑟𝑓𝑎𝑐𝑒</m:t>
                  </m:r>
                </m:oMath>
              </a14:m>
              <a:endParaRPr lang="tr-TR" sz="1100"/>
            </a:p>
          </xdr:txBody>
        </xdr:sp>
      </mc:Choice>
      <mc:Fallback xmlns="">
        <xdr:sp macro="" textlink="">
          <xdr:nvSpPr>
            <xdr:cNvPr id="11" name="Metin kutusu 10"/>
            <xdr:cNvSpPr txBox="1"/>
          </xdr:nvSpPr>
          <xdr:spPr>
            <a:xfrm>
              <a:off x="38100" y="3819525"/>
              <a:ext cx="209153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b="0"/>
                <a:t>r</a:t>
              </a:r>
              <a:r>
                <a:rPr lang="tr-TR" sz="1100" b="0" i="0">
                  <a:latin typeface="Cambria Math" panose="02040503050406030204" pitchFamily="18" charset="0"/>
                </a:rPr>
                <a:t>:𝑅𝑎𝑑𝑖𝑢𝑠 𝑜𝑓 𝑐𝑦𝑙𝑖𝑛𝑑𝑒𝑟 𝑚𝑖𝑑𝑠𝑢𝑟𝑓𝑎𝑐𝑒</a:t>
              </a:r>
              <a:endParaRPr lang="tr-TR" sz="1100"/>
            </a:p>
          </xdr:txBody>
        </xdr:sp>
      </mc:Fallback>
    </mc:AlternateContent>
    <xdr:clientData/>
  </xdr:oneCellAnchor>
  <xdr:twoCellAnchor editAs="oneCell">
    <xdr:from>
      <xdr:col>8</xdr:col>
      <xdr:colOff>114300</xdr:colOff>
      <xdr:row>13</xdr:row>
      <xdr:rowOff>66675</xdr:rowOff>
    </xdr:from>
    <xdr:to>
      <xdr:col>16</xdr:col>
      <xdr:colOff>257831</xdr:colOff>
      <xdr:row>31</xdr:row>
      <xdr:rowOff>66675</xdr:rowOff>
    </xdr:to>
    <xdr:pic>
      <xdr:nvPicPr>
        <xdr:cNvPr id="12" name="Resim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01000" y="2543175"/>
          <a:ext cx="5734706" cy="34290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32</xdr:row>
      <xdr:rowOff>152400</xdr:rowOff>
    </xdr:from>
    <xdr:to>
      <xdr:col>17</xdr:col>
      <xdr:colOff>571500</xdr:colOff>
      <xdr:row>44</xdr:row>
      <xdr:rowOff>28526</xdr:rowOff>
    </xdr:to>
    <xdr:pic>
      <xdr:nvPicPr>
        <xdr:cNvPr id="13" name="Resim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3475" y="6267450"/>
          <a:ext cx="3533775" cy="2209751"/>
        </a:xfrm>
        <a:prstGeom prst="rect">
          <a:avLst/>
        </a:prstGeom>
      </xdr:spPr>
    </xdr:pic>
    <xdr:clientData/>
  </xdr:twoCellAnchor>
  <xdr:oneCellAnchor>
    <xdr:from>
      <xdr:col>0</xdr:col>
      <xdr:colOff>85725</xdr:colOff>
      <xdr:row>31</xdr:row>
      <xdr:rowOff>133350</xdr:rowOff>
    </xdr:from>
    <xdr:ext cx="2362122" cy="17966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Metin kutusu 13"/>
            <xdr:cNvSpPr txBox="1"/>
          </xdr:nvSpPr>
          <xdr:spPr>
            <a:xfrm>
              <a:off x="85725" y="6057900"/>
              <a:ext cx="2362122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tr-TR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acc>
                          <m:accPr>
                            <m:chr m:val="̅"/>
                            <m:ctrlPr>
                              <a:rPr lang="tr-TR" sz="1100" i="1">
                                <a:latin typeface="Cambria Math" panose="02040503050406030204" pitchFamily="18" charset="0"/>
                              </a:rPr>
                            </m:ctrlPr>
                          </m:accPr>
                          <m:e>
                            <m:r>
                              <a:rPr lang="tr-TR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𝜆</m:t>
                            </m:r>
                          </m:e>
                        </m:acc>
                      </m:e>
                      <m:sub>
                        <m:r>
                          <a:rPr lang="tr-TR" sz="1100" b="0" i="1">
                            <a:latin typeface="Cambria Math" panose="02040503050406030204" pitchFamily="18" charset="0"/>
                          </a:rPr>
                          <m:t>𝑆𝑥</m:t>
                        </m:r>
                      </m:sub>
                    </m:sSub>
                    <m:r>
                      <a:rPr lang="tr-TR" sz="1100" b="0" i="1">
                        <a:latin typeface="Cambria Math" panose="02040503050406030204" pitchFamily="18" charset="0"/>
                      </a:rPr>
                      <m:t> :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𝑁𝑜𝑛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−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𝑑𝑖𝑚𝑒𝑛𝑠𝑖𝑜𝑛𝑎𝑙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tr-TR" sz="1100" b="0" i="1">
                        <a:latin typeface="Cambria Math" panose="02040503050406030204" pitchFamily="18" charset="0"/>
                      </a:rPr>
                      <m:t>𝑠𝑙𝑒𝑛𝑑𝑒𝑟𝑛𝑒𝑠𝑠</m:t>
                    </m:r>
                  </m:oMath>
                </m:oMathPara>
              </a14:m>
              <a:endParaRPr lang="tr-TR" sz="1100"/>
            </a:p>
          </xdr:txBody>
        </xdr:sp>
      </mc:Choice>
      <mc:Fallback xmlns="">
        <xdr:sp macro="" textlink="">
          <xdr:nvSpPr>
            <xdr:cNvPr id="14" name="Metin kutusu 13"/>
            <xdr:cNvSpPr txBox="1"/>
          </xdr:nvSpPr>
          <xdr:spPr>
            <a:xfrm>
              <a:off x="85725" y="6057900"/>
              <a:ext cx="2362122" cy="1796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tr-TR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𝜆</a:t>
              </a:r>
              <a:r>
                <a:rPr lang="tr-TR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 ̅_</a:t>
              </a:r>
              <a:r>
                <a:rPr lang="tr-TR" sz="1100" b="0" i="0">
                  <a:latin typeface="Cambria Math" panose="02040503050406030204" pitchFamily="18" charset="0"/>
                </a:rPr>
                <a:t>𝑆𝑥  :𝑁𝑜𝑛−𝑑𝑖𝑚𝑒𝑛𝑠𝑖𝑜𝑛𝑎𝑙 𝑠𝑙𝑒𝑛𝑑𝑒𝑟𝑛𝑒𝑠𝑠</a:t>
              </a:r>
              <a:endParaRPr lang="tr-TR" sz="1100"/>
            </a:p>
          </xdr:txBody>
        </xdr:sp>
      </mc:Fallback>
    </mc:AlternateContent>
    <xdr:clientData/>
  </xdr:oneCellAnchor>
  <xdr:twoCellAnchor editAs="oneCell">
    <xdr:from>
      <xdr:col>4</xdr:col>
      <xdr:colOff>504826</xdr:colOff>
      <xdr:row>14</xdr:row>
      <xdr:rowOff>152400</xdr:rowOff>
    </xdr:from>
    <xdr:to>
      <xdr:col>6</xdr:col>
      <xdr:colOff>266701</xdr:colOff>
      <xdr:row>17</xdr:row>
      <xdr:rowOff>67051</xdr:rowOff>
    </xdr:to>
    <xdr:pic>
      <xdr:nvPicPr>
        <xdr:cNvPr id="15" name="Resim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86101" y="2819400"/>
          <a:ext cx="1695450" cy="486151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495300</xdr:colOff>
      <xdr:row>17</xdr:row>
      <xdr:rowOff>171450</xdr:rowOff>
    </xdr:from>
    <xdr:to>
      <xdr:col>6</xdr:col>
      <xdr:colOff>323850</xdr:colOff>
      <xdr:row>20</xdr:row>
      <xdr:rowOff>8656</xdr:rowOff>
    </xdr:to>
    <xdr:pic>
      <xdr:nvPicPr>
        <xdr:cNvPr id="16" name="Resim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76575" y="3409950"/>
          <a:ext cx="1762125" cy="408706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30</xdr:row>
      <xdr:rowOff>123826</xdr:rowOff>
    </xdr:from>
    <xdr:to>
      <xdr:col>6</xdr:col>
      <xdr:colOff>371475</xdr:colOff>
      <xdr:row>33</xdr:row>
      <xdr:rowOff>78708</xdr:rowOff>
    </xdr:to>
    <xdr:pic>
      <xdr:nvPicPr>
        <xdr:cNvPr id="17" name="Resim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28950" y="5857876"/>
          <a:ext cx="1857375" cy="526382"/>
        </a:xfrm>
        <a:prstGeom prst="rect">
          <a:avLst/>
        </a:prstGeom>
      </xdr:spPr>
    </xdr:pic>
    <xdr:clientData/>
  </xdr:twoCellAnchor>
  <xdr:twoCellAnchor>
    <xdr:from>
      <xdr:col>7</xdr:col>
      <xdr:colOff>685801</xdr:colOff>
      <xdr:row>43</xdr:row>
      <xdr:rowOff>85724</xdr:rowOff>
    </xdr:from>
    <xdr:to>
      <xdr:col>9</xdr:col>
      <xdr:colOff>819150</xdr:colOff>
      <xdr:row>62</xdr:row>
      <xdr:rowOff>114299</xdr:rowOff>
    </xdr:to>
    <xdr:graphicFrame macro="">
      <xdr:nvGraphicFramePr>
        <xdr:cNvPr id="18" name="Grafik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9525</xdr:colOff>
      <xdr:row>70</xdr:row>
      <xdr:rowOff>28575</xdr:rowOff>
    </xdr:from>
    <xdr:to>
      <xdr:col>4</xdr:col>
      <xdr:colOff>676276</xdr:colOff>
      <xdr:row>73</xdr:row>
      <xdr:rowOff>41486</xdr:rowOff>
    </xdr:to>
    <xdr:pic>
      <xdr:nvPicPr>
        <xdr:cNvPr id="19" name="Resim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5350" y="13449300"/>
          <a:ext cx="2771776" cy="584411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93</xdr:row>
      <xdr:rowOff>180975</xdr:rowOff>
    </xdr:from>
    <xdr:to>
      <xdr:col>3</xdr:col>
      <xdr:colOff>152400</xdr:colOff>
      <xdr:row>96</xdr:row>
      <xdr:rowOff>50706</xdr:rowOff>
    </xdr:to>
    <xdr:pic>
      <xdr:nvPicPr>
        <xdr:cNvPr id="20" name="Resim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95425" y="18049875"/>
          <a:ext cx="600075" cy="441231"/>
        </a:xfrm>
        <a:prstGeom prst="rect">
          <a:avLst/>
        </a:prstGeom>
      </xdr:spPr>
    </xdr:pic>
    <xdr:clientData/>
  </xdr:twoCellAnchor>
  <xdr:twoCellAnchor editAs="oneCell">
    <xdr:from>
      <xdr:col>6</xdr:col>
      <xdr:colOff>895350</xdr:colOff>
      <xdr:row>93</xdr:row>
      <xdr:rowOff>28576</xdr:rowOff>
    </xdr:from>
    <xdr:to>
      <xdr:col>12</xdr:col>
      <xdr:colOff>478738</xdr:colOff>
      <xdr:row>105</xdr:row>
      <xdr:rowOff>47626</xdr:rowOff>
    </xdr:to>
    <xdr:pic>
      <xdr:nvPicPr>
        <xdr:cNvPr id="21" name="Resim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62725" y="17897476"/>
          <a:ext cx="4755463" cy="2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109</xdr:row>
      <xdr:rowOff>114300</xdr:rowOff>
    </xdr:from>
    <xdr:to>
      <xdr:col>3</xdr:col>
      <xdr:colOff>561742</xdr:colOff>
      <xdr:row>112</xdr:row>
      <xdr:rowOff>161848</xdr:rowOff>
    </xdr:to>
    <xdr:pic>
      <xdr:nvPicPr>
        <xdr:cNvPr id="9" name="Resim 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6675" y="21012150"/>
          <a:ext cx="1866667" cy="6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23</xdr:row>
      <xdr:rowOff>142876</xdr:rowOff>
    </xdr:from>
    <xdr:to>
      <xdr:col>2</xdr:col>
      <xdr:colOff>400050</xdr:colOff>
      <xdr:row>26</xdr:row>
      <xdr:rowOff>185558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4524376"/>
          <a:ext cx="1438275" cy="614182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24</xdr:row>
      <xdr:rowOff>28575</xdr:rowOff>
    </xdr:from>
    <xdr:to>
      <xdr:col>4</xdr:col>
      <xdr:colOff>552450</xdr:colOff>
      <xdr:row>27</xdr:row>
      <xdr:rowOff>48502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6" y="4600575"/>
          <a:ext cx="1152524" cy="591427"/>
        </a:xfrm>
        <a:prstGeom prst="rect">
          <a:avLst/>
        </a:prstGeom>
      </xdr:spPr>
    </xdr:pic>
    <xdr:clientData/>
  </xdr:twoCellAnchor>
  <xdr:twoCellAnchor editAs="oneCell">
    <xdr:from>
      <xdr:col>9</xdr:col>
      <xdr:colOff>126911</xdr:colOff>
      <xdr:row>37</xdr:row>
      <xdr:rowOff>165449</xdr:rowOff>
    </xdr:from>
    <xdr:to>
      <xdr:col>16</xdr:col>
      <xdr:colOff>10445</xdr:colOff>
      <xdr:row>49</xdr:row>
      <xdr:rowOff>103876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-120000">
          <a:off x="5880011" y="7213949"/>
          <a:ext cx="4150734" cy="22244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19050</xdr:rowOff>
    </xdr:from>
    <xdr:to>
      <xdr:col>4</xdr:col>
      <xdr:colOff>514350</xdr:colOff>
      <xdr:row>47</xdr:row>
      <xdr:rowOff>136577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8591550"/>
          <a:ext cx="2943225" cy="498527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45</xdr:row>
      <xdr:rowOff>57150</xdr:rowOff>
    </xdr:from>
    <xdr:to>
      <xdr:col>6</xdr:col>
      <xdr:colOff>333376</xdr:colOff>
      <xdr:row>47</xdr:row>
      <xdr:rowOff>9525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81350" y="8629650"/>
          <a:ext cx="809626" cy="333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161925</xdr:rowOff>
    </xdr:from>
    <xdr:to>
      <xdr:col>3</xdr:col>
      <xdr:colOff>571200</xdr:colOff>
      <xdr:row>12</xdr:row>
      <xdr:rowOff>142830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66925"/>
          <a:ext cx="2400000" cy="3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0</xdr:row>
      <xdr:rowOff>114300</xdr:rowOff>
    </xdr:from>
    <xdr:to>
      <xdr:col>14</xdr:col>
      <xdr:colOff>287287</xdr:colOff>
      <xdr:row>15</xdr:row>
      <xdr:rowOff>142875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2925" y="114300"/>
          <a:ext cx="4468762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133350</xdr:rowOff>
    </xdr:from>
    <xdr:to>
      <xdr:col>2</xdr:col>
      <xdr:colOff>361755</xdr:colOff>
      <xdr:row>20</xdr:row>
      <xdr:rowOff>133302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3562350"/>
          <a:ext cx="1561905" cy="3809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4</xdr:row>
      <xdr:rowOff>114300</xdr:rowOff>
    </xdr:from>
    <xdr:to>
      <xdr:col>6</xdr:col>
      <xdr:colOff>190021</xdr:colOff>
      <xdr:row>6</xdr:row>
      <xdr:rowOff>180919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876300"/>
          <a:ext cx="3828571" cy="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9525</xdr:rowOff>
    </xdr:from>
    <xdr:to>
      <xdr:col>4</xdr:col>
      <xdr:colOff>199706</xdr:colOff>
      <xdr:row>25</xdr:row>
      <xdr:rowOff>104668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4010025"/>
          <a:ext cx="2552381" cy="857143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21</xdr:row>
      <xdr:rowOff>1</xdr:rowOff>
    </xdr:from>
    <xdr:to>
      <xdr:col>13</xdr:col>
      <xdr:colOff>190500</xdr:colOff>
      <xdr:row>27</xdr:row>
      <xdr:rowOff>63063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00650" y="4000501"/>
          <a:ext cx="2914650" cy="1206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95250</xdr:rowOff>
    </xdr:from>
    <xdr:to>
      <xdr:col>1</xdr:col>
      <xdr:colOff>247543</xdr:colOff>
      <xdr:row>37</xdr:row>
      <xdr:rowOff>133298</xdr:rowOff>
    </xdr:to>
    <xdr:pic>
      <xdr:nvPicPr>
        <xdr:cNvPr id="5" name="Resim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762750"/>
          <a:ext cx="857143" cy="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43</xdr:row>
      <xdr:rowOff>85725</xdr:rowOff>
    </xdr:from>
    <xdr:to>
      <xdr:col>8</xdr:col>
      <xdr:colOff>504155</xdr:colOff>
      <xdr:row>50</xdr:row>
      <xdr:rowOff>47463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" y="8277225"/>
          <a:ext cx="5361905" cy="1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48"/>
  <sheetViews>
    <sheetView workbookViewId="0">
      <selection activeCell="C13" sqref="C13"/>
    </sheetView>
  </sheetViews>
  <sheetFormatPr defaultRowHeight="15" x14ac:dyDescent="0.25"/>
  <cols>
    <col min="1" max="1" width="36.5703125" bestFit="1" customWidth="1"/>
    <col min="5" max="5" width="33" customWidth="1"/>
  </cols>
  <sheetData>
    <row r="2" spans="1:5" x14ac:dyDescent="0.25">
      <c r="A2" s="171" t="s">
        <v>487</v>
      </c>
      <c r="B2" s="171"/>
      <c r="C2" s="171"/>
      <c r="D2" s="171"/>
      <c r="E2" s="171"/>
    </row>
    <row r="3" spans="1:5" x14ac:dyDescent="0.25">
      <c r="A3" s="2" t="s">
        <v>0</v>
      </c>
      <c r="B3" s="2" t="s">
        <v>1</v>
      </c>
      <c r="C3" s="143" t="s">
        <v>488</v>
      </c>
      <c r="D3" s="1"/>
      <c r="E3" s="1"/>
    </row>
    <row r="4" spans="1:5" x14ac:dyDescent="0.25">
      <c r="A4" s="2" t="s">
        <v>2</v>
      </c>
      <c r="B4" s="2" t="s">
        <v>1</v>
      </c>
      <c r="C4" s="4">
        <v>1.5</v>
      </c>
      <c r="D4" s="2" t="s">
        <v>3</v>
      </c>
      <c r="E4" s="1"/>
    </row>
    <row r="5" spans="1:5" x14ac:dyDescent="0.25">
      <c r="A5" s="2" t="s">
        <v>4</v>
      </c>
      <c r="B5" s="2" t="s">
        <v>1</v>
      </c>
      <c r="C5" s="4">
        <v>1.8</v>
      </c>
      <c r="D5" s="2" t="s">
        <v>3</v>
      </c>
      <c r="E5" s="73" t="s">
        <v>155</v>
      </c>
    </row>
    <row r="7" spans="1:5" x14ac:dyDescent="0.25">
      <c r="A7" s="2" t="s">
        <v>5</v>
      </c>
      <c r="B7" s="2" t="s">
        <v>1</v>
      </c>
      <c r="C7" s="4">
        <v>0.38</v>
      </c>
      <c r="D7" s="1"/>
      <c r="E7" s="73" t="s">
        <v>159</v>
      </c>
    </row>
    <row r="8" spans="1:5" x14ac:dyDescent="0.25">
      <c r="A8" s="2" t="s">
        <v>6</v>
      </c>
      <c r="B8" s="2" t="s">
        <v>1</v>
      </c>
      <c r="C8" s="4">
        <v>1.31</v>
      </c>
      <c r="D8" s="1"/>
      <c r="E8" s="1"/>
    </row>
    <row r="9" spans="1:5" x14ac:dyDescent="0.25">
      <c r="A9" s="2" t="s">
        <v>7</v>
      </c>
      <c r="B9" s="2" t="s">
        <v>1</v>
      </c>
      <c r="C9" s="3">
        <f>C7*C8</f>
        <v>0.49780000000000002</v>
      </c>
      <c r="D9" s="1"/>
      <c r="E9" s="1"/>
    </row>
    <row r="10" spans="1:5" x14ac:dyDescent="0.25">
      <c r="A10" s="2" t="s">
        <v>8</v>
      </c>
      <c r="B10" s="2" t="s">
        <v>1</v>
      </c>
      <c r="C10" s="3">
        <f>C7/C8</f>
        <v>0.29007633587786258</v>
      </c>
      <c r="D10" s="1"/>
      <c r="E10" s="1"/>
    </row>
    <row r="12" spans="1:5" x14ac:dyDescent="0.25">
      <c r="A12" s="2" t="s">
        <v>9</v>
      </c>
      <c r="B12" s="2" t="s">
        <v>1</v>
      </c>
      <c r="C12" s="75" t="s">
        <v>10</v>
      </c>
      <c r="D12" s="172" t="s">
        <v>11</v>
      </c>
      <c r="E12" s="172"/>
    </row>
    <row r="13" spans="1:5" x14ac:dyDescent="0.25">
      <c r="A13" s="2" t="s">
        <v>12</v>
      </c>
      <c r="B13" s="2" t="s">
        <v>1</v>
      </c>
      <c r="C13" s="4">
        <v>0.56000000000000005</v>
      </c>
      <c r="D13" s="1"/>
      <c r="E13" s="1"/>
    </row>
    <row r="14" spans="1:5" x14ac:dyDescent="0.25">
      <c r="A14" s="2" t="s">
        <v>13</v>
      </c>
      <c r="B14" s="2" t="s">
        <v>1</v>
      </c>
      <c r="C14" s="4">
        <v>1.07</v>
      </c>
      <c r="D14" s="1"/>
      <c r="E14" s="1"/>
    </row>
    <row r="15" spans="1:5" x14ac:dyDescent="0.25">
      <c r="A15" s="2" t="s">
        <v>14</v>
      </c>
      <c r="B15" s="2" t="s">
        <v>1</v>
      </c>
      <c r="C15" s="3">
        <f>C13*C14</f>
        <v>0.59920000000000007</v>
      </c>
      <c r="D15" s="1"/>
      <c r="E15" s="1"/>
    </row>
    <row r="16" spans="1:5" x14ac:dyDescent="0.25">
      <c r="A16" s="2" t="s">
        <v>15</v>
      </c>
      <c r="B16" s="2" t="s">
        <v>1</v>
      </c>
      <c r="C16" s="3">
        <f>C13/C14</f>
        <v>0.52336448598130847</v>
      </c>
      <c r="D16" s="1"/>
      <c r="E16" s="1"/>
    </row>
    <row r="40" spans="1:5" x14ac:dyDescent="0.25">
      <c r="A40" s="7" t="s">
        <v>16</v>
      </c>
      <c r="B40" s="7" t="s">
        <v>1</v>
      </c>
      <c r="C40" s="10">
        <v>40</v>
      </c>
      <c r="D40" s="8" t="s">
        <v>17</v>
      </c>
      <c r="E40" s="74" t="s">
        <v>156</v>
      </c>
    </row>
    <row r="41" spans="1:5" x14ac:dyDescent="0.25">
      <c r="A41" s="7" t="s">
        <v>18</v>
      </c>
      <c r="B41" s="7" t="s">
        <v>1</v>
      </c>
      <c r="C41" s="10">
        <v>1.2</v>
      </c>
      <c r="D41" s="6"/>
    </row>
    <row r="42" spans="1:5" x14ac:dyDescent="0.25">
      <c r="A42" s="7" t="s">
        <v>19</v>
      </c>
      <c r="B42" s="7" t="s">
        <v>1</v>
      </c>
      <c r="C42" s="9">
        <f>C40*C41</f>
        <v>48</v>
      </c>
      <c r="D42" s="8" t="s">
        <v>17</v>
      </c>
    </row>
    <row r="43" spans="1:5" x14ac:dyDescent="0.25">
      <c r="A43" s="7" t="s">
        <v>20</v>
      </c>
      <c r="B43" s="7" t="s">
        <v>1</v>
      </c>
      <c r="C43" s="9">
        <f>C40/C41</f>
        <v>33.333333333333336</v>
      </c>
      <c r="D43" s="8" t="s">
        <v>17</v>
      </c>
    </row>
    <row r="45" spans="1:5" x14ac:dyDescent="0.25">
      <c r="A45" s="7" t="s">
        <v>30</v>
      </c>
      <c r="B45" s="7" t="s">
        <v>1</v>
      </c>
      <c r="C45" s="10">
        <v>47</v>
      </c>
      <c r="D45" s="8" t="s">
        <v>17</v>
      </c>
    </row>
    <row r="46" spans="1:5" x14ac:dyDescent="0.25">
      <c r="A46" s="7"/>
      <c r="B46" s="7"/>
      <c r="C46" s="15"/>
      <c r="D46" s="6"/>
    </row>
    <row r="47" spans="1:5" x14ac:dyDescent="0.25">
      <c r="A47" s="7"/>
      <c r="B47" s="7"/>
      <c r="C47" s="9"/>
      <c r="D47" s="8"/>
    </row>
    <row r="48" spans="1:5" x14ac:dyDescent="0.25">
      <c r="A48" s="7"/>
      <c r="B48" s="7"/>
      <c r="C48" s="9"/>
      <c r="D48" s="8"/>
    </row>
  </sheetData>
  <mergeCells count="2">
    <mergeCell ref="A2:E2"/>
    <mergeCell ref="D12:E1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3"/>
  <sheetViews>
    <sheetView topLeftCell="A10" workbookViewId="0">
      <selection activeCell="E36" sqref="E36"/>
    </sheetView>
  </sheetViews>
  <sheetFormatPr defaultRowHeight="15" x14ac:dyDescent="0.25"/>
  <cols>
    <col min="2" max="2" width="16.42578125" bestFit="1" customWidth="1"/>
    <col min="16" max="16" width="79.42578125" bestFit="1" customWidth="1"/>
  </cols>
  <sheetData>
    <row r="3" spans="2:16" x14ac:dyDescent="0.25">
      <c r="B3" s="198" t="s">
        <v>374</v>
      </c>
      <c r="C3" s="198"/>
      <c r="D3" s="198"/>
      <c r="E3" s="198"/>
      <c r="F3" s="198"/>
      <c r="G3" s="198"/>
      <c r="H3" s="198"/>
      <c r="I3" s="198"/>
      <c r="J3" s="198"/>
      <c r="K3" s="198"/>
      <c r="M3" s="198" t="s">
        <v>489</v>
      </c>
      <c r="N3" s="198"/>
      <c r="O3" s="198"/>
      <c r="P3" s="198"/>
    </row>
    <row r="4" spans="2:16" ht="45" x14ac:dyDescent="0.25">
      <c r="B4" s="107">
        <v>1</v>
      </c>
      <c r="C4" s="107" t="s">
        <v>356</v>
      </c>
      <c r="D4" s="107" t="s">
        <v>351</v>
      </c>
      <c r="E4" s="177" t="s">
        <v>352</v>
      </c>
      <c r="F4" s="177"/>
      <c r="G4" s="177"/>
      <c r="H4" s="177"/>
      <c r="I4" s="177"/>
      <c r="J4" s="177"/>
      <c r="K4" s="177"/>
      <c r="M4" s="144" t="s">
        <v>493</v>
      </c>
      <c r="N4" s="144" t="s">
        <v>490</v>
      </c>
      <c r="O4" s="145" t="s">
        <v>491</v>
      </c>
      <c r="P4" s="144" t="s">
        <v>492</v>
      </c>
    </row>
    <row r="5" spans="2:16" x14ac:dyDescent="0.25">
      <c r="B5" s="107">
        <v>2</v>
      </c>
      <c r="C5" s="107" t="s">
        <v>355</v>
      </c>
      <c r="D5" s="107" t="s">
        <v>354</v>
      </c>
      <c r="E5" s="177" t="s">
        <v>357</v>
      </c>
      <c r="F5" s="177"/>
      <c r="G5" s="177"/>
      <c r="H5" s="177"/>
      <c r="I5" s="177"/>
      <c r="J5" s="177"/>
      <c r="K5" s="177"/>
      <c r="M5" s="133">
        <v>1</v>
      </c>
      <c r="N5" s="133" t="s">
        <v>356</v>
      </c>
      <c r="O5" s="133" t="s">
        <v>351</v>
      </c>
      <c r="P5" s="132" t="s">
        <v>494</v>
      </c>
    </row>
    <row r="6" spans="2:16" x14ac:dyDescent="0.25">
      <c r="B6" s="107">
        <v>3</v>
      </c>
      <c r="C6" s="107" t="s">
        <v>353</v>
      </c>
      <c r="D6" s="107" t="s">
        <v>354</v>
      </c>
      <c r="E6" s="177" t="s">
        <v>358</v>
      </c>
      <c r="F6" s="177"/>
      <c r="G6" s="177"/>
      <c r="H6" s="177"/>
      <c r="I6" s="177"/>
      <c r="J6" s="177"/>
      <c r="K6" s="177"/>
      <c r="M6" s="133">
        <v>2</v>
      </c>
      <c r="N6" s="133" t="s">
        <v>355</v>
      </c>
      <c r="O6" s="133" t="s">
        <v>354</v>
      </c>
      <c r="P6" s="132" t="s">
        <v>495</v>
      </c>
    </row>
    <row r="7" spans="2:16" x14ac:dyDescent="0.25">
      <c r="B7" s="107">
        <v>4</v>
      </c>
      <c r="C7" s="107" t="s">
        <v>362</v>
      </c>
      <c r="D7" s="107" t="s">
        <v>354</v>
      </c>
      <c r="E7" s="177" t="s">
        <v>359</v>
      </c>
      <c r="F7" s="177"/>
      <c r="G7" s="177"/>
      <c r="H7" s="177"/>
      <c r="I7" s="177"/>
      <c r="J7" s="177"/>
      <c r="K7" s="177"/>
      <c r="M7" s="133">
        <v>3</v>
      </c>
      <c r="N7" s="133" t="s">
        <v>353</v>
      </c>
      <c r="O7" s="133" t="s">
        <v>354</v>
      </c>
      <c r="P7" s="132" t="s">
        <v>496</v>
      </c>
    </row>
    <row r="8" spans="2:16" x14ac:dyDescent="0.25">
      <c r="B8" s="107">
        <v>5</v>
      </c>
      <c r="C8" s="107" t="s">
        <v>366</v>
      </c>
      <c r="D8" s="107" t="s">
        <v>354</v>
      </c>
      <c r="E8" s="177" t="s">
        <v>361</v>
      </c>
      <c r="F8" s="177"/>
      <c r="G8" s="177"/>
      <c r="H8" s="177"/>
      <c r="I8" s="177"/>
      <c r="J8" s="177"/>
      <c r="K8" s="177"/>
      <c r="M8" s="133">
        <v>4</v>
      </c>
      <c r="N8" s="133" t="s">
        <v>362</v>
      </c>
      <c r="O8" s="133" t="s">
        <v>354</v>
      </c>
      <c r="P8" s="132" t="s">
        <v>497</v>
      </c>
    </row>
    <row r="9" spans="2:16" x14ac:dyDescent="0.25">
      <c r="B9" s="107">
        <v>6</v>
      </c>
      <c r="C9" s="107" t="s">
        <v>363</v>
      </c>
      <c r="D9" s="107" t="s">
        <v>354</v>
      </c>
      <c r="E9" s="177" t="s">
        <v>360</v>
      </c>
      <c r="F9" s="177"/>
      <c r="G9" s="177"/>
      <c r="H9" s="177"/>
      <c r="I9" s="177"/>
      <c r="J9" s="177"/>
      <c r="K9" s="177"/>
      <c r="M9" s="133">
        <v>5</v>
      </c>
      <c r="N9" s="133" t="s">
        <v>366</v>
      </c>
      <c r="O9" s="133" t="s">
        <v>354</v>
      </c>
      <c r="P9" s="132" t="s">
        <v>498</v>
      </c>
    </row>
    <row r="10" spans="2:16" x14ac:dyDescent="0.25">
      <c r="B10" s="107">
        <v>7</v>
      </c>
      <c r="C10" s="107" t="s">
        <v>364</v>
      </c>
      <c r="D10" s="107" t="s">
        <v>354</v>
      </c>
      <c r="E10" s="177" t="s">
        <v>365</v>
      </c>
      <c r="F10" s="177"/>
      <c r="G10" s="177"/>
      <c r="H10" s="177"/>
      <c r="I10" s="177"/>
      <c r="J10" s="177"/>
      <c r="K10" s="177"/>
      <c r="M10" s="133">
        <v>6</v>
      </c>
      <c r="N10" s="133" t="s">
        <v>363</v>
      </c>
      <c r="O10" s="133" t="s">
        <v>354</v>
      </c>
      <c r="P10" s="132" t="s">
        <v>499</v>
      </c>
    </row>
    <row r="11" spans="2:16" x14ac:dyDescent="0.25">
      <c r="B11" s="107">
        <v>8</v>
      </c>
      <c r="C11" s="107" t="s">
        <v>367</v>
      </c>
      <c r="D11" s="107" t="s">
        <v>354</v>
      </c>
      <c r="E11" s="177" t="s">
        <v>368</v>
      </c>
      <c r="F11" s="177"/>
      <c r="G11" s="177"/>
      <c r="H11" s="177"/>
      <c r="I11" s="177"/>
      <c r="J11" s="177"/>
      <c r="K11" s="177"/>
      <c r="M11" s="133">
        <v>7</v>
      </c>
      <c r="N11" s="133" t="s">
        <v>364</v>
      </c>
      <c r="O11" s="133" t="s">
        <v>354</v>
      </c>
      <c r="P11" s="132" t="s">
        <v>500</v>
      </c>
    </row>
    <row r="12" spans="2:16" x14ac:dyDescent="0.25">
      <c r="B12" s="107">
        <v>9</v>
      </c>
      <c r="C12" s="107" t="s">
        <v>369</v>
      </c>
      <c r="D12" s="107" t="s">
        <v>370</v>
      </c>
      <c r="E12" s="177" t="s">
        <v>372</v>
      </c>
      <c r="F12" s="177"/>
      <c r="G12" s="177"/>
      <c r="H12" s="177"/>
      <c r="I12" s="177"/>
      <c r="J12" s="177"/>
      <c r="K12" s="177"/>
      <c r="M12" s="133">
        <v>8</v>
      </c>
      <c r="N12" s="133" t="s">
        <v>367</v>
      </c>
      <c r="O12" s="133" t="s">
        <v>354</v>
      </c>
      <c r="P12" s="132" t="s">
        <v>501</v>
      </c>
    </row>
    <row r="13" spans="2:16" x14ac:dyDescent="0.25">
      <c r="B13" s="107">
        <v>10</v>
      </c>
      <c r="C13" s="107" t="s">
        <v>371</v>
      </c>
      <c r="D13" s="107" t="s">
        <v>370</v>
      </c>
      <c r="E13" s="177" t="s">
        <v>373</v>
      </c>
      <c r="F13" s="177"/>
      <c r="G13" s="177"/>
      <c r="H13" s="177"/>
      <c r="I13" s="177"/>
      <c r="J13" s="177"/>
      <c r="K13" s="177"/>
      <c r="M13" s="133">
        <v>9</v>
      </c>
      <c r="N13" s="133" t="s">
        <v>369</v>
      </c>
      <c r="O13" s="133" t="s">
        <v>370</v>
      </c>
      <c r="P13" s="132" t="s">
        <v>502</v>
      </c>
    </row>
    <row r="14" spans="2:16" x14ac:dyDescent="0.25">
      <c r="B14" s="37"/>
      <c r="C14" s="37"/>
      <c r="D14" s="37"/>
      <c r="E14" s="37"/>
      <c r="F14" s="37"/>
      <c r="G14" s="37"/>
      <c r="H14" s="37"/>
      <c r="M14" s="133">
        <v>10</v>
      </c>
      <c r="N14" s="133" t="s">
        <v>371</v>
      </c>
      <c r="O14" s="133" t="s">
        <v>370</v>
      </c>
      <c r="P14" s="132" t="s">
        <v>503</v>
      </c>
    </row>
    <row r="15" spans="2:16" x14ac:dyDescent="0.25">
      <c r="B15" s="37"/>
      <c r="C15" s="37"/>
      <c r="D15" s="37"/>
      <c r="E15" s="37"/>
      <c r="F15" s="37"/>
      <c r="G15" s="37"/>
      <c r="H15" s="37"/>
    </row>
    <row r="16" spans="2:16" x14ac:dyDescent="0.25">
      <c r="B16" s="198" t="s">
        <v>375</v>
      </c>
      <c r="C16" s="198"/>
      <c r="D16" s="198"/>
      <c r="E16" s="198"/>
      <c r="F16" s="198"/>
      <c r="G16" s="198"/>
      <c r="H16" s="198"/>
      <c r="I16" s="198"/>
      <c r="J16" s="198"/>
      <c r="K16" s="111"/>
    </row>
    <row r="17" spans="2:11" x14ac:dyDescent="0.25">
      <c r="B17" s="199" t="s">
        <v>376</v>
      </c>
      <c r="C17" s="199"/>
      <c r="D17" s="199" t="s">
        <v>380</v>
      </c>
      <c r="E17" s="199"/>
      <c r="F17" s="199"/>
      <c r="G17" s="199"/>
      <c r="H17" s="199"/>
      <c r="I17" s="199"/>
      <c r="J17" s="199"/>
      <c r="K17" s="37"/>
    </row>
    <row r="18" spans="2:11" x14ac:dyDescent="0.25">
      <c r="B18" s="177" t="s">
        <v>378</v>
      </c>
      <c r="C18" s="177"/>
      <c r="D18" s="177" t="s">
        <v>377</v>
      </c>
      <c r="E18" s="177"/>
      <c r="F18" s="177"/>
      <c r="G18" s="177"/>
      <c r="H18" s="177"/>
      <c r="I18" s="177"/>
      <c r="J18" s="177"/>
      <c r="K18" s="110"/>
    </row>
    <row r="19" spans="2:11" x14ac:dyDescent="0.25">
      <c r="B19" s="177" t="s">
        <v>379</v>
      </c>
      <c r="C19" s="177"/>
      <c r="D19" s="177" t="s">
        <v>381</v>
      </c>
      <c r="E19" s="177"/>
      <c r="F19" s="177"/>
      <c r="G19" s="177"/>
      <c r="H19" s="177"/>
      <c r="I19" s="177"/>
      <c r="J19" s="177"/>
    </row>
    <row r="20" spans="2:11" x14ac:dyDescent="0.25">
      <c r="B20" s="177" t="s">
        <v>387</v>
      </c>
      <c r="C20" s="177"/>
      <c r="D20" s="177" t="s">
        <v>382</v>
      </c>
      <c r="E20" s="177"/>
      <c r="F20" s="177"/>
      <c r="G20" s="177"/>
      <c r="H20" s="177"/>
      <c r="I20" s="177"/>
      <c r="J20" s="177"/>
    </row>
    <row r="21" spans="2:11" x14ac:dyDescent="0.25">
      <c r="B21" s="177"/>
      <c r="C21" s="177"/>
      <c r="D21" s="177" t="s">
        <v>383</v>
      </c>
      <c r="E21" s="177"/>
      <c r="F21" s="177"/>
      <c r="G21" s="177"/>
      <c r="H21" s="177"/>
      <c r="I21" s="177"/>
      <c r="J21" s="177"/>
    </row>
    <row r="22" spans="2:11" x14ac:dyDescent="0.25">
      <c r="B22" s="177" t="s">
        <v>384</v>
      </c>
      <c r="C22" s="177"/>
      <c r="D22" s="177" t="s">
        <v>385</v>
      </c>
      <c r="E22" s="177"/>
      <c r="F22" s="177"/>
      <c r="G22" s="177"/>
      <c r="H22" s="177"/>
      <c r="I22" s="177"/>
      <c r="J22" s="177"/>
    </row>
    <row r="23" spans="2:11" x14ac:dyDescent="0.25">
      <c r="B23" s="196"/>
      <c r="C23" s="197"/>
      <c r="D23" s="177" t="s">
        <v>386</v>
      </c>
      <c r="E23" s="177"/>
      <c r="F23" s="177"/>
      <c r="G23" s="177"/>
      <c r="H23" s="177"/>
      <c r="I23" s="177"/>
      <c r="J23" s="177"/>
    </row>
    <row r="26" spans="2:11" x14ac:dyDescent="0.25">
      <c r="B26" s="198" t="s">
        <v>504</v>
      </c>
      <c r="C26" s="198"/>
      <c r="D26" s="198"/>
      <c r="E26" s="198"/>
      <c r="F26" s="198"/>
      <c r="G26" s="198"/>
      <c r="H26" s="198"/>
      <c r="I26" s="198"/>
      <c r="J26" s="198"/>
    </row>
    <row r="27" spans="2:11" x14ac:dyDescent="0.25">
      <c r="B27" s="199" t="s">
        <v>505</v>
      </c>
      <c r="C27" s="199"/>
      <c r="D27" s="199" t="s">
        <v>506</v>
      </c>
      <c r="E27" s="199"/>
      <c r="F27" s="199"/>
      <c r="G27" s="199"/>
      <c r="H27" s="199"/>
      <c r="I27" s="199"/>
      <c r="J27" s="199"/>
    </row>
    <row r="28" spans="2:11" x14ac:dyDescent="0.25">
      <c r="B28" s="177" t="s">
        <v>507</v>
      </c>
      <c r="C28" s="177"/>
      <c r="D28" s="177" t="s">
        <v>377</v>
      </c>
      <c r="E28" s="177"/>
      <c r="F28" s="177"/>
      <c r="G28" s="177"/>
      <c r="H28" s="177"/>
      <c r="I28" s="177"/>
      <c r="J28" s="177"/>
    </row>
    <row r="29" spans="2:11" x14ac:dyDescent="0.25">
      <c r="B29" s="177" t="s">
        <v>508</v>
      </c>
      <c r="C29" s="177"/>
      <c r="D29" s="177" t="s">
        <v>381</v>
      </c>
      <c r="E29" s="177"/>
      <c r="F29" s="177"/>
      <c r="G29" s="177"/>
      <c r="H29" s="177"/>
      <c r="I29" s="177"/>
      <c r="J29" s="177"/>
    </row>
    <row r="30" spans="2:11" x14ac:dyDescent="0.25">
      <c r="B30" s="177" t="s">
        <v>509</v>
      </c>
      <c r="C30" s="177"/>
      <c r="D30" s="177" t="s">
        <v>382</v>
      </c>
      <c r="E30" s="177"/>
      <c r="F30" s="177"/>
      <c r="G30" s="177"/>
      <c r="H30" s="177"/>
      <c r="I30" s="177"/>
      <c r="J30" s="177"/>
    </row>
    <row r="31" spans="2:11" x14ac:dyDescent="0.25">
      <c r="B31" s="177"/>
      <c r="C31" s="177"/>
      <c r="D31" s="177" t="s">
        <v>383</v>
      </c>
      <c r="E31" s="177"/>
      <c r="F31" s="177"/>
      <c r="G31" s="177"/>
      <c r="H31" s="177"/>
      <c r="I31" s="177"/>
      <c r="J31" s="177"/>
    </row>
    <row r="32" spans="2:11" x14ac:dyDescent="0.25">
      <c r="B32" s="177" t="s">
        <v>510</v>
      </c>
      <c r="C32" s="177"/>
      <c r="D32" s="177" t="s">
        <v>385</v>
      </c>
      <c r="E32" s="177"/>
      <c r="F32" s="177"/>
      <c r="G32" s="177"/>
      <c r="H32" s="177"/>
      <c r="I32" s="177"/>
      <c r="J32" s="177"/>
    </row>
    <row r="33" spans="2:10" x14ac:dyDescent="0.25">
      <c r="B33" s="196"/>
      <c r="C33" s="197"/>
      <c r="D33" s="177" t="s">
        <v>386</v>
      </c>
      <c r="E33" s="177"/>
      <c r="F33" s="177"/>
      <c r="G33" s="177"/>
      <c r="H33" s="177"/>
      <c r="I33" s="177"/>
      <c r="J33" s="177"/>
    </row>
  </sheetData>
  <mergeCells count="42">
    <mergeCell ref="E8:K8"/>
    <mergeCell ref="B3:K3"/>
    <mergeCell ref="E5:K5"/>
    <mergeCell ref="E4:K4"/>
    <mergeCell ref="E6:K6"/>
    <mergeCell ref="E7:K7"/>
    <mergeCell ref="E9:K9"/>
    <mergeCell ref="E10:K10"/>
    <mergeCell ref="E11:K11"/>
    <mergeCell ref="E12:K12"/>
    <mergeCell ref="E13:K13"/>
    <mergeCell ref="M3:P3"/>
    <mergeCell ref="D23:J23"/>
    <mergeCell ref="B16:J16"/>
    <mergeCell ref="B23:C23"/>
    <mergeCell ref="B20:C20"/>
    <mergeCell ref="B21:C21"/>
    <mergeCell ref="B22:C22"/>
    <mergeCell ref="D17:J17"/>
    <mergeCell ref="D18:J18"/>
    <mergeCell ref="D19:J19"/>
    <mergeCell ref="D20:J20"/>
    <mergeCell ref="D21:J21"/>
    <mergeCell ref="D22:J22"/>
    <mergeCell ref="B18:C18"/>
    <mergeCell ref="B17:C17"/>
    <mergeCell ref="B19:C19"/>
    <mergeCell ref="B26:J26"/>
    <mergeCell ref="B27:C27"/>
    <mergeCell ref="D27:J27"/>
    <mergeCell ref="B28:C28"/>
    <mergeCell ref="D28:J28"/>
    <mergeCell ref="B32:C32"/>
    <mergeCell ref="D32:J32"/>
    <mergeCell ref="B33:C33"/>
    <mergeCell ref="D33:J33"/>
    <mergeCell ref="B29:C29"/>
    <mergeCell ref="D29:J29"/>
    <mergeCell ref="B30:C30"/>
    <mergeCell ref="D30:J30"/>
    <mergeCell ref="B31:C31"/>
    <mergeCell ref="D31:J3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36"/>
  <sheetViews>
    <sheetView workbookViewId="0">
      <selection activeCell="I13" sqref="I13"/>
    </sheetView>
  </sheetViews>
  <sheetFormatPr defaultRowHeight="15" x14ac:dyDescent="0.25"/>
  <cols>
    <col min="1" max="1" width="10.5703125" customWidth="1"/>
    <col min="2" max="2" width="11.42578125" bestFit="1" customWidth="1"/>
    <col min="3" max="3" width="12.85546875" bestFit="1" customWidth="1"/>
    <col min="4" max="4" width="10.5703125" bestFit="1" customWidth="1"/>
    <col min="6" max="6" width="9.140625" customWidth="1"/>
    <col min="8" max="8" width="25.140625" bestFit="1" customWidth="1"/>
    <col min="9" max="9" width="28" bestFit="1" customWidth="1"/>
    <col min="10" max="10" width="11.140625" bestFit="1" customWidth="1"/>
    <col min="12" max="12" width="15.7109375" bestFit="1" customWidth="1"/>
    <col min="15" max="15" width="15.140625" bestFit="1" customWidth="1"/>
  </cols>
  <sheetData>
    <row r="2" spans="1:16" x14ac:dyDescent="0.25">
      <c r="A2" s="35" t="s">
        <v>511</v>
      </c>
    </row>
    <row r="3" spans="1:16" x14ac:dyDescent="0.25">
      <c r="A3" s="69" t="s">
        <v>512</v>
      </c>
      <c r="C3" s="123" t="s">
        <v>416</v>
      </c>
      <c r="E3" s="69" t="s">
        <v>513</v>
      </c>
      <c r="G3" s="124">
        <v>4</v>
      </c>
      <c r="J3" s="113" t="s">
        <v>415</v>
      </c>
      <c r="K3" s="113" t="s">
        <v>420</v>
      </c>
      <c r="L3" s="113" t="s">
        <v>421</v>
      </c>
      <c r="O3" s="122" t="s">
        <v>423</v>
      </c>
      <c r="P3" s="122" t="s">
        <v>56</v>
      </c>
    </row>
    <row r="4" spans="1:16" x14ac:dyDescent="0.25">
      <c r="A4" s="5" t="s">
        <v>514</v>
      </c>
      <c r="F4" s="50">
        <f>VLOOKUP(C3,J3:L7,2,)</f>
        <v>0.1</v>
      </c>
      <c r="G4" t="s">
        <v>422</v>
      </c>
      <c r="J4" s="113" t="s">
        <v>416</v>
      </c>
      <c r="K4" s="113">
        <v>0.1</v>
      </c>
      <c r="L4" s="113">
        <v>0.3</v>
      </c>
      <c r="O4" s="113">
        <v>1</v>
      </c>
      <c r="P4" s="122">
        <v>0.4</v>
      </c>
    </row>
    <row r="5" spans="1:16" x14ac:dyDescent="0.25">
      <c r="A5" s="5" t="s">
        <v>515</v>
      </c>
      <c r="F5" s="50">
        <f>VLOOKUP(C3,J3:L7,3,)</f>
        <v>0.3</v>
      </c>
      <c r="G5" t="s">
        <v>422</v>
      </c>
      <c r="J5" s="113" t="s">
        <v>417</v>
      </c>
      <c r="K5" s="113">
        <v>0.15</v>
      </c>
      <c r="L5" s="113">
        <v>0.4</v>
      </c>
      <c r="O5" s="113">
        <v>2</v>
      </c>
      <c r="P5" s="122">
        <v>0.3</v>
      </c>
    </row>
    <row r="6" spans="1:16" x14ac:dyDescent="0.25">
      <c r="A6" s="5" t="s">
        <v>516</v>
      </c>
      <c r="F6" s="11">
        <v>0.2</v>
      </c>
      <c r="G6" t="s">
        <v>422</v>
      </c>
      <c r="J6" s="113" t="s">
        <v>418</v>
      </c>
      <c r="K6" s="113">
        <v>0.15</v>
      </c>
      <c r="L6" s="113">
        <v>0.6</v>
      </c>
      <c r="O6" s="113">
        <v>3</v>
      </c>
      <c r="P6" s="122">
        <v>0.2</v>
      </c>
    </row>
    <row r="7" spans="1:16" x14ac:dyDescent="0.25">
      <c r="A7" s="5" t="s">
        <v>517</v>
      </c>
      <c r="F7" s="11">
        <v>4</v>
      </c>
      <c r="J7" s="113" t="s">
        <v>419</v>
      </c>
      <c r="K7" s="113">
        <v>0.2</v>
      </c>
      <c r="L7" s="113">
        <v>0.9</v>
      </c>
      <c r="O7" s="113">
        <v>4</v>
      </c>
      <c r="P7" s="122">
        <v>0.1</v>
      </c>
    </row>
    <row r="8" spans="1:16" x14ac:dyDescent="0.25">
      <c r="A8" s="5" t="s">
        <v>518</v>
      </c>
      <c r="F8">
        <f>IF(F6&lt;F4,1.5+(F7-1.5)*(F6/F4),F7)</f>
        <v>4</v>
      </c>
    </row>
    <row r="9" spans="1:16" x14ac:dyDescent="0.25">
      <c r="A9" s="5" t="s">
        <v>519</v>
      </c>
      <c r="F9" s="104">
        <f>IF(F6&lt;=F4,1+1.5*F6/F4,IF(F6=F5,2.5,2.5*(F5/F6)^0.8))</f>
        <v>3.4579046680564787</v>
      </c>
    </row>
    <row r="10" spans="1:16" x14ac:dyDescent="0.25">
      <c r="A10" s="5" t="s">
        <v>520</v>
      </c>
      <c r="F10">
        <f>VLOOKUP(G3,O3:P7,2,)</f>
        <v>0.1</v>
      </c>
    </row>
    <row r="11" spans="1:16" x14ac:dyDescent="0.25">
      <c r="A11" s="5" t="s">
        <v>521</v>
      </c>
      <c r="F11" s="11">
        <v>1</v>
      </c>
    </row>
    <row r="12" spans="1:16" x14ac:dyDescent="0.25">
      <c r="A12" s="5" t="s">
        <v>522</v>
      </c>
      <c r="F12" s="39">
        <f>F10*F11*F9</f>
        <v>0.3457904668056479</v>
      </c>
    </row>
    <row r="13" spans="1:16" x14ac:dyDescent="0.25">
      <c r="A13" s="5" t="s">
        <v>523</v>
      </c>
      <c r="F13" s="39">
        <f>F12*9.81</f>
        <v>3.3922044793634059</v>
      </c>
      <c r="G13" t="s">
        <v>428</v>
      </c>
    </row>
    <row r="14" spans="1:16" x14ac:dyDescent="0.25">
      <c r="A14" s="5" t="s">
        <v>529</v>
      </c>
      <c r="F14" s="108">
        <f>'Ring Girder'!F19+0.3*'Preliminary Design'!E28</f>
        <v>1167.1948609290171</v>
      </c>
      <c r="G14" t="s">
        <v>79</v>
      </c>
    </row>
    <row r="15" spans="1:16" x14ac:dyDescent="0.25">
      <c r="A15" s="5" t="s">
        <v>524</v>
      </c>
      <c r="F15" s="104">
        <f>F14*F12/F8</f>
        <v>100.90121395344953</v>
      </c>
      <c r="G15" t="s">
        <v>60</v>
      </c>
      <c r="H15" s="37" t="str">
        <f>IF(F15&gt;I15,"&gt;","&lt;")</f>
        <v>&gt;</v>
      </c>
      <c r="I15" s="146">
        <f>0.1*F10*F11*F14</f>
        <v>11.671948609290173</v>
      </c>
    </row>
    <row r="16" spans="1:16" x14ac:dyDescent="0.25">
      <c r="H16" s="82" t="str">
        <f>IF(F15&gt;I15,"OK","NOT OK!")</f>
        <v>OK</v>
      </c>
    </row>
    <row r="19" spans="1:23" x14ac:dyDescent="0.25">
      <c r="A19" s="200" t="s">
        <v>525</v>
      </c>
      <c r="B19" s="200"/>
      <c r="C19" s="200"/>
      <c r="D19" s="200"/>
      <c r="E19" s="200"/>
      <c r="F19" s="200"/>
      <c r="G19" s="200"/>
      <c r="H19" s="200"/>
      <c r="I19" s="200"/>
    </row>
    <row r="20" spans="1:23" x14ac:dyDescent="0.25">
      <c r="A20" s="13" t="s">
        <v>429</v>
      </c>
      <c r="B20" s="133" t="s">
        <v>530</v>
      </c>
      <c r="C20" s="13" t="s">
        <v>531</v>
      </c>
      <c r="D20" s="113" t="s">
        <v>445</v>
      </c>
      <c r="E20" s="113" t="s">
        <v>439</v>
      </c>
      <c r="F20" s="113" t="s">
        <v>447</v>
      </c>
      <c r="G20" s="113" t="s">
        <v>446</v>
      </c>
      <c r="H20" s="113" t="s">
        <v>526</v>
      </c>
      <c r="I20" s="113" t="s">
        <v>527</v>
      </c>
      <c r="L20" s="50" t="s">
        <v>440</v>
      </c>
      <c r="M20" s="37" t="s">
        <v>424</v>
      </c>
      <c r="N20" s="37" t="s">
        <v>441</v>
      </c>
      <c r="O20" s="37" t="s">
        <v>442</v>
      </c>
      <c r="Q20" s="35" t="s">
        <v>405</v>
      </c>
    </row>
    <row r="21" spans="1:23" x14ac:dyDescent="0.25">
      <c r="A21" s="125">
        <v>1</v>
      </c>
      <c r="B21" s="126" t="s">
        <v>430</v>
      </c>
      <c r="C21" s="127">
        <v>0</v>
      </c>
      <c r="D21" s="113">
        <f>(C21+C22)/2</f>
        <v>0.47499999999999998</v>
      </c>
      <c r="E21" s="128">
        <f>'EUROCODE1-Loads on Silo Hoppers'!J40*th*7.5/1000+O21*1.8</f>
        <v>8.5838759344010551</v>
      </c>
      <c r="F21" s="109">
        <f>D21*E21</f>
        <v>4.077341068840501</v>
      </c>
      <c r="G21" s="109">
        <f>((E21*D21)/$F$33)*$F$15</f>
        <v>4.3738781811806002E-2</v>
      </c>
      <c r="H21" s="129">
        <f>G21/(0.5*'EUROCODE1-Loads on Silo Hoppers'!J40)</f>
        <v>1.9675836429514482E-2</v>
      </c>
      <c r="I21" s="126">
        <f>C22-C21</f>
        <v>0.95</v>
      </c>
      <c r="L21" s="37">
        <v>1</v>
      </c>
      <c r="M21" s="42">
        <v>0.7</v>
      </c>
      <c r="N21" s="37">
        <f>M21+(C22-C21)</f>
        <v>1.65</v>
      </c>
      <c r="O21" s="52">
        <f>(1/3)*3.14*(C22-C21)*(M21^2+M21*N21+N21^2)</f>
        <v>4.3427508333333327</v>
      </c>
      <c r="Q21" s="69" t="s">
        <v>415</v>
      </c>
      <c r="S21" s="123" t="s">
        <v>416</v>
      </c>
      <c r="U21" s="69" t="s">
        <v>423</v>
      </c>
      <c r="W21" s="124">
        <v>4</v>
      </c>
    </row>
    <row r="22" spans="1:23" x14ac:dyDescent="0.25">
      <c r="A22" s="113">
        <v>2</v>
      </c>
      <c r="B22" s="126" t="s">
        <v>431</v>
      </c>
      <c r="C22" s="127">
        <v>0.95</v>
      </c>
      <c r="D22" s="113">
        <f>(C23+C22)/2</f>
        <v>1.4249999999999998</v>
      </c>
      <c r="E22" s="128">
        <f>'EUROCODE1-Loads on Silo Hoppers'!J41*th*7.5/1000+O22*1.8</f>
        <v>26.950793803203162</v>
      </c>
      <c r="F22" s="109">
        <f t="shared" ref="F22:F32" si="0">D22*E22</f>
        <v>38.404881169564504</v>
      </c>
      <c r="G22" s="109">
        <f t="shared" ref="G22:G32" si="1">((E22*D22)/$F$33)*$F$15</f>
        <v>0.41197993732263583</v>
      </c>
      <c r="H22" s="129">
        <f>G22/(0.5*'EUROCODE1-Loads on Silo Hoppers'!J41)</f>
        <v>6.1776220272736083E-2</v>
      </c>
      <c r="I22" s="126">
        <f t="shared" ref="I22:I32" si="2">C23-C22</f>
        <v>0.95</v>
      </c>
      <c r="K22" s="37"/>
      <c r="L22" s="37"/>
      <c r="M22" s="37">
        <f>N21</f>
        <v>1.65</v>
      </c>
      <c r="N22" s="37">
        <f>M22+(C23-C22)</f>
        <v>2.5999999999999996</v>
      </c>
      <c r="O22" s="52">
        <f t="shared" ref="O22:O24" si="3">(1/3)*3.14*(C23-C22)*(M22^2+M22*N22+N22^2)</f>
        <v>13.694455833333331</v>
      </c>
      <c r="Q22" s="5" t="s">
        <v>406</v>
      </c>
      <c r="V22" s="50"/>
      <c r="W22" t="s">
        <v>422</v>
      </c>
    </row>
    <row r="23" spans="1:23" x14ac:dyDescent="0.25">
      <c r="A23" s="113">
        <v>3</v>
      </c>
      <c r="B23" s="126" t="s">
        <v>432</v>
      </c>
      <c r="C23" s="127">
        <v>1.9</v>
      </c>
      <c r="D23" s="113">
        <f>(C24+C23)/2</f>
        <v>2.375</v>
      </c>
      <c r="E23" s="128">
        <f>'EUROCODE1-Loads on Silo Hoppers'!J42*th*7.5/1000+O23*1.8</f>
        <v>55.776403106406327</v>
      </c>
      <c r="F23" s="109">
        <f t="shared" si="0"/>
        <v>132.46895737771501</v>
      </c>
      <c r="G23" s="109">
        <f t="shared" si="1"/>
        <v>1.4210316786741097</v>
      </c>
      <c r="H23" s="129">
        <f>G23/(0.5*'EUROCODE1-Loads on Silo Hoppers'!J42)</f>
        <v>0.10654155462861714</v>
      </c>
      <c r="I23" s="126">
        <f t="shared" si="2"/>
        <v>0.95000000000000018</v>
      </c>
      <c r="K23" s="37"/>
      <c r="L23" s="37"/>
      <c r="M23" s="37">
        <f t="shared" ref="M23:M24" si="4">N22</f>
        <v>2.5999999999999996</v>
      </c>
      <c r="N23" s="37">
        <f>M23+(C24-C23)</f>
        <v>3.55</v>
      </c>
      <c r="O23" s="52">
        <f t="shared" si="3"/>
        <v>28.430475833333333</v>
      </c>
      <c r="Q23" s="5" t="s">
        <v>407</v>
      </c>
      <c r="V23" s="50"/>
      <c r="W23" t="s">
        <v>422</v>
      </c>
    </row>
    <row r="24" spans="1:23" x14ac:dyDescent="0.25">
      <c r="A24" s="113">
        <v>4</v>
      </c>
      <c r="B24" s="126" t="s">
        <v>433</v>
      </c>
      <c r="C24" s="127">
        <v>2.85</v>
      </c>
      <c r="D24" s="113">
        <f>(C25+C24)/2</f>
        <v>3.3250000000000002</v>
      </c>
      <c r="E24" s="128">
        <f>'EUROCODE1-Loads on Silo Hoppers'!J43*th*7.5/1000+O24*1.8</f>
        <v>93.864301726344891</v>
      </c>
      <c r="F24" s="109">
        <f t="shared" si="0"/>
        <v>312.0988032400968</v>
      </c>
      <c r="G24" s="109">
        <f t="shared" si="1"/>
        <v>3.347971442214015</v>
      </c>
      <c r="H24" s="129">
        <f>G24/(0.5*'EUROCODE1-Loads on Silo Hoppers'!J43)</f>
        <v>0.17844558961482221</v>
      </c>
      <c r="I24" s="126">
        <f t="shared" si="2"/>
        <v>0.94999999999999973</v>
      </c>
      <c r="K24" s="37"/>
      <c r="L24" s="37"/>
      <c r="M24" s="37">
        <f t="shared" si="4"/>
        <v>3.55</v>
      </c>
      <c r="N24" s="37">
        <f>M24+(C25-C24)</f>
        <v>4.5</v>
      </c>
      <c r="O24" s="52">
        <f t="shared" si="3"/>
        <v>48.550810833333323</v>
      </c>
      <c r="P24" s="104"/>
      <c r="Q24" s="5" t="s">
        <v>408</v>
      </c>
      <c r="V24" s="11"/>
      <c r="W24" t="s">
        <v>422</v>
      </c>
    </row>
    <row r="25" spans="1:23" x14ac:dyDescent="0.25">
      <c r="A25" s="113">
        <v>5</v>
      </c>
      <c r="B25" s="113" t="s">
        <v>397</v>
      </c>
      <c r="C25" s="127">
        <v>3.8</v>
      </c>
      <c r="D25" s="113">
        <f>(C26+C25)/2</f>
        <v>4.55</v>
      </c>
      <c r="E25" s="128">
        <f>N27*1.8+O27*M27*7.5/1000</f>
        <v>179.62762499999999</v>
      </c>
      <c r="F25" s="109">
        <f t="shared" si="0"/>
        <v>817.30569374999993</v>
      </c>
      <c r="G25" s="109">
        <f t="shared" si="1"/>
        <v>8.7674675257529664</v>
      </c>
      <c r="H25" s="109">
        <f t="shared" ref="H25:H32" si="5">G25/(0.5*2*3.14*rad*I25)</f>
        <v>0.41365734964628292</v>
      </c>
      <c r="I25" s="113">
        <f t="shared" si="2"/>
        <v>1.5</v>
      </c>
      <c r="K25" s="37"/>
      <c r="L25" s="37"/>
      <c r="M25" s="37"/>
      <c r="N25" s="37"/>
      <c r="O25" s="37"/>
      <c r="Q25" s="5" t="s">
        <v>409</v>
      </c>
      <c r="V25" s="11"/>
    </row>
    <row r="26" spans="1:23" x14ac:dyDescent="0.25">
      <c r="A26" s="113">
        <v>6</v>
      </c>
      <c r="B26" s="113" t="s">
        <v>398</v>
      </c>
      <c r="C26" s="127">
        <v>5.3</v>
      </c>
      <c r="D26" s="113">
        <f t="shared" ref="D26:D32" si="6">(C27+C26)/2</f>
        <v>6.05</v>
      </c>
      <c r="E26" s="128">
        <f t="shared" ref="E26:E30" si="7">N28*1.8+O28*M28*7.5/1000</f>
        <v>179.62762499999999</v>
      </c>
      <c r="F26" s="109">
        <f t="shared" si="0"/>
        <v>1086.7471312499999</v>
      </c>
      <c r="G26" s="109">
        <f t="shared" si="1"/>
        <v>11.657841435341858</v>
      </c>
      <c r="H26" s="109">
        <f t="shared" si="5"/>
        <v>0.55002790447472794</v>
      </c>
      <c r="I26" s="113">
        <f t="shared" si="2"/>
        <v>1.5</v>
      </c>
      <c r="L26" s="37" t="s">
        <v>443</v>
      </c>
      <c r="M26" s="37" t="s">
        <v>161</v>
      </c>
      <c r="N26" s="37" t="s">
        <v>442</v>
      </c>
      <c r="O26" s="37" t="s">
        <v>444</v>
      </c>
      <c r="Q26" s="5" t="s">
        <v>425</v>
      </c>
    </row>
    <row r="27" spans="1:23" x14ac:dyDescent="0.25">
      <c r="A27" s="113">
        <v>7</v>
      </c>
      <c r="B27" s="113" t="s">
        <v>434</v>
      </c>
      <c r="C27" s="127">
        <v>6.8</v>
      </c>
      <c r="D27" s="113">
        <f t="shared" si="6"/>
        <v>7.4</v>
      </c>
      <c r="E27" s="128">
        <f t="shared" si="7"/>
        <v>142.43040000000002</v>
      </c>
      <c r="F27" s="109">
        <f t="shared" si="0"/>
        <v>1053.9849600000002</v>
      </c>
      <c r="G27" s="109">
        <f t="shared" si="1"/>
        <v>11.30639243075999</v>
      </c>
      <c r="H27" s="109">
        <f t="shared" si="5"/>
        <v>0.6668077630785556</v>
      </c>
      <c r="I27" s="113">
        <f t="shared" si="2"/>
        <v>1.2000000000000002</v>
      </c>
      <c r="K27" s="37"/>
      <c r="L27" s="37">
        <v>1</v>
      </c>
      <c r="M27" s="37">
        <v>25</v>
      </c>
      <c r="N27" s="37">
        <f t="shared" ref="N27:N34" si="8">3.14*rad^2*(C26-C25)</f>
        <v>95.377499999999998</v>
      </c>
      <c r="O27" s="37">
        <f t="shared" ref="O27:O34" si="9">2*3.14*rad*(C26-C25)</f>
        <v>42.39</v>
      </c>
      <c r="Q27" s="5" t="s">
        <v>410</v>
      </c>
      <c r="V27" s="104"/>
    </row>
    <row r="28" spans="1:23" x14ac:dyDescent="0.25">
      <c r="A28" s="113">
        <v>8</v>
      </c>
      <c r="B28" s="113" t="s">
        <v>435</v>
      </c>
      <c r="C28" s="127">
        <v>8</v>
      </c>
      <c r="D28" s="113">
        <f t="shared" si="6"/>
        <v>8.9</v>
      </c>
      <c r="E28" s="128">
        <f t="shared" si="7"/>
        <v>213.64560000000009</v>
      </c>
      <c r="F28" s="109">
        <f t="shared" si="0"/>
        <v>1901.4458400000008</v>
      </c>
      <c r="G28" s="109">
        <f t="shared" si="1"/>
        <v>20.397343101438636</v>
      </c>
      <c r="H28" s="109">
        <f t="shared" si="5"/>
        <v>0.80197149883772223</v>
      </c>
      <c r="I28" s="113">
        <f t="shared" si="2"/>
        <v>1.8000000000000007</v>
      </c>
      <c r="L28" s="37">
        <v>2</v>
      </c>
      <c r="M28" s="37">
        <v>25</v>
      </c>
      <c r="N28" s="37">
        <f t="shared" si="8"/>
        <v>95.377499999999998</v>
      </c>
      <c r="O28" s="37">
        <f t="shared" si="9"/>
        <v>42.39</v>
      </c>
      <c r="Q28" s="5" t="s">
        <v>411</v>
      </c>
    </row>
    <row r="29" spans="1:23" x14ac:dyDescent="0.25">
      <c r="A29" s="113">
        <v>9</v>
      </c>
      <c r="B29" s="113" t="s">
        <v>399</v>
      </c>
      <c r="C29" s="127">
        <v>9.8000000000000007</v>
      </c>
      <c r="D29" s="113">
        <f t="shared" si="6"/>
        <v>10.55</v>
      </c>
      <c r="E29" s="128">
        <f t="shared" si="7"/>
        <v>176.448375</v>
      </c>
      <c r="F29" s="109">
        <f t="shared" si="0"/>
        <v>1861.5303562500001</v>
      </c>
      <c r="G29" s="109">
        <f t="shared" si="1"/>
        <v>19.969158506336697</v>
      </c>
      <c r="H29" s="109">
        <f t="shared" si="5"/>
        <v>0.94216364738554836</v>
      </c>
      <c r="I29" s="113">
        <f t="shared" si="2"/>
        <v>1.5</v>
      </c>
      <c r="L29" s="37">
        <v>3</v>
      </c>
      <c r="M29" s="37">
        <v>20</v>
      </c>
      <c r="N29" s="37">
        <f t="shared" si="8"/>
        <v>76.302000000000007</v>
      </c>
      <c r="O29" s="37">
        <f t="shared" si="9"/>
        <v>33.912000000000006</v>
      </c>
      <c r="Q29" s="5" t="s">
        <v>412</v>
      </c>
      <c r="V29" s="11"/>
    </row>
    <row r="30" spans="1:23" x14ac:dyDescent="0.25">
      <c r="A30" s="113">
        <v>10</v>
      </c>
      <c r="B30" s="113" t="s">
        <v>436</v>
      </c>
      <c r="C30" s="127">
        <v>11.3</v>
      </c>
      <c r="D30" s="113">
        <f t="shared" si="6"/>
        <v>12.05</v>
      </c>
      <c r="E30" s="128">
        <f t="shared" si="7"/>
        <v>174.85874999999999</v>
      </c>
      <c r="F30" s="109">
        <f t="shared" si="0"/>
        <v>2107.0479375</v>
      </c>
      <c r="G30" s="109">
        <f t="shared" si="1"/>
        <v>22.60289449651961</v>
      </c>
      <c r="H30" s="109">
        <f t="shared" si="5"/>
        <v>1.0664257842189011</v>
      </c>
      <c r="I30" s="113">
        <f t="shared" si="2"/>
        <v>1.5</v>
      </c>
      <c r="L30" s="37">
        <v>4</v>
      </c>
      <c r="M30" s="37">
        <v>20</v>
      </c>
      <c r="N30" s="37">
        <f t="shared" si="8"/>
        <v>114.45300000000005</v>
      </c>
      <c r="O30" s="37">
        <f t="shared" si="9"/>
        <v>50.868000000000023</v>
      </c>
      <c r="Q30" s="5" t="s">
        <v>426</v>
      </c>
      <c r="V30" s="39"/>
    </row>
    <row r="31" spans="1:23" x14ac:dyDescent="0.25">
      <c r="A31" s="113">
        <v>11</v>
      </c>
      <c r="B31" s="113" t="s">
        <v>437</v>
      </c>
      <c r="C31" s="127">
        <v>12.8</v>
      </c>
      <c r="D31" s="113">
        <f t="shared" si="6"/>
        <v>13.55</v>
      </c>
      <c r="E31" s="128">
        <f>O33*M33*7.5/1000</f>
        <v>3.1792500000000001</v>
      </c>
      <c r="F31" s="109">
        <f t="shared" si="0"/>
        <v>43.078837500000006</v>
      </c>
      <c r="G31" s="109">
        <f t="shared" si="1"/>
        <v>0.46211877846524446</v>
      </c>
      <c r="H31" s="109">
        <f t="shared" si="5"/>
        <v>2.180319785162748E-2</v>
      </c>
      <c r="I31" s="113">
        <f t="shared" si="2"/>
        <v>1.5</v>
      </c>
      <c r="L31" s="37">
        <v>5</v>
      </c>
      <c r="M31" s="37">
        <v>15</v>
      </c>
      <c r="N31" s="37">
        <f t="shared" si="8"/>
        <v>95.377499999999998</v>
      </c>
      <c r="O31" s="37">
        <f t="shared" si="9"/>
        <v>42.39</v>
      </c>
      <c r="Q31" s="5" t="s">
        <v>427</v>
      </c>
      <c r="V31" s="39"/>
      <c r="W31" t="s">
        <v>428</v>
      </c>
    </row>
    <row r="32" spans="1:23" x14ac:dyDescent="0.25">
      <c r="A32" s="113">
        <v>12</v>
      </c>
      <c r="B32" s="113" t="s">
        <v>438</v>
      </c>
      <c r="C32" s="127">
        <v>14.3</v>
      </c>
      <c r="D32" s="113">
        <f t="shared" si="6"/>
        <v>15.05</v>
      </c>
      <c r="E32" s="128">
        <f>O34*M34*7.5/1000</f>
        <v>3.1792500000000001</v>
      </c>
      <c r="F32" s="109">
        <f t="shared" si="0"/>
        <v>47.847712500000007</v>
      </c>
      <c r="G32" s="109">
        <f t="shared" si="1"/>
        <v>0.5132758388119506</v>
      </c>
      <c r="H32" s="109">
        <f t="shared" si="5"/>
        <v>2.4216835990184035E-2</v>
      </c>
      <c r="I32" s="113">
        <f t="shared" si="2"/>
        <v>1.5</v>
      </c>
      <c r="L32" s="37">
        <v>6</v>
      </c>
      <c r="M32" s="37">
        <v>10</v>
      </c>
      <c r="N32" s="37">
        <f t="shared" si="8"/>
        <v>95.377499999999998</v>
      </c>
      <c r="O32" s="37">
        <f t="shared" si="9"/>
        <v>42.39</v>
      </c>
      <c r="Q32" s="5" t="s">
        <v>414</v>
      </c>
      <c r="V32" s="108"/>
      <c r="W32" t="s">
        <v>79</v>
      </c>
    </row>
    <row r="33" spans="1:23" x14ac:dyDescent="0.25">
      <c r="A33" s="13"/>
      <c r="B33" s="13"/>
      <c r="C33" s="127">
        <v>15.8</v>
      </c>
      <c r="D33" s="114" t="s">
        <v>222</v>
      </c>
      <c r="E33" s="130">
        <f>SUM(E21:E32)</f>
        <v>1258.1722495703552</v>
      </c>
      <c r="F33" s="131">
        <f>SUM(F21:F32)</f>
        <v>9406.0384516062186</v>
      </c>
      <c r="G33" s="131">
        <f>SUM(G21:G32)</f>
        <v>100.90121395344951</v>
      </c>
      <c r="H33" s="13"/>
      <c r="I33" s="114">
        <f>SUM(I21:I32)</f>
        <v>15.8</v>
      </c>
      <c r="L33" s="37">
        <v>7</v>
      </c>
      <c r="M33" s="37">
        <v>10</v>
      </c>
      <c r="N33" s="37">
        <f t="shared" si="8"/>
        <v>95.377499999999998</v>
      </c>
      <c r="O33" s="37">
        <f t="shared" si="9"/>
        <v>42.39</v>
      </c>
      <c r="Q33" s="5" t="s">
        <v>413</v>
      </c>
      <c r="V33" s="104"/>
      <c r="W33" t="s">
        <v>60</v>
      </c>
    </row>
    <row r="34" spans="1:23" x14ac:dyDescent="0.25">
      <c r="A34" s="13"/>
      <c r="B34" s="13"/>
      <c r="C34" s="13"/>
      <c r="D34" s="114" t="s">
        <v>528</v>
      </c>
      <c r="E34" s="114" t="s">
        <v>60</v>
      </c>
      <c r="F34" s="109"/>
      <c r="G34" s="13"/>
      <c r="H34" s="13"/>
      <c r="I34" s="13"/>
      <c r="L34" s="37">
        <v>8</v>
      </c>
      <c r="M34" s="37">
        <v>10</v>
      </c>
      <c r="N34" s="37">
        <f t="shared" si="8"/>
        <v>95.377499999999998</v>
      </c>
      <c r="O34" s="37">
        <f t="shared" si="9"/>
        <v>42.39</v>
      </c>
    </row>
    <row r="36" spans="1:23" x14ac:dyDescent="0.25">
      <c r="H36" s="201" t="s">
        <v>448</v>
      </c>
      <c r="I36" s="201"/>
    </row>
  </sheetData>
  <mergeCells count="2">
    <mergeCell ref="A19:I19"/>
    <mergeCell ref="H36:I36"/>
  </mergeCells>
  <dataValidations count="2">
    <dataValidation type="list" allowBlank="1" showInputMessage="1" showErrorMessage="1" sqref="C3 S21">
      <formula1>$J$4:$J$7</formula1>
    </dataValidation>
    <dataValidation type="list" allowBlank="1" showInputMessage="1" showErrorMessage="1" sqref="G3 W21">
      <formula1>$O$4:$O$7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W20"/>
  <sheetViews>
    <sheetView workbookViewId="0">
      <selection activeCell="I17" sqref="I17"/>
    </sheetView>
  </sheetViews>
  <sheetFormatPr defaultRowHeight="15" x14ac:dyDescent="0.25"/>
  <cols>
    <col min="4" max="4" width="25.5703125" bestFit="1" customWidth="1"/>
    <col min="23" max="23" width="37.7109375" bestFit="1" customWidth="1"/>
  </cols>
  <sheetData>
    <row r="3" spans="1:23" x14ac:dyDescent="0.25">
      <c r="A3" s="35" t="s">
        <v>449</v>
      </c>
    </row>
    <row r="4" spans="1:23" x14ac:dyDescent="0.25">
      <c r="A4" s="35" t="s">
        <v>450</v>
      </c>
    </row>
    <row r="5" spans="1:23" x14ac:dyDescent="0.25">
      <c r="A5" t="s">
        <v>468</v>
      </c>
      <c r="D5" s="34" t="s">
        <v>475</v>
      </c>
      <c r="W5" t="s">
        <v>470</v>
      </c>
    </row>
    <row r="6" spans="1:23" x14ac:dyDescent="0.25">
      <c r="A6" s="5" t="s">
        <v>451</v>
      </c>
      <c r="G6" s="11">
        <v>150</v>
      </c>
      <c r="H6" t="s">
        <v>178</v>
      </c>
      <c r="K6" s="196" t="s">
        <v>452</v>
      </c>
      <c r="L6" s="202"/>
      <c r="M6" s="202"/>
      <c r="N6" s="202"/>
      <c r="O6" s="202"/>
      <c r="P6" s="202"/>
      <c r="Q6" s="202"/>
      <c r="R6" s="197"/>
      <c r="W6" t="s">
        <v>469</v>
      </c>
    </row>
    <row r="7" spans="1:23" x14ac:dyDescent="0.25">
      <c r="A7" s="5" t="s">
        <v>477</v>
      </c>
      <c r="G7" s="11">
        <f>6-1.5</f>
        <v>4.5</v>
      </c>
      <c r="H7" t="s">
        <v>24</v>
      </c>
      <c r="K7" s="121" t="s">
        <v>453</v>
      </c>
      <c r="L7" s="121">
        <v>1</v>
      </c>
      <c r="M7" s="121">
        <v>1.2</v>
      </c>
      <c r="N7" s="121">
        <v>1.4</v>
      </c>
      <c r="O7" s="121">
        <v>1.6</v>
      </c>
      <c r="P7" s="121">
        <v>1.8</v>
      </c>
      <c r="Q7" s="121">
        <v>2</v>
      </c>
      <c r="R7" s="121" t="s">
        <v>457</v>
      </c>
      <c r="W7" t="s">
        <v>471</v>
      </c>
    </row>
    <row r="8" spans="1:23" x14ac:dyDescent="0.25">
      <c r="A8" s="5" t="s">
        <v>459</v>
      </c>
      <c r="G8" s="11">
        <v>1.375</v>
      </c>
      <c r="H8" t="s">
        <v>185</v>
      </c>
      <c r="K8" s="135" t="s">
        <v>454</v>
      </c>
      <c r="L8" s="121">
        <v>0.30780000000000002</v>
      </c>
      <c r="M8" s="121">
        <v>0.38340000000000002</v>
      </c>
      <c r="N8" s="121">
        <v>0.43559999999999999</v>
      </c>
      <c r="O8" s="121">
        <v>0.46800000000000003</v>
      </c>
      <c r="P8" s="121">
        <v>0.48720000000000002</v>
      </c>
      <c r="Q8" s="121">
        <v>0.49740000000000001</v>
      </c>
      <c r="R8" s="121">
        <v>0.5</v>
      </c>
      <c r="W8" t="s">
        <v>472</v>
      </c>
    </row>
    <row r="9" spans="1:23" x14ac:dyDescent="0.25">
      <c r="A9" s="5" t="s">
        <v>458</v>
      </c>
      <c r="G9" s="11">
        <v>1.375</v>
      </c>
      <c r="H9" t="s">
        <v>185</v>
      </c>
      <c r="K9" s="136" t="s">
        <v>455</v>
      </c>
      <c r="L9" s="121">
        <v>0.1386</v>
      </c>
      <c r="M9" s="121">
        <v>0.1794</v>
      </c>
      <c r="N9" s="121">
        <v>0.2094</v>
      </c>
      <c r="O9" s="121">
        <v>0.2286</v>
      </c>
      <c r="P9" s="121">
        <v>0.24060000000000001</v>
      </c>
      <c r="Q9" s="121">
        <v>0.2472</v>
      </c>
      <c r="R9" s="121">
        <v>0.25</v>
      </c>
      <c r="W9" t="s">
        <v>473</v>
      </c>
    </row>
    <row r="10" spans="1:23" x14ac:dyDescent="0.25">
      <c r="A10" s="5" t="s">
        <v>460</v>
      </c>
      <c r="G10">
        <f>G8/G9</f>
        <v>1</v>
      </c>
      <c r="H10" t="s">
        <v>69</v>
      </c>
      <c r="K10" s="135" t="s">
        <v>456</v>
      </c>
      <c r="L10" s="121">
        <v>1.38E-2</v>
      </c>
      <c r="M10" s="121">
        <v>1.8800000000000001E-2</v>
      </c>
      <c r="N10" s="121">
        <v>2.2599999999999999E-2</v>
      </c>
      <c r="O10" s="121">
        <v>2.5100000000000001E-2</v>
      </c>
      <c r="P10" s="121">
        <v>2.6700000000000002E-2</v>
      </c>
      <c r="Q10" s="121">
        <v>2.7699999999999999E-2</v>
      </c>
      <c r="R10" s="121">
        <v>2.8400000000000002E-2</v>
      </c>
      <c r="W10" t="s">
        <v>474</v>
      </c>
    </row>
    <row r="11" spans="1:23" x14ac:dyDescent="0.25">
      <c r="A11" s="137" t="s">
        <v>463</v>
      </c>
      <c r="G11" s="11">
        <v>0.30780000000000002</v>
      </c>
      <c r="H11" t="s">
        <v>69</v>
      </c>
      <c r="W11" t="s">
        <v>475</v>
      </c>
    </row>
    <row r="12" spans="1:23" x14ac:dyDescent="0.25">
      <c r="A12" s="137" t="s">
        <v>464</v>
      </c>
      <c r="G12" s="11">
        <v>0.1386</v>
      </c>
      <c r="H12" t="s">
        <v>69</v>
      </c>
      <c r="W12" t="s">
        <v>476</v>
      </c>
    </row>
    <row r="13" spans="1:23" x14ac:dyDescent="0.25">
      <c r="A13" s="5" t="s">
        <v>461</v>
      </c>
      <c r="G13" s="11">
        <v>1.38E-2</v>
      </c>
      <c r="H13" t="s">
        <v>69</v>
      </c>
    </row>
    <row r="14" spans="1:23" x14ac:dyDescent="0.25">
      <c r="A14" s="138" t="s">
        <v>462</v>
      </c>
      <c r="G14" s="11"/>
      <c r="H14" t="s">
        <v>69</v>
      </c>
    </row>
    <row r="15" spans="1:23" x14ac:dyDescent="0.25">
      <c r="A15" s="137" t="s">
        <v>467</v>
      </c>
      <c r="G15" s="65"/>
      <c r="H15" t="s">
        <v>69</v>
      </c>
    </row>
    <row r="16" spans="1:23" x14ac:dyDescent="0.25">
      <c r="A16" s="5" t="s">
        <v>478</v>
      </c>
      <c r="G16" s="39">
        <f>-1000*G13*G6/1000*G9^4/(2100*10^4*(0.001*G7)^3)</f>
        <v>-3.8665559781011156</v>
      </c>
      <c r="H16" t="s">
        <v>24</v>
      </c>
      <c r="I16" s="69" t="str">
        <f>IF(ABS(G16)&lt;=ABS(G20),"OK","NOT OK!")</f>
        <v>OK</v>
      </c>
    </row>
    <row r="17" spans="1:9" x14ac:dyDescent="0.25">
      <c r="A17" s="5" t="s">
        <v>465</v>
      </c>
      <c r="G17" s="39" t="str">
        <f>IF(D5="All edges simply supported",G14*G6*G9/1000,IF(D5="4 edges fixed",""))</f>
        <v/>
      </c>
      <c r="H17" t="s">
        <v>183</v>
      </c>
    </row>
    <row r="18" spans="1:9" x14ac:dyDescent="0.25">
      <c r="A18" s="5" t="s">
        <v>466</v>
      </c>
      <c r="G18" s="39">
        <f>IF(D5="All edges simply supported",G15*G6/1000*G9^2/(G7/1000)^2/10000,IF(D5="4 edges fixed",G11*G6/1000*G9^2/(G7*0.001)^2/10000))</f>
        <v>0.4310624999999999</v>
      </c>
      <c r="H18" t="s">
        <v>41</v>
      </c>
      <c r="I18" s="69" t="str">
        <f>IF(G18&lt;0.6*sy,"OK","NOT OK!")</f>
        <v>OK</v>
      </c>
    </row>
    <row r="19" spans="1:9" x14ac:dyDescent="0.25">
      <c r="A19" s="5" t="s">
        <v>314</v>
      </c>
      <c r="G19">
        <f>0.6*sy</f>
        <v>1.002</v>
      </c>
      <c r="H19" t="s">
        <v>41</v>
      </c>
    </row>
    <row r="20" spans="1:9" x14ac:dyDescent="0.25">
      <c r="A20" s="5" t="s">
        <v>479</v>
      </c>
      <c r="G20" s="39">
        <f>-1000*G8/353</f>
        <v>-3.8951841359773369</v>
      </c>
      <c r="H20" t="s">
        <v>24</v>
      </c>
    </row>
  </sheetData>
  <mergeCells count="1">
    <mergeCell ref="K6:R6"/>
  </mergeCells>
  <dataValidations count="1">
    <dataValidation type="list" allowBlank="1" showInputMessage="1" showErrorMessage="1" sqref="D5">
      <formula1>$W$6:$W$12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topLeftCell="A13" zoomScale="110" zoomScaleNormal="110" workbookViewId="0">
      <selection activeCell="K32" sqref="K30:K32"/>
    </sheetView>
  </sheetViews>
  <sheetFormatPr defaultRowHeight="15" x14ac:dyDescent="0.25"/>
  <cols>
    <col min="11" max="11" width="13.140625" bestFit="1" customWidth="1"/>
  </cols>
  <sheetData>
    <row r="1" spans="1:12" x14ac:dyDescent="0.25">
      <c r="A1" s="175" t="s">
        <v>21</v>
      </c>
      <c r="B1" s="175"/>
      <c r="C1" s="175"/>
      <c r="D1" s="175"/>
      <c r="E1" s="175"/>
      <c r="F1" s="175"/>
      <c r="G1" s="175"/>
    </row>
    <row r="2" spans="1:12" x14ac:dyDescent="0.25">
      <c r="A2" s="176" t="s">
        <v>22</v>
      </c>
      <c r="B2" s="176"/>
      <c r="C2" s="176"/>
      <c r="D2" s="176"/>
      <c r="E2" s="176"/>
      <c r="F2" s="12">
        <v>9000</v>
      </c>
      <c r="G2" s="13" t="s">
        <v>24</v>
      </c>
    </row>
    <row r="3" spans="1:12" x14ac:dyDescent="0.25">
      <c r="A3" s="176" t="s">
        <v>23</v>
      </c>
      <c r="B3" s="176"/>
      <c r="C3" s="176"/>
      <c r="D3" s="176"/>
      <c r="E3" s="176"/>
      <c r="F3" s="12">
        <v>25</v>
      </c>
      <c r="G3" s="13" t="s">
        <v>24</v>
      </c>
    </row>
    <row r="4" spans="1:12" ht="30.75" customHeight="1" x14ac:dyDescent="0.25">
      <c r="A4" s="173" t="s">
        <v>532</v>
      </c>
      <c r="B4" s="173"/>
      <c r="C4" s="173"/>
      <c r="D4" s="173"/>
      <c r="E4" s="173"/>
      <c r="F4" s="14">
        <f>F10-htp+ho</f>
        <v>8785.574936907562</v>
      </c>
      <c r="G4" s="13" t="s">
        <v>24</v>
      </c>
    </row>
    <row r="5" spans="1:12" x14ac:dyDescent="0.25">
      <c r="A5" s="176" t="s">
        <v>26</v>
      </c>
      <c r="B5" s="177"/>
      <c r="C5" s="177"/>
      <c r="D5" s="177"/>
      <c r="E5" s="177"/>
      <c r="F5" s="14">
        <f>dc/(2*TAN(F9/L13))</f>
        <v>4503.5848981417012</v>
      </c>
      <c r="G5" s="14" t="s">
        <v>24</v>
      </c>
    </row>
    <row r="6" spans="1:12" ht="28.5" customHeight="1" x14ac:dyDescent="0.25">
      <c r="A6" s="173" t="s">
        <v>27</v>
      </c>
      <c r="B6" s="174"/>
      <c r="C6" s="174"/>
      <c r="D6" s="174"/>
      <c r="E6" s="174"/>
      <c r="F6" s="14">
        <f>hh+hc</f>
        <v>13289.159835049264</v>
      </c>
      <c r="G6" s="14" t="s">
        <v>24</v>
      </c>
    </row>
    <row r="7" spans="1:12" ht="29.25" customHeight="1" x14ac:dyDescent="0.25">
      <c r="A7" s="173" t="s">
        <v>28</v>
      </c>
      <c r="B7" s="174"/>
      <c r="C7" s="174"/>
      <c r="D7" s="174"/>
      <c r="E7" s="174"/>
      <c r="F7" s="14">
        <f>(dc/2)/3*TAN(fir/L13)</f>
        <v>1607.2125315462192</v>
      </c>
      <c r="G7" s="14" t="s">
        <v>24</v>
      </c>
    </row>
    <row r="8" spans="1:12" x14ac:dyDescent="0.25">
      <c r="A8" s="178" t="s">
        <v>29</v>
      </c>
      <c r="B8" s="179"/>
      <c r="C8" s="179"/>
      <c r="D8" s="179"/>
      <c r="E8" s="180"/>
      <c r="F8" s="14">
        <f>TAN(fir/L13)*dc/2</f>
        <v>4821.6375946386579</v>
      </c>
      <c r="G8" s="14" t="s">
        <v>24</v>
      </c>
    </row>
    <row r="9" spans="1:12" x14ac:dyDescent="0.25">
      <c r="A9" s="29" t="s">
        <v>62</v>
      </c>
      <c r="B9" s="30"/>
      <c r="C9" s="30"/>
      <c r="D9" s="30"/>
      <c r="E9" s="31"/>
      <c r="F9" s="12">
        <v>45</v>
      </c>
      <c r="G9" s="33" t="s">
        <v>17</v>
      </c>
    </row>
    <row r="10" spans="1:12" x14ac:dyDescent="0.25">
      <c r="A10" s="29" t="s">
        <v>389</v>
      </c>
      <c r="B10" s="30"/>
      <c r="C10" s="30"/>
      <c r="D10" s="30"/>
      <c r="E10" s="31"/>
      <c r="F10" s="32">
        <v>12000</v>
      </c>
      <c r="G10" s="13" t="s">
        <v>24</v>
      </c>
    </row>
    <row r="11" spans="1:12" x14ac:dyDescent="0.25">
      <c r="A11" s="181" t="s">
        <v>388</v>
      </c>
      <c r="B11" s="182"/>
      <c r="C11" s="182"/>
      <c r="D11" s="182"/>
      <c r="E11" s="183"/>
      <c r="F11" s="12">
        <f>3800</f>
        <v>3800</v>
      </c>
      <c r="G11" s="13" t="s">
        <v>24</v>
      </c>
    </row>
    <row r="12" spans="1:12" x14ac:dyDescent="0.25">
      <c r="A12" s="175" t="s">
        <v>31</v>
      </c>
      <c r="B12" s="175"/>
      <c r="C12" s="175"/>
      <c r="D12" s="175"/>
      <c r="E12" s="175"/>
      <c r="F12" s="175"/>
      <c r="G12" s="175"/>
    </row>
    <row r="13" spans="1:12" x14ac:dyDescent="0.25">
      <c r="A13" s="13" t="s">
        <v>32</v>
      </c>
      <c r="B13" s="13" t="s">
        <v>33</v>
      </c>
      <c r="C13" s="13"/>
      <c r="D13" s="16" t="s">
        <v>34</v>
      </c>
      <c r="E13" s="13">
        <f>F6/F2</f>
        <v>1.4765733150054738</v>
      </c>
      <c r="F13" s="17" t="str">
        <f>IF(E13&lt;10,"OK","NOT OK!")</f>
        <v>OK</v>
      </c>
      <c r="G13" s="13"/>
      <c r="K13" s="72" t="s">
        <v>154</v>
      </c>
      <c r="L13" s="72">
        <f>360/(2*3.14)</f>
        <v>57.324840764331206</v>
      </c>
    </row>
    <row r="14" spans="1:12" x14ac:dyDescent="0.25">
      <c r="A14" s="13" t="s">
        <v>35</v>
      </c>
      <c r="B14" s="13" t="s">
        <v>36</v>
      </c>
      <c r="C14" s="17" t="str">
        <f>IF(F6&lt;100000,"OK","NOT OK!")</f>
        <v>OK</v>
      </c>
      <c r="D14" s="13"/>
      <c r="E14" s="13"/>
      <c r="F14" s="13"/>
      <c r="G14" s="13"/>
    </row>
    <row r="15" spans="1:12" x14ac:dyDescent="0.25">
      <c r="A15" s="13" t="s">
        <v>37</v>
      </c>
      <c r="B15" s="13" t="s">
        <v>38</v>
      </c>
      <c r="C15" s="17" t="str">
        <f>IF(F2&lt;60000,"OK","NOT OK!")</f>
        <v>OK</v>
      </c>
      <c r="D15" s="13"/>
      <c r="E15" s="13"/>
      <c r="F15" s="13"/>
      <c r="G15" s="13"/>
    </row>
    <row r="17" spans="1:7" x14ac:dyDescent="0.25">
      <c r="A17" s="5" t="s">
        <v>40</v>
      </c>
      <c r="E17" s="11">
        <v>2100</v>
      </c>
      <c r="F17" t="s">
        <v>41</v>
      </c>
    </row>
    <row r="18" spans="1:7" x14ac:dyDescent="0.25">
      <c r="A18" s="5" t="s">
        <v>42</v>
      </c>
      <c r="E18" s="11">
        <v>1.67</v>
      </c>
      <c r="F18" t="s">
        <v>41</v>
      </c>
    </row>
    <row r="19" spans="1:7" x14ac:dyDescent="0.25">
      <c r="A19" s="5" t="s">
        <v>157</v>
      </c>
      <c r="E19">
        <f>0.6*fy</f>
        <v>1.002</v>
      </c>
      <c r="F19" t="s">
        <v>41</v>
      </c>
    </row>
    <row r="21" spans="1:7" x14ac:dyDescent="0.25">
      <c r="A21" t="s">
        <v>39</v>
      </c>
    </row>
    <row r="22" spans="1:7" ht="15.75" thickBot="1" x14ac:dyDescent="0.3">
      <c r="D22">
        <f>0.441*(E17/E18)</f>
        <v>554.55089820359285</v>
      </c>
    </row>
    <row r="23" spans="1:7" ht="15.75" thickBot="1" x14ac:dyDescent="0.3">
      <c r="E23" s="18" t="s">
        <v>43</v>
      </c>
      <c r="F23" s="147">
        <f>F2/D22</f>
        <v>16.229348882410108</v>
      </c>
      <c r="G23" s="20" t="s">
        <v>24</v>
      </c>
    </row>
    <row r="24" spans="1:7" x14ac:dyDescent="0.25">
      <c r="A24" s="21" t="s">
        <v>44</v>
      </c>
      <c r="B24" s="22"/>
      <c r="C24" s="22"/>
      <c r="D24" s="22"/>
      <c r="E24" s="22"/>
      <c r="F24" s="22">
        <f>F2</f>
        <v>9000</v>
      </c>
      <c r="G24" s="23" t="s">
        <v>24</v>
      </c>
    </row>
    <row r="25" spans="1:7" x14ac:dyDescent="0.25">
      <c r="A25" s="21" t="s">
        <v>45</v>
      </c>
      <c r="B25" s="22"/>
      <c r="C25" s="22"/>
      <c r="D25" s="22"/>
      <c r="E25" s="22"/>
      <c r="F25" s="22">
        <f>F24-2*F3</f>
        <v>8950</v>
      </c>
      <c r="G25" s="23" t="s">
        <v>24</v>
      </c>
    </row>
    <row r="26" spans="1:7" x14ac:dyDescent="0.25">
      <c r="A26" s="24" t="s">
        <v>46</v>
      </c>
      <c r="B26" s="22"/>
      <c r="C26" s="22"/>
      <c r="D26" s="22"/>
      <c r="E26" s="22"/>
      <c r="F26" s="22">
        <f>((F24^2+F25^2)^0.5)/4</f>
        <v>3173.1539909055787</v>
      </c>
      <c r="G26" s="23" t="s">
        <v>24</v>
      </c>
    </row>
    <row r="27" spans="1:7" x14ac:dyDescent="0.25">
      <c r="A27" s="21" t="s">
        <v>48</v>
      </c>
      <c r="B27" s="25"/>
      <c r="C27" s="25"/>
      <c r="D27" s="22"/>
      <c r="E27" s="22"/>
      <c r="F27" s="22">
        <v>120000</v>
      </c>
      <c r="G27" s="23" t="s">
        <v>24</v>
      </c>
    </row>
    <row r="28" spans="1:7" x14ac:dyDescent="0.25">
      <c r="A28" s="21" t="s">
        <v>47</v>
      </c>
      <c r="B28" s="25"/>
      <c r="C28" s="25"/>
      <c r="D28" s="22"/>
      <c r="E28" s="22"/>
      <c r="F28" s="22">
        <f>F27*1/F26</f>
        <v>37.817263310865506</v>
      </c>
      <c r="G28" s="23"/>
    </row>
    <row r="29" spans="1:7" x14ac:dyDescent="0.25">
      <c r="A29" s="21" t="s">
        <v>50</v>
      </c>
      <c r="B29" s="25"/>
      <c r="C29" s="25"/>
      <c r="D29" s="22"/>
      <c r="E29" s="22"/>
      <c r="F29" s="22">
        <f>3.14^2*(E17)/(F28^2)</f>
        <v>14.477660759114585</v>
      </c>
      <c r="G29" s="23" t="s">
        <v>41</v>
      </c>
    </row>
    <row r="30" spans="1:7" x14ac:dyDescent="0.25">
      <c r="A30" s="21" t="s">
        <v>49</v>
      </c>
      <c r="B30" s="25"/>
      <c r="C30" s="25"/>
      <c r="D30" s="22"/>
      <c r="E30" s="22"/>
      <c r="F30" s="22">
        <f>(E18/F29)^0.5</f>
        <v>0.3396323401869028</v>
      </c>
      <c r="G30" s="23"/>
    </row>
    <row r="31" spans="1:7" x14ac:dyDescent="0.25">
      <c r="A31" s="21" t="s">
        <v>51</v>
      </c>
      <c r="B31" s="22"/>
      <c r="C31" s="22"/>
      <c r="D31" s="22"/>
      <c r="E31" s="22"/>
      <c r="F31" s="22">
        <f>IF(F30&lt;=1.5,0.658^(F30^2)*E18,0.877/(F30^2)*E18)</f>
        <v>1.5912880631393254</v>
      </c>
      <c r="G31" s="23" t="s">
        <v>41</v>
      </c>
    </row>
    <row r="32" spans="1:7" x14ac:dyDescent="0.25">
      <c r="A32" s="21" t="s">
        <v>54</v>
      </c>
      <c r="B32" s="22"/>
      <c r="C32" s="22"/>
      <c r="D32" s="22"/>
      <c r="E32" s="22"/>
      <c r="F32" s="22">
        <f>3.14*(F24^2-F25^2)/4</f>
        <v>704537.5</v>
      </c>
      <c r="G32" s="23" t="s">
        <v>55</v>
      </c>
    </row>
    <row r="33" spans="1:7" x14ac:dyDescent="0.25">
      <c r="A33" s="21" t="s">
        <v>56</v>
      </c>
      <c r="B33" s="22"/>
      <c r="C33" s="22"/>
      <c r="D33" s="22"/>
      <c r="E33" s="22"/>
      <c r="F33" s="22">
        <f>(0.037/((F24/F3)*(E18/E17))+0.667)*F32</f>
        <v>560982.00775948109</v>
      </c>
      <c r="G33" s="23" t="s">
        <v>55</v>
      </c>
    </row>
    <row r="34" spans="1:7" x14ac:dyDescent="0.25">
      <c r="A34" s="21" t="s">
        <v>57</v>
      </c>
      <c r="B34" s="22"/>
      <c r="C34" s="22"/>
      <c r="D34" s="22"/>
      <c r="E34" s="22"/>
      <c r="F34" s="22">
        <f>E18/(2*F29)</f>
        <v>5.7675063250416041E-2</v>
      </c>
      <c r="G34" s="23" t="s">
        <v>58</v>
      </c>
    </row>
    <row r="35" spans="1:7" x14ac:dyDescent="0.25">
      <c r="A35" s="21" t="s">
        <v>53</v>
      </c>
      <c r="B35" s="22"/>
      <c r="C35" s="22"/>
      <c r="D35" s="22"/>
      <c r="E35" s="22"/>
      <c r="F35" s="22">
        <f>F33+F34*(F32-F33)</f>
        <v>569261.57985439757</v>
      </c>
      <c r="G35" s="23" t="s">
        <v>55</v>
      </c>
    </row>
    <row r="36" spans="1:7" x14ac:dyDescent="0.25">
      <c r="A36" s="21" t="s">
        <v>52</v>
      </c>
      <c r="B36" s="22"/>
      <c r="C36" s="22"/>
      <c r="D36" s="22"/>
      <c r="E36" s="22"/>
      <c r="F36" s="22">
        <f>F31*F35/100</f>
        <v>9058.5915682613668</v>
      </c>
      <c r="G36" s="23" t="s">
        <v>60</v>
      </c>
    </row>
    <row r="37" spans="1:7" ht="15.75" thickBot="1" x14ac:dyDescent="0.3">
      <c r="A37" s="26" t="s">
        <v>59</v>
      </c>
      <c r="B37" s="27"/>
      <c r="C37" s="27"/>
      <c r="D37" s="27"/>
      <c r="E37" s="27"/>
      <c r="F37" s="27">
        <f>F36/1.8</f>
        <v>5032.5508712563151</v>
      </c>
      <c r="G37" s="28" t="s">
        <v>60</v>
      </c>
    </row>
  </sheetData>
  <mergeCells count="10">
    <mergeCell ref="A6:E6"/>
    <mergeCell ref="A7:E7"/>
    <mergeCell ref="A12:G12"/>
    <mergeCell ref="A1:G1"/>
    <mergeCell ref="A2:E2"/>
    <mergeCell ref="A4:E4"/>
    <mergeCell ref="A3:E3"/>
    <mergeCell ref="A5:E5"/>
    <mergeCell ref="A8:E8"/>
    <mergeCell ref="A11:E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35"/>
  <sheetViews>
    <sheetView topLeftCell="A4" zoomScaleNormal="100" workbookViewId="0">
      <selection activeCell="G35" sqref="G35"/>
    </sheetView>
  </sheetViews>
  <sheetFormatPr defaultRowHeight="15" x14ac:dyDescent="0.25"/>
  <cols>
    <col min="1" max="1" width="13.28515625" customWidth="1"/>
    <col min="2" max="2" width="11.7109375" customWidth="1"/>
    <col min="3" max="3" width="15.42578125" customWidth="1"/>
    <col min="4" max="4" width="12.28515625" customWidth="1"/>
    <col min="5" max="5" width="12.85546875" bestFit="1" customWidth="1"/>
    <col min="6" max="6" width="10.5703125" bestFit="1" customWidth="1"/>
    <col min="7" max="7" width="11.140625" customWidth="1"/>
    <col min="8" max="8" width="12" bestFit="1" customWidth="1"/>
    <col min="19" max="19" width="11.42578125" bestFit="1" customWidth="1"/>
    <col min="20" max="20" width="6.28515625" bestFit="1" customWidth="1"/>
    <col min="21" max="22" width="12.42578125" bestFit="1" customWidth="1"/>
  </cols>
  <sheetData>
    <row r="2" spans="1:7" x14ac:dyDescent="0.25">
      <c r="A2" s="5" t="s">
        <v>61</v>
      </c>
      <c r="B2" s="5"/>
      <c r="C2" s="5"/>
      <c r="D2" s="5"/>
      <c r="E2" s="5"/>
      <c r="F2" s="5"/>
    </row>
    <row r="4" spans="1:7" x14ac:dyDescent="0.25">
      <c r="A4" s="5" t="s">
        <v>63</v>
      </c>
      <c r="F4" s="34" t="str">
        <f>IF(hc/dc&lt;1,"Squat Silos",IF(hc/dc&lt;2,"Intermediate Slender Silos",IF(hc/dc&gt;=2,"Slender Silos")))</f>
        <v>Squat Silos</v>
      </c>
    </row>
    <row r="5" spans="1:7" x14ac:dyDescent="0.25">
      <c r="A5" s="5" t="s">
        <v>85</v>
      </c>
      <c r="F5" s="42">
        <v>2</v>
      </c>
    </row>
    <row r="6" spans="1:7" x14ac:dyDescent="0.25">
      <c r="A6" s="5" t="s">
        <v>89</v>
      </c>
      <c r="F6" s="34" t="str">
        <f>IF(dc/t&gt;200,"Thin Walled","Thick Walled")</f>
        <v>Thin Walled</v>
      </c>
    </row>
    <row r="7" spans="1:7" x14ac:dyDescent="0.25">
      <c r="A7" s="5" t="s">
        <v>390</v>
      </c>
    </row>
    <row r="8" spans="1:7" x14ac:dyDescent="0.25">
      <c r="A8" s="35" t="s">
        <v>64</v>
      </c>
    </row>
    <row r="10" spans="1:7" x14ac:dyDescent="0.25">
      <c r="A10" s="35" t="s">
        <v>65</v>
      </c>
    </row>
    <row r="12" spans="1:7" x14ac:dyDescent="0.25">
      <c r="A12" s="5" t="s">
        <v>66</v>
      </c>
      <c r="F12">
        <f>3.14*(F13^2)/4</f>
        <v>63585000</v>
      </c>
      <c r="G12" s="36" t="s">
        <v>55</v>
      </c>
    </row>
    <row r="13" spans="1:7" x14ac:dyDescent="0.25">
      <c r="A13" s="5" t="s">
        <v>44</v>
      </c>
      <c r="B13" s="5"/>
      <c r="F13">
        <f>dc</f>
        <v>9000</v>
      </c>
      <c r="G13" t="s">
        <v>24</v>
      </c>
    </row>
    <row r="14" spans="1:7" x14ac:dyDescent="0.25">
      <c r="A14" s="5" t="s">
        <v>45</v>
      </c>
      <c r="B14" s="5"/>
      <c r="F14">
        <f>F13-2*t</f>
        <v>8950</v>
      </c>
      <c r="G14" t="s">
        <v>24</v>
      </c>
    </row>
    <row r="15" spans="1:7" x14ac:dyDescent="0.25">
      <c r="A15" s="5" t="s">
        <v>67</v>
      </c>
      <c r="F15">
        <f>2*3.14*F13/2</f>
        <v>28260</v>
      </c>
      <c r="G15" t="s">
        <v>24</v>
      </c>
    </row>
    <row r="16" spans="1:7" x14ac:dyDescent="0.25">
      <c r="A16" s="5" t="s">
        <v>158</v>
      </c>
      <c r="F16" s="39">
        <f>F12/('Particulate Solid Properties'!C9*'Particulate Solid Properties'!C15*'EUROCODE1-Vertical Wall Loads'!F15)</f>
        <v>7543.2034462985584</v>
      </c>
      <c r="G16" t="s">
        <v>24</v>
      </c>
    </row>
    <row r="17" spans="1:22" x14ac:dyDescent="0.25">
      <c r="A17" s="5" t="s">
        <v>98</v>
      </c>
      <c r="F17" s="39">
        <f>'Particulate Solid Properties'!C5*'Particulate Solid Properties'!C9*'EUROCODE1-Vertical Wall Loads'!F16/1000</f>
        <v>6.7590120160213614</v>
      </c>
      <c r="G17" t="s">
        <v>68</v>
      </c>
    </row>
    <row r="18" spans="1:22" x14ac:dyDescent="0.25">
      <c r="A18" s="5" t="s">
        <v>99</v>
      </c>
      <c r="F18" s="39">
        <f>-(1+TAN(fir/'Properties of Silo'!L13))*(1-ho/'EUROCODE1-Vertical Wall Loads'!F16)</f>
        <v>-1.6301107337903071</v>
      </c>
      <c r="G18" t="s">
        <v>69</v>
      </c>
    </row>
    <row r="20" spans="1:22" x14ac:dyDescent="0.25">
      <c r="A20" s="5" t="s">
        <v>71</v>
      </c>
      <c r="T20" s="37"/>
    </row>
    <row r="21" spans="1:22" x14ac:dyDescent="0.25">
      <c r="R21" s="38"/>
      <c r="S21" s="39"/>
      <c r="T21" s="38"/>
      <c r="U21" s="38"/>
      <c r="V21" s="38"/>
    </row>
    <row r="22" spans="1:22" ht="28.5" customHeight="1" x14ac:dyDescent="0.25">
      <c r="A22" s="184" t="s">
        <v>25</v>
      </c>
      <c r="B22" s="184"/>
      <c r="C22" s="184"/>
      <c r="D22" s="184"/>
      <c r="E22" s="184"/>
      <c r="F22" s="39">
        <f>hc</f>
        <v>8785.574936907562</v>
      </c>
      <c r="G22" t="s">
        <v>24</v>
      </c>
      <c r="R22" s="38"/>
      <c r="S22" s="38"/>
      <c r="T22" s="38"/>
      <c r="U22" s="38"/>
      <c r="V22" s="38"/>
    </row>
    <row r="23" spans="1:22" x14ac:dyDescent="0.25">
      <c r="A23" s="5" t="s">
        <v>76</v>
      </c>
      <c r="R23" s="38"/>
      <c r="S23" s="38"/>
      <c r="T23" s="38"/>
      <c r="U23" s="38"/>
      <c r="V23" s="38"/>
    </row>
    <row r="24" spans="1:22" x14ac:dyDescent="0.25">
      <c r="A24" s="133" t="s">
        <v>72</v>
      </c>
      <c r="B24" s="133" t="s">
        <v>73</v>
      </c>
      <c r="C24" s="133" t="s">
        <v>70</v>
      </c>
      <c r="D24" s="133" t="s">
        <v>74</v>
      </c>
      <c r="E24" s="133" t="s">
        <v>75</v>
      </c>
      <c r="F24" s="133" t="s">
        <v>533</v>
      </c>
      <c r="G24" s="133" t="s">
        <v>78</v>
      </c>
      <c r="H24" s="148" t="s">
        <v>534</v>
      </c>
      <c r="R24" s="38"/>
      <c r="S24" s="38"/>
      <c r="T24" s="38"/>
      <c r="U24" s="38"/>
      <c r="V24" s="38"/>
    </row>
    <row r="25" spans="1:22" x14ac:dyDescent="0.25">
      <c r="A25" s="149">
        <f>0</f>
        <v>0</v>
      </c>
      <c r="B25" s="149">
        <v>0</v>
      </c>
      <c r="C25" s="149">
        <f t="shared" ref="C25:C35" si="0">IF(OR($F$4="Intermediate Slender Silos",$F$4="Squat Silos"),(1-((B25-ho)/($F$16-ho)+1)^$F$18),IF($F$4="Slender Silos",1-2.718^(-B25/$F$16)))</f>
        <v>-0.67314516050242368</v>
      </c>
      <c r="D25" s="149">
        <f>C25*$F$17</f>
        <v>-4.54979622836251</v>
      </c>
      <c r="E25" s="149">
        <f>D25*'Particulate Solid Properties'!$C$13</f>
        <v>-2.5478858878830057</v>
      </c>
      <c r="F25" s="149">
        <f t="shared" ref="F25:F35" si="1">ho-(1/(n+1))*($F$16-ho-((B25+$F$16-2*ho)^(n+1))/($F$16-ho)^n)</f>
        <v>-466.52406414131951</v>
      </c>
      <c r="G25" s="149">
        <f>(1/1000)*F25*'Particulate Solid Properties'!$C$5</f>
        <v>-0.83974331545437519</v>
      </c>
      <c r="H25" s="149">
        <f>'Particulate Solid Properties'!$C$13*$F$17*(A25-F25)/1000</f>
        <v>1.7658153829648073</v>
      </c>
      <c r="R25" s="38"/>
      <c r="S25" s="38"/>
      <c r="T25" s="38"/>
      <c r="U25" s="38"/>
      <c r="V25" s="38"/>
    </row>
    <row r="26" spans="1:22" x14ac:dyDescent="0.25">
      <c r="A26" s="128">
        <f>ho</f>
        <v>1607.2125315462192</v>
      </c>
      <c r="B26" s="128">
        <f>ho</f>
        <v>1607.2125315462192</v>
      </c>
      <c r="C26" s="150">
        <f t="shared" si="0"/>
        <v>0</v>
      </c>
      <c r="D26" s="128">
        <f>C26*$F$17</f>
        <v>0</v>
      </c>
      <c r="E26" s="128">
        <f>D26*'Particulate Solid Properties'!$C$13</f>
        <v>0</v>
      </c>
      <c r="F26" s="128">
        <f t="shared" si="1"/>
        <v>1607.2125315462235</v>
      </c>
      <c r="G26" s="150">
        <f>(1/1000)*F26*'Particulate Solid Properties'!$C$5</f>
        <v>2.8929825567832026</v>
      </c>
      <c r="H26" s="152">
        <f>'Particulate Solid Properties'!$C$13*$F$17*(A26-F26)/1000</f>
        <v>-1.6351779743324026E-14</v>
      </c>
      <c r="R26" s="38"/>
      <c r="S26" s="38"/>
      <c r="T26" s="38"/>
      <c r="U26" s="38"/>
      <c r="V26" s="38"/>
    </row>
    <row r="27" spans="1:22" x14ac:dyDescent="0.25">
      <c r="A27" s="128">
        <f t="shared" ref="A27:A33" si="2">A26+1000</f>
        <v>2607.212531546219</v>
      </c>
      <c r="B27" s="128">
        <f>A26+1000/2</f>
        <v>2107.212531546219</v>
      </c>
      <c r="C27" s="150">
        <f t="shared" si="0"/>
        <v>0.12351006510793661</v>
      </c>
      <c r="D27" s="128">
        <f t="shared" ref="D27:D35" si="3">C27*$F$17</f>
        <v>0.83480601416412425</v>
      </c>
      <c r="E27" s="128">
        <f>D27*'Particulate Solid Properties'!$C$13</f>
        <v>0.46749136793190965</v>
      </c>
      <c r="F27" s="128">
        <f t="shared" si="1"/>
        <v>2075.2408337165057</v>
      </c>
      <c r="G27" s="150">
        <f>(1/1000)*F27*'Particulate Solid Properties'!$C$5</f>
        <v>3.7354335006897101</v>
      </c>
      <c r="H27" s="152">
        <f>'Particulate Solid Properties'!$C$13*$F$17*(A27-F27)/1000</f>
        <v>2.0135377347760177</v>
      </c>
      <c r="R27" s="38"/>
      <c r="S27" s="38"/>
      <c r="T27" s="38"/>
      <c r="U27" s="38"/>
      <c r="V27" s="38"/>
    </row>
    <row r="28" spans="1:22" x14ac:dyDescent="0.25">
      <c r="A28" s="128">
        <f t="shared" si="2"/>
        <v>3607.212531546219</v>
      </c>
      <c r="B28" s="128">
        <f>B27+1000</f>
        <v>3107.212531546219</v>
      </c>
      <c r="C28" s="150">
        <f t="shared" si="0"/>
        <v>0.30737079495851061</v>
      </c>
      <c r="D28" s="128">
        <f t="shared" si="3"/>
        <v>2.0775228964986114</v>
      </c>
      <c r="E28" s="128">
        <f>D28*'Particulate Solid Properties'!$C$13</f>
        <v>1.1634128220392226</v>
      </c>
      <c r="F28" s="128">
        <f t="shared" si="1"/>
        <v>2853.9877357171326</v>
      </c>
      <c r="G28" s="150">
        <f>(1/1000)*F28*'Particulate Solid Properties'!$C$5</f>
        <v>5.1371779242908389</v>
      </c>
      <c r="H28" s="152">
        <f>'Particulate Solid Properties'!$C$13*$F$17*(A28-F28)/1000</f>
        <v>2.8509910496334578</v>
      </c>
      <c r="R28" s="38"/>
      <c r="S28" s="38"/>
      <c r="T28" s="38"/>
      <c r="U28" s="38"/>
      <c r="V28" s="38"/>
    </row>
    <row r="29" spans="1:22" x14ac:dyDescent="0.25">
      <c r="A29" s="128">
        <f t="shared" si="2"/>
        <v>4607.212531546219</v>
      </c>
      <c r="B29" s="128">
        <f t="shared" ref="B29:B33" si="4">B28+1000</f>
        <v>4107.212531546219</v>
      </c>
      <c r="C29" s="150">
        <f t="shared" si="0"/>
        <v>0.43613490693480739</v>
      </c>
      <c r="D29" s="128">
        <f t="shared" si="3"/>
        <v>2.9478410765787211</v>
      </c>
      <c r="E29" s="128">
        <f>D29*'Particulate Solid Properties'!$C$13</f>
        <v>1.650791002884084</v>
      </c>
      <c r="F29" s="128">
        <f t="shared" si="1"/>
        <v>3478.6774174321781</v>
      </c>
      <c r="G29" s="150">
        <f>(1/1000)*F29*'Particulate Solid Properties'!$C$5</f>
        <v>6.261619351377921</v>
      </c>
      <c r="H29" s="152">
        <f>'Particulate Solid Properties'!$C$13*$F$17*(A29-F29)/1000</f>
        <v>4.2715581422073514</v>
      </c>
      <c r="R29" s="38"/>
      <c r="S29" s="38"/>
      <c r="T29" s="38"/>
      <c r="U29" s="38"/>
      <c r="V29" s="38"/>
    </row>
    <row r="30" spans="1:22" x14ac:dyDescent="0.25">
      <c r="A30" s="128">
        <f t="shared" si="2"/>
        <v>5607.212531546219</v>
      </c>
      <c r="B30" s="128">
        <f t="shared" si="4"/>
        <v>5107.212531546219</v>
      </c>
      <c r="C30" s="150">
        <f t="shared" si="0"/>
        <v>0.5302486650792908</v>
      </c>
      <c r="D30" s="128">
        <f t="shared" si="3"/>
        <v>3.5839570987502132</v>
      </c>
      <c r="E30" s="128">
        <f>D30*'Particulate Solid Properties'!$C$13</f>
        <v>2.0070159753001198</v>
      </c>
      <c r="F30" s="128">
        <f t="shared" si="1"/>
        <v>3993.176625832014</v>
      </c>
      <c r="G30" s="150">
        <f>(1/1000)*F30*'Particulate Solid Properties'!$C$5</f>
        <v>7.1877179264976254</v>
      </c>
      <c r="H30" s="152">
        <f>'Particulate Solid Properties'!$C$13*$F$17*(A30-F30)/1000</f>
        <v>6.1092013253668513</v>
      </c>
      <c r="R30" s="38"/>
      <c r="S30" s="38"/>
      <c r="T30" s="38"/>
      <c r="U30" s="38"/>
      <c r="V30" s="38"/>
    </row>
    <row r="31" spans="1:22" x14ac:dyDescent="0.25">
      <c r="A31" s="128">
        <f t="shared" si="2"/>
        <v>6607.212531546219</v>
      </c>
      <c r="B31" s="128">
        <f t="shared" si="4"/>
        <v>6107.212531546219</v>
      </c>
      <c r="C31" s="150">
        <f t="shared" si="0"/>
        <v>0.60138199785306523</v>
      </c>
      <c r="D31" s="128">
        <f t="shared" si="3"/>
        <v>4.0647481497078006</v>
      </c>
      <c r="E31" s="128">
        <f>D31*'Particulate Solid Properties'!$C$13</f>
        <v>2.2762589638363684</v>
      </c>
      <c r="F31" s="128">
        <f t="shared" si="1"/>
        <v>4425.7918234857798</v>
      </c>
      <c r="G31" s="150">
        <f>(1/1000)*F31*'Particulate Solid Properties'!$C$5</f>
        <v>7.9664252822744048</v>
      </c>
      <c r="H31" s="152">
        <f>'Particulate Solid Properties'!$C$13*$F$17*(A31-F31)/1000</f>
        <v>8.2567793155558675</v>
      </c>
      <c r="R31" s="38"/>
      <c r="S31" s="38"/>
      <c r="T31" s="38"/>
      <c r="U31" s="38"/>
      <c r="V31" s="38"/>
    </row>
    <row r="32" spans="1:22" x14ac:dyDescent="0.25">
      <c r="A32" s="128">
        <f t="shared" si="2"/>
        <v>7607.212531546219</v>
      </c>
      <c r="B32" s="128">
        <f t="shared" si="4"/>
        <v>7107.212531546219</v>
      </c>
      <c r="C32" s="150">
        <f t="shared" si="0"/>
        <v>0.6566191041002134</v>
      </c>
      <c r="D32" s="128">
        <f t="shared" si="3"/>
        <v>4.4380964145625237</v>
      </c>
      <c r="E32" s="128">
        <f>D32*'Particulate Solid Properties'!$C$13</f>
        <v>2.4853339921550135</v>
      </c>
      <c r="F32" s="128">
        <f t="shared" si="1"/>
        <v>4795.6840194981496</v>
      </c>
      <c r="G32" s="150">
        <f>(1/1000)*F32*'Particulate Solid Properties'!$C$5</f>
        <v>8.6322312350966683</v>
      </c>
      <c r="H32" s="152">
        <f>'Particulate Solid Properties'!$C$13*$F$17*(A32-F32)/1000</f>
        <v>10.641766797938955</v>
      </c>
      <c r="R32" s="38"/>
      <c r="S32" s="38"/>
      <c r="T32" s="38"/>
      <c r="U32" s="38"/>
      <c r="V32" s="38"/>
    </row>
    <row r="33" spans="1:22" x14ac:dyDescent="0.25">
      <c r="A33" s="128">
        <f t="shared" si="2"/>
        <v>8607.2125315462181</v>
      </c>
      <c r="B33" s="128">
        <f t="shared" si="4"/>
        <v>8107.212531546219</v>
      </c>
      <c r="C33" s="150">
        <f t="shared" si="0"/>
        <v>0.70047757098909758</v>
      </c>
      <c r="D33" s="128">
        <f t="shared" si="3"/>
        <v>4.7345363192687664</v>
      </c>
      <c r="E33" s="128">
        <f>D33*'Particulate Solid Properties'!$C$13</f>
        <v>2.6513403387905092</v>
      </c>
      <c r="F33" s="128">
        <f t="shared" si="1"/>
        <v>5116.3301996544442</v>
      </c>
      <c r="G33" s="150">
        <f>(1/1000)*F33*'Particulate Solid Properties'!$C$5</f>
        <v>9.2093943593780008</v>
      </c>
      <c r="H33" s="152">
        <f>'Particulate Solid Properties'!$C$13*$F$17*(A33-F33)/1000</f>
        <v>13.213152751552975</v>
      </c>
      <c r="R33" s="38"/>
      <c r="S33" s="38"/>
      <c r="T33" s="38"/>
      <c r="U33" s="38"/>
      <c r="V33" s="38"/>
    </row>
    <row r="34" spans="1:22" x14ac:dyDescent="0.25">
      <c r="A34" s="128">
        <f>$F$22</f>
        <v>8785.574936907562</v>
      </c>
      <c r="B34" s="128">
        <f>(A33+A34)/2</f>
        <v>8696.393734226891</v>
      </c>
      <c r="C34" s="150">
        <f t="shared" si="0"/>
        <v>0.72224677448308561</v>
      </c>
      <c r="D34" s="128">
        <f t="shared" si="3"/>
        <v>4.8816746272638456</v>
      </c>
      <c r="E34" s="128">
        <f>D34*'Particulate Solid Properties'!$C$13</f>
        <v>2.7337377912677536</v>
      </c>
      <c r="F34" s="128">
        <f t="shared" si="1"/>
        <v>5286.2600733610197</v>
      </c>
      <c r="G34" s="150">
        <f>(1/1000)*F34*'Particulate Solid Properties'!$C$5</f>
        <v>9.5152681320498367</v>
      </c>
      <c r="H34" s="152">
        <f>'Particulate Solid Properties'!$C$13*$F$17*(A34-F34)/1000</f>
        <v>13.245070277909811</v>
      </c>
      <c r="R34" s="38"/>
      <c r="S34" s="38"/>
      <c r="T34" s="38"/>
      <c r="U34" s="38"/>
      <c r="V34" s="38"/>
    </row>
    <row r="35" spans="1:22" x14ac:dyDescent="0.25">
      <c r="A35" s="133"/>
      <c r="B35" s="128">
        <f>A34</f>
        <v>8785.574936907562</v>
      </c>
      <c r="C35" s="150">
        <f t="shared" si="0"/>
        <v>0.7253191225918042</v>
      </c>
      <c r="D35" s="128">
        <f t="shared" si="3"/>
        <v>4.9024406650480756</v>
      </c>
      <c r="E35" s="128">
        <f>D35*'Particulate Solid Properties'!$C$13</f>
        <v>2.7453667724269226</v>
      </c>
      <c r="F35" s="128">
        <f t="shared" si="1"/>
        <v>5310.893032439044</v>
      </c>
      <c r="G35" s="150">
        <f>(1/1000)*F35*'Particulate Solid Properties'!$C$5</f>
        <v>9.5596074583902801</v>
      </c>
      <c r="H35" s="153"/>
      <c r="R35" s="38"/>
      <c r="S35" s="38"/>
      <c r="T35" s="38"/>
      <c r="U35" s="38"/>
      <c r="V35" s="38"/>
    </row>
    <row r="36" spans="1:22" ht="32.25" customHeight="1" x14ac:dyDescent="0.25">
      <c r="A36" s="173" t="s">
        <v>80</v>
      </c>
      <c r="B36" s="173"/>
      <c r="C36" s="173"/>
      <c r="D36" s="173"/>
      <c r="E36" s="173"/>
      <c r="F36" s="173"/>
      <c r="G36" s="153">
        <f>IF(OR(F4="Intermediate Slender Silos",F4="Squat Silos"),'Particulate Solid Properties'!C13*F17*(B35-F35)/1000,'Particulate Solid Properties'!C13*'EUROCODE1-Vertical Wall Loads'!F17*('EUROCODE1-Vertical Wall Loads'!B35-'EUROCODE1-Vertical Wall Loads'!F16*'EUROCODE1-Vertical Wall Loads'!C35)/1000)</f>
        <v>13.151833376726634</v>
      </c>
      <c r="H36" s="134" t="s">
        <v>79</v>
      </c>
      <c r="R36" s="38"/>
      <c r="S36" s="38"/>
      <c r="T36" s="38"/>
      <c r="U36" s="38"/>
      <c r="V36" s="38"/>
    </row>
    <row r="37" spans="1:22" x14ac:dyDescent="0.25">
      <c r="G37" s="37"/>
      <c r="R37" s="38"/>
      <c r="S37" s="38"/>
      <c r="T37" s="38"/>
      <c r="U37" s="38"/>
      <c r="V37" s="38"/>
    </row>
    <row r="38" spans="1:22" x14ac:dyDescent="0.25">
      <c r="R38" s="38"/>
      <c r="S38" s="38"/>
      <c r="T38" s="38"/>
      <c r="U38" s="38"/>
      <c r="V38" s="38"/>
    </row>
    <row r="39" spans="1:22" x14ac:dyDescent="0.25">
      <c r="A39" s="35" t="s">
        <v>81</v>
      </c>
      <c r="G39" s="37"/>
      <c r="R39" s="38"/>
      <c r="S39" s="38"/>
      <c r="T39" s="38"/>
      <c r="U39" s="38"/>
      <c r="V39" s="38"/>
    </row>
    <row r="40" spans="1:22" x14ac:dyDescent="0.25">
      <c r="A40" s="5" t="s">
        <v>82</v>
      </c>
      <c r="E40" s="41">
        <f>IF(F4="Slender Silos",1.15,1+0.15*E42)</f>
        <v>0.99642624894845933</v>
      </c>
      <c r="G40" s="37"/>
      <c r="R40" s="38"/>
      <c r="S40" s="38"/>
      <c r="T40" s="38"/>
      <c r="U40" s="38"/>
      <c r="V40" s="38"/>
    </row>
    <row r="41" spans="1:22" x14ac:dyDescent="0.25">
      <c r="A41" s="5" t="s">
        <v>83</v>
      </c>
      <c r="E41" s="41">
        <f>IF(F4="Slender Silos",1.1,1+0.1*E42)</f>
        <v>0.99761749929897292</v>
      </c>
      <c r="G41" s="37"/>
      <c r="R41" s="38"/>
      <c r="S41" s="38"/>
      <c r="T41" s="38"/>
      <c r="U41" s="38"/>
      <c r="V41" s="38"/>
    </row>
    <row r="42" spans="1:22" x14ac:dyDescent="0.25">
      <c r="A42" s="5" t="s">
        <v>84</v>
      </c>
      <c r="E42" s="41">
        <f>hc/dc-1</f>
        <v>-2.3825007010270904E-2</v>
      </c>
      <c r="G42" s="37"/>
      <c r="R42" s="38"/>
      <c r="S42" s="38"/>
      <c r="T42" s="38"/>
      <c r="U42" s="38"/>
      <c r="V42" s="38"/>
    </row>
    <row r="43" spans="1:22" x14ac:dyDescent="0.25">
      <c r="E43" s="39"/>
      <c r="G43" s="37"/>
      <c r="R43" s="38"/>
      <c r="S43" s="38"/>
      <c r="T43" s="38"/>
      <c r="U43" s="38"/>
      <c r="V43" s="38"/>
    </row>
    <row r="44" spans="1:22" x14ac:dyDescent="0.25">
      <c r="A44" s="133" t="s">
        <v>72</v>
      </c>
      <c r="B44" s="13" t="s">
        <v>73</v>
      </c>
      <c r="C44" s="133" t="s">
        <v>70</v>
      </c>
      <c r="D44" s="13" t="s">
        <v>86</v>
      </c>
      <c r="E44" s="151" t="s">
        <v>87</v>
      </c>
      <c r="G44" s="37"/>
      <c r="R44" s="38"/>
      <c r="S44" s="38"/>
      <c r="T44" s="38"/>
      <c r="U44" s="38"/>
      <c r="V44" s="38"/>
    </row>
    <row r="45" spans="1:22" x14ac:dyDescent="0.25">
      <c r="A45" s="149">
        <f>0</f>
        <v>0</v>
      </c>
      <c r="B45" s="149">
        <v>0</v>
      </c>
      <c r="C45" s="149">
        <f>(1-((A45-ho)/($F$16-ho)+1)^$F$18)</f>
        <v>-0.67314516050242368</v>
      </c>
      <c r="D45" s="149">
        <f>$E$40*D25</f>
        <v>-4.5335363893071037</v>
      </c>
      <c r="E45" s="149">
        <f>$E$41*E25</f>
        <v>-2.5418155479689877</v>
      </c>
      <c r="F45" s="38"/>
      <c r="G45" s="37"/>
      <c r="R45" s="38"/>
      <c r="S45" s="38"/>
      <c r="T45" s="38"/>
      <c r="U45" s="38"/>
      <c r="V45" s="38"/>
    </row>
    <row r="46" spans="1:22" x14ac:dyDescent="0.25">
      <c r="A46" s="128">
        <f>ho</f>
        <v>1607.2125315462192</v>
      </c>
      <c r="B46" s="128">
        <f>ho</f>
        <v>1607.2125315462192</v>
      </c>
      <c r="C46" s="128">
        <f t="shared" ref="C46:C55" si="5">(1-((B46-ho)/($F$16-ho)+1)^$F$18)</f>
        <v>0</v>
      </c>
      <c r="D46" s="128">
        <f t="shared" ref="D46:D55" si="6">$E$40*D26</f>
        <v>0</v>
      </c>
      <c r="E46" s="128">
        <f t="shared" ref="E46:E55" si="7">$E$41*E26</f>
        <v>0</v>
      </c>
      <c r="F46" s="38"/>
      <c r="G46" s="37"/>
      <c r="R46" s="38"/>
      <c r="S46" s="38"/>
      <c r="T46" s="38"/>
      <c r="U46" s="38"/>
      <c r="V46" s="38"/>
    </row>
    <row r="47" spans="1:22" x14ac:dyDescent="0.25">
      <c r="A47" s="128">
        <f t="shared" ref="A47:A53" si="8">A46+1000</f>
        <v>2607.212531546219</v>
      </c>
      <c r="B47" s="128">
        <f>A46+1000/2</f>
        <v>2107.212531546219</v>
      </c>
      <c r="C47" s="128">
        <f t="shared" si="5"/>
        <v>0.12351006510793661</v>
      </c>
      <c r="D47" s="128">
        <f t="shared" si="6"/>
        <v>0.83182262529317275</v>
      </c>
      <c r="E47" s="128">
        <f t="shared" si="7"/>
        <v>0.46637756942008779</v>
      </c>
      <c r="F47" s="38"/>
      <c r="G47" s="37"/>
      <c r="R47" s="38"/>
      <c r="S47" s="38"/>
      <c r="T47" s="38"/>
      <c r="U47" s="38"/>
      <c r="V47" s="38"/>
    </row>
    <row r="48" spans="1:22" x14ac:dyDescent="0.25">
      <c r="A48" s="128">
        <f t="shared" si="8"/>
        <v>3607.212531546219</v>
      </c>
      <c r="B48" s="128">
        <f>B47+1000</f>
        <v>3107.212531546219</v>
      </c>
      <c r="C48" s="128">
        <f t="shared" si="5"/>
        <v>0.30737079495851061</v>
      </c>
      <c r="D48" s="128">
        <f t="shared" si="6"/>
        <v>2.0700983468626495</v>
      </c>
      <c r="E48" s="128">
        <f t="shared" si="7"/>
        <v>1.1606409901751302</v>
      </c>
      <c r="F48" s="38"/>
      <c r="G48" s="37"/>
      <c r="R48" s="38"/>
      <c r="S48" s="38"/>
      <c r="T48" s="38"/>
      <c r="U48" s="38"/>
      <c r="V48" s="38"/>
    </row>
    <row r="49" spans="1:22" x14ac:dyDescent="0.25">
      <c r="A49" s="128">
        <f t="shared" si="8"/>
        <v>4607.212531546219</v>
      </c>
      <c r="B49" s="128">
        <f t="shared" ref="B49:B54" si="9">B48+1000</f>
        <v>4107.212531546219</v>
      </c>
      <c r="C49" s="128">
        <f t="shared" si="5"/>
        <v>0.43613490693480739</v>
      </c>
      <c r="D49" s="128">
        <f t="shared" si="6"/>
        <v>2.9373062264315233</v>
      </c>
      <c r="E49" s="128">
        <f t="shared" si="7"/>
        <v>1.6468579921624635</v>
      </c>
      <c r="F49" s="38"/>
      <c r="G49" s="37"/>
      <c r="R49" s="38"/>
      <c r="S49" s="38"/>
      <c r="T49" s="38"/>
      <c r="U49" s="38"/>
      <c r="V49" s="38"/>
    </row>
    <row r="50" spans="1:22" x14ac:dyDescent="0.25">
      <c r="A50" s="128">
        <f t="shared" si="8"/>
        <v>5607.212531546219</v>
      </c>
      <c r="B50" s="128">
        <f t="shared" si="9"/>
        <v>5107.212531546219</v>
      </c>
      <c r="C50" s="128">
        <f t="shared" si="5"/>
        <v>0.5302486650792908</v>
      </c>
      <c r="D50" s="128">
        <f t="shared" si="6"/>
        <v>3.5711489282998778</v>
      </c>
      <c r="E50" s="128">
        <f t="shared" si="7"/>
        <v>2.0022342583319945</v>
      </c>
      <c r="F50" s="38"/>
      <c r="G50" s="37"/>
      <c r="R50" s="38"/>
      <c r="S50" s="38"/>
      <c r="T50" s="38"/>
      <c r="U50" s="38"/>
      <c r="V50" s="38"/>
    </row>
    <row r="51" spans="1:22" x14ac:dyDescent="0.25">
      <c r="A51" s="128">
        <f t="shared" si="8"/>
        <v>6607.212531546219</v>
      </c>
      <c r="B51" s="128">
        <f t="shared" si="9"/>
        <v>6107.212531546219</v>
      </c>
      <c r="C51" s="128">
        <f t="shared" si="5"/>
        <v>0.60138199785306523</v>
      </c>
      <c r="D51" s="128">
        <f t="shared" si="6"/>
        <v>4.0502217517335346</v>
      </c>
      <c r="E51" s="128">
        <f t="shared" si="7"/>
        <v>2.2708357752593091</v>
      </c>
      <c r="F51" s="38"/>
      <c r="G51" s="37"/>
      <c r="R51" s="38"/>
      <c r="S51" s="38"/>
      <c r="T51" s="38"/>
      <c r="U51" s="38"/>
      <c r="V51" s="38"/>
    </row>
    <row r="52" spans="1:22" x14ac:dyDescent="0.25">
      <c r="A52" s="128">
        <f t="shared" si="8"/>
        <v>7607.212531546219</v>
      </c>
      <c r="B52" s="128">
        <f t="shared" si="9"/>
        <v>7107.212531546219</v>
      </c>
      <c r="C52" s="128">
        <f t="shared" si="5"/>
        <v>0.6566191041002134</v>
      </c>
      <c r="D52" s="128">
        <f t="shared" si="6"/>
        <v>4.4222357628341422</v>
      </c>
      <c r="E52" s="128">
        <f t="shared" si="7"/>
        <v>2.4794126821764175</v>
      </c>
      <c r="F52" s="38"/>
      <c r="G52" s="37"/>
      <c r="R52" s="38"/>
      <c r="S52" s="38"/>
      <c r="T52" s="38"/>
      <c r="U52" s="38"/>
      <c r="V52" s="38"/>
    </row>
    <row r="53" spans="1:22" x14ac:dyDescent="0.25">
      <c r="A53" s="128">
        <f t="shared" si="8"/>
        <v>8607.2125315462181</v>
      </c>
      <c r="B53" s="128">
        <f t="shared" si="9"/>
        <v>8107.212531546219</v>
      </c>
      <c r="C53" s="128">
        <f t="shared" si="5"/>
        <v>0.70047757098909758</v>
      </c>
      <c r="D53" s="128">
        <f t="shared" si="6"/>
        <v>4.7176162651192222</v>
      </c>
      <c r="E53" s="128">
        <f t="shared" si="7"/>
        <v>2.6450235185746793</v>
      </c>
      <c r="F53" s="38"/>
      <c r="G53" s="37"/>
      <c r="R53" s="38"/>
      <c r="S53" s="38"/>
      <c r="T53" s="38"/>
      <c r="U53" s="38"/>
      <c r="V53" s="38"/>
    </row>
    <row r="54" spans="1:22" x14ac:dyDescent="0.25">
      <c r="A54" s="128">
        <f>$F$22</f>
        <v>8785.574936907562</v>
      </c>
      <c r="B54" s="128">
        <f t="shared" si="9"/>
        <v>9107.2125315462181</v>
      </c>
      <c r="C54" s="128">
        <f t="shared" si="5"/>
        <v>0.73595675481896849</v>
      </c>
      <c r="D54" s="128">
        <f t="shared" si="6"/>
        <v>4.8642287374313824</v>
      </c>
      <c r="E54" s="128">
        <f t="shared" si="7"/>
        <v>2.727224659063634</v>
      </c>
      <c r="F54" s="38"/>
      <c r="G54" s="37"/>
      <c r="R54" s="38"/>
      <c r="S54" s="38"/>
      <c r="T54" s="38"/>
      <c r="U54" s="38"/>
      <c r="V54" s="38"/>
    </row>
    <row r="55" spans="1:22" x14ac:dyDescent="0.25">
      <c r="A55" s="133"/>
      <c r="B55" s="128">
        <f>A54</f>
        <v>8785.574936907562</v>
      </c>
      <c r="C55" s="128">
        <f t="shared" si="5"/>
        <v>0.7253191225918042</v>
      </c>
      <c r="D55" s="128">
        <f t="shared" si="6"/>
        <v>4.8849205625662444</v>
      </c>
      <c r="E55" s="128">
        <f t="shared" si="7"/>
        <v>2.7388259341670391</v>
      </c>
      <c r="F55" s="38"/>
      <c r="G55" s="37"/>
      <c r="R55" s="38"/>
      <c r="S55" s="38"/>
      <c r="T55" s="38"/>
      <c r="U55" s="38"/>
      <c r="V55" s="38"/>
    </row>
    <row r="56" spans="1:22" ht="15.75" thickBot="1" x14ac:dyDescent="0.3">
      <c r="A56" s="13"/>
      <c r="B56" s="13"/>
      <c r="C56" s="13"/>
      <c r="D56" s="151"/>
      <c r="E56" s="151"/>
      <c r="F56" s="39"/>
      <c r="G56" s="37"/>
    </row>
    <row r="57" spans="1:22" ht="30.75" customHeight="1" thickBot="1" x14ac:dyDescent="0.3">
      <c r="A57" s="185" t="s">
        <v>88</v>
      </c>
      <c r="B57" s="186"/>
      <c r="C57" s="186"/>
      <c r="D57" s="186"/>
      <c r="E57" s="186"/>
      <c r="F57" s="187"/>
      <c r="G57" s="46">
        <f>IF(OR(F4="Intermediate Slender Silos",F4="Squat Silos"),E41*'Particulate Solid Properties'!C13*F17*(B35-F35)/1000,E41*'Particulate Solid Properties'!C13*'EUROCODE1-Vertical Wall Loads'!F17*('EUROCODE1-Vertical Wall Loads'!B35-'EUROCODE1-Vertical Wall Loads'!F16*'EUROCODE1-Vertical Wall Loads'!C55)/1000)</f>
        <v>13.120499124486791</v>
      </c>
      <c r="H57" s="20" t="s">
        <v>79</v>
      </c>
    </row>
    <row r="59" spans="1:22" x14ac:dyDescent="0.25">
      <c r="A59" s="35" t="s">
        <v>90</v>
      </c>
    </row>
    <row r="60" spans="1:22" x14ac:dyDescent="0.25">
      <c r="A60" s="5" t="s">
        <v>91</v>
      </c>
    </row>
    <row r="61" spans="1:22" x14ac:dyDescent="0.25">
      <c r="A61" s="5" t="s">
        <v>92</v>
      </c>
      <c r="G61" s="48">
        <v>0.7</v>
      </c>
    </row>
    <row r="62" spans="1:22" x14ac:dyDescent="0.25">
      <c r="A62" s="5" t="s">
        <v>93</v>
      </c>
      <c r="G62" s="48">
        <v>0</v>
      </c>
    </row>
    <row r="63" spans="1:22" x14ac:dyDescent="0.25">
      <c r="A63" s="5" t="s">
        <v>100</v>
      </c>
      <c r="G63" s="47">
        <f>2*G62/dc</f>
        <v>0</v>
      </c>
    </row>
    <row r="64" spans="1:22" x14ac:dyDescent="0.25">
      <c r="A64" s="5" t="s">
        <v>94</v>
      </c>
      <c r="G64" s="50">
        <f>3.14*dc/16</f>
        <v>1766.25</v>
      </c>
      <c r="H64" t="s">
        <v>24</v>
      </c>
    </row>
    <row r="65" spans="1:8" x14ac:dyDescent="0.25">
      <c r="A65" s="5" t="s">
        <v>95</v>
      </c>
      <c r="F65" s="49">
        <f>0.21*G61*(1+2*G63^2)*(1-2.718^(-1.5*(hc/dc-1)))</f>
        <v>-5.3478498150231219E-3</v>
      </c>
      <c r="G65" s="51">
        <f>IF(F65&gt;0,F65,0)</f>
        <v>0</v>
      </c>
    </row>
    <row r="66" spans="1:8" x14ac:dyDescent="0.25">
      <c r="A66" s="5" t="s">
        <v>97</v>
      </c>
      <c r="G66" s="51">
        <f>MIN(F16,hc/2)</f>
        <v>4392.787468453781</v>
      </c>
      <c r="H66" t="s">
        <v>24</v>
      </c>
    </row>
    <row r="67" spans="1:8" x14ac:dyDescent="0.25">
      <c r="A67" s="5" t="s">
        <v>102</v>
      </c>
      <c r="F67">
        <f>G66-G64/2</f>
        <v>3509.662468453781</v>
      </c>
      <c r="G67" s="37" t="s">
        <v>103</v>
      </c>
      <c r="H67">
        <f>G66+G64/2</f>
        <v>5275.912468453781</v>
      </c>
    </row>
    <row r="69" spans="1:8" x14ac:dyDescent="0.25">
      <c r="A69" s="5" t="s">
        <v>96</v>
      </c>
      <c r="G69" s="11">
        <v>0</v>
      </c>
      <c r="H69" t="s">
        <v>68</v>
      </c>
    </row>
    <row r="70" spans="1:8" x14ac:dyDescent="0.25">
      <c r="A70" s="5" t="s">
        <v>107</v>
      </c>
    </row>
    <row r="71" spans="1:8" x14ac:dyDescent="0.25">
      <c r="A71" t="s">
        <v>72</v>
      </c>
      <c r="B71" t="s">
        <v>73</v>
      </c>
      <c r="C71" s="37" t="s">
        <v>70</v>
      </c>
      <c r="D71" t="s">
        <v>74</v>
      </c>
      <c r="E71" t="s">
        <v>101</v>
      </c>
    </row>
    <row r="72" spans="1:8" x14ac:dyDescent="0.25">
      <c r="A72" s="40">
        <f>A25</f>
        <v>0</v>
      </c>
      <c r="B72" s="40">
        <f t="shared" ref="B72:C72" si="10">B25</f>
        <v>0</v>
      </c>
      <c r="C72" s="40">
        <f t="shared" si="10"/>
        <v>-0.67314516050242368</v>
      </c>
      <c r="D72" s="40">
        <f>D25</f>
        <v>-4.54979622836251</v>
      </c>
      <c r="E72" s="38">
        <f>$G$65*D72</f>
        <v>0</v>
      </c>
      <c r="F72" s="39"/>
      <c r="G72" s="39"/>
    </row>
    <row r="73" spans="1:8" x14ac:dyDescent="0.25">
      <c r="A73" s="43">
        <f t="shared" ref="A73:C82" si="11">A26</f>
        <v>1607.2125315462192</v>
      </c>
      <c r="B73" s="43">
        <f t="shared" si="11"/>
        <v>1607.2125315462192</v>
      </c>
      <c r="C73" s="43">
        <f t="shared" si="11"/>
        <v>0</v>
      </c>
      <c r="D73" s="43">
        <f t="shared" ref="D73" si="12">D26</f>
        <v>0</v>
      </c>
      <c r="E73" s="38">
        <f t="shared" ref="E73:E82" si="13">$G$65*D73</f>
        <v>0</v>
      </c>
      <c r="F73" s="39"/>
      <c r="G73" s="39"/>
    </row>
    <row r="74" spans="1:8" x14ac:dyDescent="0.25">
      <c r="A74" s="43">
        <f t="shared" si="11"/>
        <v>2607.212531546219</v>
      </c>
      <c r="B74" s="43">
        <f t="shared" si="11"/>
        <v>2107.212531546219</v>
      </c>
      <c r="C74" s="43">
        <f t="shared" si="11"/>
        <v>0.12351006510793661</v>
      </c>
      <c r="D74" s="43">
        <f t="shared" ref="D74" si="14">D27</f>
        <v>0.83480601416412425</v>
      </c>
      <c r="E74" s="38">
        <f t="shared" si="13"/>
        <v>0</v>
      </c>
      <c r="F74" s="39"/>
      <c r="G74" s="39"/>
    </row>
    <row r="75" spans="1:8" x14ac:dyDescent="0.25">
      <c r="A75" s="43">
        <f t="shared" si="11"/>
        <v>3607.212531546219</v>
      </c>
      <c r="B75" s="43">
        <f t="shared" si="11"/>
        <v>3107.212531546219</v>
      </c>
      <c r="C75" s="43">
        <f t="shared" si="11"/>
        <v>0.30737079495851061</v>
      </c>
      <c r="D75" s="43">
        <f t="shared" ref="D75" si="15">D28</f>
        <v>2.0775228964986114</v>
      </c>
      <c r="E75" s="38">
        <f t="shared" si="13"/>
        <v>0</v>
      </c>
      <c r="F75" s="39"/>
      <c r="G75" s="39"/>
    </row>
    <row r="76" spans="1:8" x14ac:dyDescent="0.25">
      <c r="A76" s="43">
        <f t="shared" si="11"/>
        <v>4607.212531546219</v>
      </c>
      <c r="B76" s="43">
        <f t="shared" si="11"/>
        <v>4107.212531546219</v>
      </c>
      <c r="C76" s="43">
        <f t="shared" si="11"/>
        <v>0.43613490693480739</v>
      </c>
      <c r="D76" s="43">
        <f t="shared" ref="D76" si="16">D29</f>
        <v>2.9478410765787211</v>
      </c>
      <c r="E76" s="38">
        <f t="shared" si="13"/>
        <v>0</v>
      </c>
      <c r="F76" s="39"/>
      <c r="G76" s="39"/>
    </row>
    <row r="77" spans="1:8" x14ac:dyDescent="0.25">
      <c r="A77" s="43">
        <f t="shared" si="11"/>
        <v>5607.212531546219</v>
      </c>
      <c r="B77" s="43">
        <f t="shared" si="11"/>
        <v>5107.212531546219</v>
      </c>
      <c r="C77" s="43">
        <f t="shared" si="11"/>
        <v>0.5302486650792908</v>
      </c>
      <c r="D77" s="43">
        <f t="shared" ref="D77" si="17">D30</f>
        <v>3.5839570987502132</v>
      </c>
      <c r="E77" s="38">
        <f t="shared" si="13"/>
        <v>0</v>
      </c>
      <c r="F77" s="39"/>
      <c r="G77" s="39"/>
    </row>
    <row r="78" spans="1:8" x14ac:dyDescent="0.25">
      <c r="A78" s="43">
        <f t="shared" si="11"/>
        <v>6607.212531546219</v>
      </c>
      <c r="B78" s="43">
        <f t="shared" si="11"/>
        <v>6107.212531546219</v>
      </c>
      <c r="C78" s="43">
        <f t="shared" si="11"/>
        <v>0.60138199785306523</v>
      </c>
      <c r="D78" s="43">
        <f t="shared" ref="D78" si="18">D31</f>
        <v>4.0647481497078006</v>
      </c>
      <c r="E78" s="38">
        <f t="shared" si="13"/>
        <v>0</v>
      </c>
      <c r="F78" s="39"/>
      <c r="G78" s="39"/>
    </row>
    <row r="79" spans="1:8" x14ac:dyDescent="0.25">
      <c r="A79" s="43">
        <f t="shared" si="11"/>
        <v>7607.212531546219</v>
      </c>
      <c r="B79" s="43">
        <f t="shared" si="11"/>
        <v>7107.212531546219</v>
      </c>
      <c r="C79" s="43">
        <f t="shared" si="11"/>
        <v>0.6566191041002134</v>
      </c>
      <c r="D79" s="43">
        <f t="shared" ref="D79" si="19">D32</f>
        <v>4.4380964145625237</v>
      </c>
      <c r="E79" s="38">
        <f t="shared" si="13"/>
        <v>0</v>
      </c>
      <c r="F79" s="39"/>
      <c r="G79" s="39"/>
    </row>
    <row r="80" spans="1:8" x14ac:dyDescent="0.25">
      <c r="A80" s="43">
        <f t="shared" si="11"/>
        <v>8607.2125315462181</v>
      </c>
      <c r="B80" s="43">
        <f t="shared" si="11"/>
        <v>8107.212531546219</v>
      </c>
      <c r="C80" s="43">
        <f t="shared" si="11"/>
        <v>0.70047757098909758</v>
      </c>
      <c r="D80" s="43">
        <f t="shared" ref="D80" si="20">D33</f>
        <v>4.7345363192687664</v>
      </c>
      <c r="E80" s="38">
        <f t="shared" si="13"/>
        <v>0</v>
      </c>
      <c r="F80" s="39"/>
      <c r="G80" s="39"/>
    </row>
    <row r="81" spans="1:8" x14ac:dyDescent="0.25">
      <c r="A81" s="43">
        <f t="shared" si="11"/>
        <v>8785.574936907562</v>
      </c>
      <c r="B81" s="43">
        <f t="shared" si="11"/>
        <v>8696.393734226891</v>
      </c>
      <c r="C81" s="43">
        <f t="shared" si="11"/>
        <v>0.72224677448308561</v>
      </c>
      <c r="D81" s="43">
        <f t="shared" ref="D81:D82" si="21">D34</f>
        <v>4.8816746272638456</v>
      </c>
      <c r="E81" s="38">
        <f t="shared" si="13"/>
        <v>0</v>
      </c>
      <c r="F81" s="39"/>
      <c r="G81" s="39"/>
    </row>
    <row r="82" spans="1:8" x14ac:dyDescent="0.25">
      <c r="A82" s="76"/>
      <c r="B82" s="43">
        <f t="shared" si="11"/>
        <v>8785.574936907562</v>
      </c>
      <c r="C82" s="43">
        <f t="shared" si="11"/>
        <v>0.7253191225918042</v>
      </c>
      <c r="D82" s="43">
        <f t="shared" si="21"/>
        <v>4.9024406650480756</v>
      </c>
      <c r="E82" s="38">
        <f t="shared" si="13"/>
        <v>0</v>
      </c>
      <c r="F82" s="39"/>
      <c r="G82" s="39"/>
    </row>
    <row r="83" spans="1:8" ht="15.75" thickBot="1" x14ac:dyDescent="0.3">
      <c r="E83" s="39"/>
      <c r="F83" s="39"/>
      <c r="G83" s="39"/>
    </row>
    <row r="84" spans="1:8" x14ac:dyDescent="0.25">
      <c r="A84" t="s">
        <v>104</v>
      </c>
      <c r="B84" s="37" t="s">
        <v>105</v>
      </c>
      <c r="C84" s="53" t="s">
        <v>106</v>
      </c>
      <c r="E84" s="39"/>
      <c r="F84" s="39"/>
      <c r="G84" s="39"/>
    </row>
    <row r="85" spans="1:8" x14ac:dyDescent="0.25">
      <c r="A85" s="37">
        <v>0</v>
      </c>
      <c r="B85" s="52">
        <f>COS(A85/'Properties of Silo'!$L$13)</f>
        <v>1</v>
      </c>
      <c r="C85" s="54">
        <f>$G$69*B85</f>
        <v>0</v>
      </c>
      <c r="E85" s="39"/>
      <c r="F85" s="39"/>
      <c r="G85" s="39"/>
    </row>
    <row r="86" spans="1:8" x14ac:dyDescent="0.25">
      <c r="A86" s="37">
        <v>45</v>
      </c>
      <c r="B86" s="52">
        <f>COS(A86/'Properties of Silo'!$L$13)</f>
        <v>0.70738826916719977</v>
      </c>
      <c r="C86" s="54">
        <f t="shared" ref="C86:C93" si="22">$G$69*B86</f>
        <v>0</v>
      </c>
      <c r="E86" s="39"/>
      <c r="F86" s="39"/>
      <c r="G86" s="39"/>
    </row>
    <row r="87" spans="1:8" x14ac:dyDescent="0.25">
      <c r="A87" s="37">
        <v>90</v>
      </c>
      <c r="B87" s="52">
        <f>COS(A87/'Properties of Silo'!$L$13)</f>
        <v>7.9632671073326335E-4</v>
      </c>
      <c r="C87" s="54">
        <f t="shared" si="22"/>
        <v>0</v>
      </c>
      <c r="E87" s="39"/>
      <c r="F87" s="39"/>
      <c r="G87" s="39"/>
    </row>
    <row r="88" spans="1:8" x14ac:dyDescent="0.25">
      <c r="A88" s="37">
        <v>135</v>
      </c>
      <c r="B88" s="52">
        <f>COS(A88/'Properties of Silo'!$L$13)</f>
        <v>-0.7062616448200052</v>
      </c>
      <c r="C88" s="54">
        <f t="shared" si="22"/>
        <v>0</v>
      </c>
      <c r="E88" s="39"/>
      <c r="F88" s="39"/>
      <c r="G88" s="39"/>
    </row>
    <row r="89" spans="1:8" x14ac:dyDescent="0.25">
      <c r="A89" s="37">
        <v>180</v>
      </c>
      <c r="B89" s="52">
        <f>COS(A89/'Properties of Silo'!$L$13)</f>
        <v>-0.9999987317275395</v>
      </c>
      <c r="C89" s="54">
        <f t="shared" si="22"/>
        <v>0</v>
      </c>
      <c r="E89" s="39"/>
      <c r="F89" s="39"/>
      <c r="G89" s="39"/>
    </row>
    <row r="90" spans="1:8" x14ac:dyDescent="0.25">
      <c r="A90" s="37">
        <v>225</v>
      </c>
      <c r="B90" s="52">
        <f>COS(A90/'Properties of Silo'!$L$13)</f>
        <v>-0.70851309919227279</v>
      </c>
      <c r="C90" s="54">
        <f t="shared" si="22"/>
        <v>0</v>
      </c>
      <c r="E90" s="39"/>
      <c r="F90" s="39"/>
      <c r="G90" s="39"/>
    </row>
    <row r="91" spans="1:8" x14ac:dyDescent="0.25">
      <c r="A91" s="37">
        <v>270</v>
      </c>
      <c r="B91" s="52">
        <f>COS(A91/'Properties of Silo'!$L$13)</f>
        <v>-2.3889781122815386E-3</v>
      </c>
      <c r="C91" s="54">
        <f t="shared" si="22"/>
        <v>0</v>
      </c>
      <c r="E91" s="39"/>
      <c r="F91" s="39"/>
      <c r="G91" s="39"/>
    </row>
    <row r="92" spans="1:8" x14ac:dyDescent="0.25">
      <c r="A92" s="37">
        <v>315</v>
      </c>
      <c r="B92" s="52">
        <f>COS(A92/'Properties of Silo'!$L$13)</f>
        <v>0.70513322900842279</v>
      </c>
      <c r="C92" s="54">
        <f t="shared" si="22"/>
        <v>0</v>
      </c>
      <c r="E92" s="39"/>
      <c r="F92" s="39"/>
      <c r="G92" s="39"/>
    </row>
    <row r="93" spans="1:8" ht="15.75" thickBot="1" x14ac:dyDescent="0.3">
      <c r="A93" s="37">
        <v>360</v>
      </c>
      <c r="B93" s="52">
        <f>COS(A93/'Properties of Silo'!$L$13)</f>
        <v>0.99999492691337521</v>
      </c>
      <c r="C93" s="55">
        <f t="shared" si="22"/>
        <v>0</v>
      </c>
      <c r="E93" s="39"/>
      <c r="F93" s="39"/>
      <c r="G93" s="39"/>
    </row>
    <row r="94" spans="1:8" ht="15.75" thickBot="1" x14ac:dyDescent="0.3">
      <c r="E94" s="39"/>
      <c r="F94" s="39"/>
      <c r="G94" s="39"/>
    </row>
    <row r="95" spans="1:8" ht="15.75" thickBot="1" x14ac:dyDescent="0.3">
      <c r="A95" s="56" t="s">
        <v>108</v>
      </c>
      <c r="B95" s="19"/>
      <c r="C95" s="19"/>
      <c r="D95" s="19"/>
      <c r="E95" s="19"/>
      <c r="F95" s="19"/>
      <c r="G95" s="57">
        <f>(3.14/2)*G64*dc*G69/(10^6)</f>
        <v>0</v>
      </c>
      <c r="H95" s="20" t="s">
        <v>79</v>
      </c>
    </row>
    <row r="98" spans="1:8" x14ac:dyDescent="0.25">
      <c r="A98" s="35" t="s">
        <v>109</v>
      </c>
    </row>
    <row r="99" spans="1:8" x14ac:dyDescent="0.25">
      <c r="A99" s="5" t="s">
        <v>91</v>
      </c>
    </row>
    <row r="100" spans="1:8" x14ac:dyDescent="0.25">
      <c r="A100" s="5" t="s">
        <v>92</v>
      </c>
      <c r="G100" s="77">
        <v>0.7</v>
      </c>
    </row>
    <row r="101" spans="1:8" x14ac:dyDescent="0.25">
      <c r="A101" s="5" t="s">
        <v>112</v>
      </c>
      <c r="G101" s="77">
        <f>0</f>
        <v>0</v>
      </c>
    </row>
    <row r="102" spans="1:8" x14ac:dyDescent="0.25">
      <c r="A102" s="5" t="s">
        <v>93</v>
      </c>
      <c r="G102" s="77">
        <v>0</v>
      </c>
    </row>
    <row r="103" spans="1:8" x14ac:dyDescent="0.25">
      <c r="A103" s="5" t="s">
        <v>100</v>
      </c>
      <c r="G103" s="50">
        <f>2*MAX(G102,G101)/dc</f>
        <v>0</v>
      </c>
    </row>
    <row r="104" spans="1:8" x14ac:dyDescent="0.25">
      <c r="A104" s="5" t="s">
        <v>94</v>
      </c>
      <c r="G104" s="50">
        <f>3.14*dc/16</f>
        <v>1766.25</v>
      </c>
      <c r="H104" t="s">
        <v>24</v>
      </c>
    </row>
    <row r="105" spans="1:8" x14ac:dyDescent="0.25">
      <c r="A105" s="5" t="s">
        <v>113</v>
      </c>
      <c r="F105" s="49">
        <f>IF(hc/dc&gt;1.2,0.42*G100*(1+2*G103^2)*(1-2.718^(-1.5*(hc/dc-1))),0.272*G100*(hc/dc-1+G103))</f>
        <v>-4.5362813347555805E-3</v>
      </c>
      <c r="G105" s="51">
        <f>IF(F105&gt;0,F105,0)</f>
        <v>0</v>
      </c>
    </row>
    <row r="106" spans="1:8" x14ac:dyDescent="0.25">
      <c r="A106" s="5" t="s">
        <v>97</v>
      </c>
      <c r="G106" s="51">
        <f>MIN(F56,hc/2)</f>
        <v>4392.787468453781</v>
      </c>
      <c r="H106" t="s">
        <v>24</v>
      </c>
    </row>
    <row r="107" spans="1:8" x14ac:dyDescent="0.25">
      <c r="A107" s="5" t="s">
        <v>102</v>
      </c>
      <c r="F107">
        <f>G106-G104/2</f>
        <v>3509.662468453781</v>
      </c>
      <c r="G107" s="37" t="s">
        <v>103</v>
      </c>
      <c r="H107">
        <f>G106+G104/2</f>
        <v>5275.912468453781</v>
      </c>
    </row>
    <row r="109" spans="1:8" x14ac:dyDescent="0.25">
      <c r="A109" s="5" t="s">
        <v>116</v>
      </c>
      <c r="G109" s="11">
        <v>0</v>
      </c>
      <c r="H109" t="s">
        <v>68</v>
      </c>
    </row>
    <row r="110" spans="1:8" x14ac:dyDescent="0.25">
      <c r="A110" s="5" t="s">
        <v>110</v>
      </c>
    </row>
    <row r="111" spans="1:8" x14ac:dyDescent="0.25">
      <c r="A111" t="s">
        <v>72</v>
      </c>
      <c r="B111" t="s">
        <v>73</v>
      </c>
      <c r="C111" s="37" t="s">
        <v>70</v>
      </c>
      <c r="D111" t="s">
        <v>86</v>
      </c>
      <c r="E111" s="39" t="s">
        <v>114</v>
      </c>
    </row>
    <row r="112" spans="1:8" x14ac:dyDescent="0.25">
      <c r="A112" s="40">
        <f>0</f>
        <v>0</v>
      </c>
      <c r="B112" s="40">
        <v>0</v>
      </c>
      <c r="C112" s="40">
        <f>(1-((A112-ho)/($F$16-ho)+1)^$F$18)</f>
        <v>-0.67314516050242368</v>
      </c>
      <c r="D112" s="40">
        <f>$E$40*D72</f>
        <v>-4.5335363893071037</v>
      </c>
      <c r="E112" s="40">
        <f>$G$105*D112</f>
        <v>0</v>
      </c>
      <c r="F112" s="39"/>
      <c r="G112" s="39"/>
    </row>
    <row r="113" spans="1:7" x14ac:dyDescent="0.25">
      <c r="A113" s="38">
        <f>ho</f>
        <v>1607.2125315462192</v>
      </c>
      <c r="B113" s="38">
        <f>ho</f>
        <v>1607.2125315462192</v>
      </c>
      <c r="C113" s="38">
        <f t="shared" ref="C113:C122" si="23">(1-((B113-ho)/($F$16-ho)+1)^$F$18)</f>
        <v>0</v>
      </c>
      <c r="D113" s="40">
        <f t="shared" ref="D113:D122" si="24">$E$40*D73</f>
        <v>0</v>
      </c>
      <c r="E113" s="40">
        <f t="shared" ref="E113:E122" si="25">$G$105*D113</f>
        <v>0</v>
      </c>
      <c r="F113" s="39"/>
    </row>
    <row r="114" spans="1:7" x14ac:dyDescent="0.25">
      <c r="A114" s="38">
        <f t="shared" ref="A114:A120" si="26">A113+1000</f>
        <v>2607.212531546219</v>
      </c>
      <c r="B114" s="38">
        <f>A113+1000/2</f>
        <v>2107.212531546219</v>
      </c>
      <c r="C114" s="38">
        <f t="shared" si="23"/>
        <v>0.12351006510793661</v>
      </c>
      <c r="D114" s="40">
        <f t="shared" si="24"/>
        <v>0.83182262529317275</v>
      </c>
      <c r="E114" s="40">
        <f t="shared" si="25"/>
        <v>0</v>
      </c>
      <c r="F114" s="39"/>
      <c r="G114" s="39"/>
    </row>
    <row r="115" spans="1:7" x14ac:dyDescent="0.25">
      <c r="A115" s="38">
        <f t="shared" si="26"/>
        <v>3607.212531546219</v>
      </c>
      <c r="B115" s="38">
        <f>B114+1000</f>
        <v>3107.212531546219</v>
      </c>
      <c r="C115" s="38">
        <f t="shared" si="23"/>
        <v>0.30737079495851061</v>
      </c>
      <c r="D115" s="40">
        <f t="shared" si="24"/>
        <v>2.0700983468626495</v>
      </c>
      <c r="E115" s="40">
        <f t="shared" si="25"/>
        <v>0</v>
      </c>
      <c r="F115" s="39"/>
      <c r="G115" s="39"/>
    </row>
    <row r="116" spans="1:7" x14ac:dyDescent="0.25">
      <c r="A116" s="38">
        <f t="shared" si="26"/>
        <v>4607.212531546219</v>
      </c>
      <c r="B116" s="38">
        <f t="shared" ref="B116:B121" si="27">B115+1000</f>
        <v>4107.212531546219</v>
      </c>
      <c r="C116" s="38">
        <f t="shared" si="23"/>
        <v>0.43613490693480739</v>
      </c>
      <c r="D116" s="40">
        <f t="shared" si="24"/>
        <v>2.9373062264315233</v>
      </c>
      <c r="E116" s="40">
        <f t="shared" si="25"/>
        <v>0</v>
      </c>
      <c r="F116" s="39"/>
      <c r="G116" s="39"/>
    </row>
    <row r="117" spans="1:7" x14ac:dyDescent="0.25">
      <c r="A117" s="38">
        <f t="shared" si="26"/>
        <v>5607.212531546219</v>
      </c>
      <c r="B117" s="38">
        <f t="shared" si="27"/>
        <v>5107.212531546219</v>
      </c>
      <c r="C117" s="38">
        <f t="shared" si="23"/>
        <v>0.5302486650792908</v>
      </c>
      <c r="D117" s="40">
        <f t="shared" si="24"/>
        <v>3.5711489282998778</v>
      </c>
      <c r="E117" s="40">
        <f t="shared" si="25"/>
        <v>0</v>
      </c>
      <c r="F117" s="39"/>
      <c r="G117" s="39"/>
    </row>
    <row r="118" spans="1:7" x14ac:dyDescent="0.25">
      <c r="A118" s="38">
        <f t="shared" si="26"/>
        <v>6607.212531546219</v>
      </c>
      <c r="B118" s="38">
        <f t="shared" si="27"/>
        <v>6107.212531546219</v>
      </c>
      <c r="C118" s="38">
        <f t="shared" si="23"/>
        <v>0.60138199785306523</v>
      </c>
      <c r="D118" s="40">
        <f t="shared" si="24"/>
        <v>4.0502217517335346</v>
      </c>
      <c r="E118" s="40">
        <f t="shared" si="25"/>
        <v>0</v>
      </c>
      <c r="F118" s="39"/>
      <c r="G118" s="39"/>
    </row>
    <row r="119" spans="1:7" x14ac:dyDescent="0.25">
      <c r="A119" s="38">
        <f t="shared" si="26"/>
        <v>7607.212531546219</v>
      </c>
      <c r="B119" s="38">
        <f t="shared" si="27"/>
        <v>7107.212531546219</v>
      </c>
      <c r="C119" s="38">
        <f t="shared" si="23"/>
        <v>0.6566191041002134</v>
      </c>
      <c r="D119" s="40">
        <f t="shared" si="24"/>
        <v>4.4222357628341422</v>
      </c>
      <c r="E119" s="40">
        <f t="shared" si="25"/>
        <v>0</v>
      </c>
      <c r="F119" s="39"/>
      <c r="G119" s="39"/>
    </row>
    <row r="120" spans="1:7" x14ac:dyDescent="0.25">
      <c r="A120" s="38">
        <f t="shared" si="26"/>
        <v>8607.2125315462181</v>
      </c>
      <c r="B120" s="38">
        <f t="shared" si="27"/>
        <v>8107.212531546219</v>
      </c>
      <c r="C120" s="38">
        <f t="shared" si="23"/>
        <v>0.70047757098909758</v>
      </c>
      <c r="D120" s="40">
        <f t="shared" si="24"/>
        <v>4.7176162651192222</v>
      </c>
      <c r="E120" s="40">
        <f t="shared" si="25"/>
        <v>0</v>
      </c>
      <c r="F120" s="39"/>
      <c r="G120" s="39"/>
    </row>
    <row r="121" spans="1:7" x14ac:dyDescent="0.25">
      <c r="A121" s="38">
        <f>$F$22</f>
        <v>8785.574936907562</v>
      </c>
      <c r="B121" s="38">
        <f t="shared" si="27"/>
        <v>9107.2125315462181</v>
      </c>
      <c r="C121" s="38">
        <f t="shared" si="23"/>
        <v>0.73595675481896849</v>
      </c>
      <c r="D121" s="40">
        <f t="shared" si="24"/>
        <v>4.8642287374313824</v>
      </c>
      <c r="E121" s="40">
        <f t="shared" si="25"/>
        <v>0</v>
      </c>
      <c r="F121" s="39"/>
      <c r="G121" s="39"/>
    </row>
    <row r="122" spans="1:7" x14ac:dyDescent="0.25">
      <c r="A122" s="37"/>
      <c r="B122" s="38">
        <f>A121</f>
        <v>8785.574936907562</v>
      </c>
      <c r="C122" s="38">
        <f t="shared" si="23"/>
        <v>0.7253191225918042</v>
      </c>
      <c r="D122" s="40">
        <f t="shared" si="24"/>
        <v>4.8849205625662444</v>
      </c>
      <c r="E122" s="40">
        <f t="shared" si="25"/>
        <v>0</v>
      </c>
      <c r="F122" s="39"/>
      <c r="G122" s="39"/>
    </row>
    <row r="123" spans="1:7" ht="15.75" thickBot="1" x14ac:dyDescent="0.3">
      <c r="E123" s="39"/>
      <c r="F123" s="39"/>
      <c r="G123" s="39"/>
    </row>
    <row r="124" spans="1:7" x14ac:dyDescent="0.25">
      <c r="A124" s="37" t="s">
        <v>104</v>
      </c>
      <c r="B124" s="37" t="s">
        <v>105</v>
      </c>
      <c r="C124" s="53" t="s">
        <v>111</v>
      </c>
      <c r="E124" s="39"/>
      <c r="F124" s="39"/>
      <c r="G124" s="39"/>
    </row>
    <row r="125" spans="1:7" x14ac:dyDescent="0.25">
      <c r="A125" s="37">
        <v>0</v>
      </c>
      <c r="B125" s="52">
        <f>COS(A125/'Properties of Silo'!$L$13)</f>
        <v>1</v>
      </c>
      <c r="C125" s="54">
        <f>$G$109*B125</f>
        <v>0</v>
      </c>
      <c r="E125" s="39"/>
      <c r="F125" s="39"/>
      <c r="G125" s="39"/>
    </row>
    <row r="126" spans="1:7" x14ac:dyDescent="0.25">
      <c r="A126" s="37">
        <v>45</v>
      </c>
      <c r="B126" s="52">
        <f>COS(A126/'Properties of Silo'!$L$13)</f>
        <v>0.70738826916719977</v>
      </c>
      <c r="C126" s="54">
        <f t="shared" ref="C126:C133" si="28">$G$109*B126</f>
        <v>0</v>
      </c>
      <c r="E126" s="39"/>
      <c r="F126" s="39"/>
      <c r="G126" s="39"/>
    </row>
    <row r="127" spans="1:7" x14ac:dyDescent="0.25">
      <c r="A127" s="37">
        <v>90</v>
      </c>
      <c r="B127" s="52">
        <f>COS(A127/'Properties of Silo'!$L$13)</f>
        <v>7.9632671073326335E-4</v>
      </c>
      <c r="C127" s="54">
        <f t="shared" si="28"/>
        <v>0</v>
      </c>
      <c r="E127" s="39"/>
      <c r="F127" s="39"/>
      <c r="G127" s="39"/>
    </row>
    <row r="128" spans="1:7" x14ac:dyDescent="0.25">
      <c r="A128" s="37">
        <v>135</v>
      </c>
      <c r="B128" s="52">
        <f>COS(A128/'Properties of Silo'!$L$13)</f>
        <v>-0.7062616448200052</v>
      </c>
      <c r="C128" s="54">
        <f t="shared" si="28"/>
        <v>0</v>
      </c>
      <c r="E128" s="39"/>
      <c r="F128" s="39"/>
      <c r="G128" s="39"/>
    </row>
    <row r="129" spans="1:8" x14ac:dyDescent="0.25">
      <c r="A129" s="37">
        <v>180</v>
      </c>
      <c r="B129" s="52">
        <f>COS(A129/'Properties of Silo'!$L$13)</f>
        <v>-0.9999987317275395</v>
      </c>
      <c r="C129" s="54">
        <f t="shared" si="28"/>
        <v>0</v>
      </c>
      <c r="E129" s="39"/>
      <c r="F129" s="39"/>
      <c r="G129" s="39"/>
    </row>
    <row r="130" spans="1:8" x14ac:dyDescent="0.25">
      <c r="A130" s="37">
        <v>225</v>
      </c>
      <c r="B130" s="52">
        <f>COS(A130/'Properties of Silo'!$L$13)</f>
        <v>-0.70851309919227279</v>
      </c>
      <c r="C130" s="54">
        <f t="shared" si="28"/>
        <v>0</v>
      </c>
      <c r="E130" s="39"/>
      <c r="F130" s="39"/>
      <c r="G130" s="39"/>
    </row>
    <row r="131" spans="1:8" x14ac:dyDescent="0.25">
      <c r="A131" s="37">
        <v>270</v>
      </c>
      <c r="B131" s="52">
        <f>COS(A131/'Properties of Silo'!$L$13)</f>
        <v>-2.3889781122815386E-3</v>
      </c>
      <c r="C131" s="54">
        <f t="shared" si="28"/>
        <v>0</v>
      </c>
      <c r="E131" s="39"/>
      <c r="F131" s="39"/>
      <c r="G131" s="39"/>
    </row>
    <row r="132" spans="1:8" x14ac:dyDescent="0.25">
      <c r="A132" s="37">
        <v>315</v>
      </c>
      <c r="B132" s="52">
        <f>COS(A132/'Properties of Silo'!$L$13)</f>
        <v>0.70513322900842279</v>
      </c>
      <c r="C132" s="54">
        <f t="shared" si="28"/>
        <v>0</v>
      </c>
      <c r="E132" s="39"/>
      <c r="F132" s="39"/>
      <c r="G132" s="39"/>
    </row>
    <row r="133" spans="1:8" ht="15.75" thickBot="1" x14ac:dyDescent="0.3">
      <c r="A133" s="37">
        <v>360</v>
      </c>
      <c r="B133" s="52">
        <f>COS(A133/'Properties of Silo'!$L$13)</f>
        <v>0.99999492691337521</v>
      </c>
      <c r="C133" s="55">
        <f t="shared" si="28"/>
        <v>0</v>
      </c>
      <c r="E133" s="39"/>
      <c r="F133" s="39"/>
      <c r="G133" s="39"/>
    </row>
    <row r="134" spans="1:8" ht="15.75" thickBot="1" x14ac:dyDescent="0.3"/>
    <row r="135" spans="1:8" ht="15.75" thickBot="1" x14ac:dyDescent="0.3">
      <c r="A135" s="56" t="s">
        <v>115</v>
      </c>
      <c r="B135" s="19"/>
      <c r="C135" s="19"/>
      <c r="D135" s="19"/>
      <c r="E135" s="19"/>
      <c r="F135" s="19"/>
      <c r="G135" s="57">
        <f>(3.14/2)*G104*dc*G109/(10^6)</f>
        <v>0</v>
      </c>
      <c r="H135" s="20" t="s">
        <v>79</v>
      </c>
    </row>
  </sheetData>
  <mergeCells count="3">
    <mergeCell ref="A22:E22"/>
    <mergeCell ref="A36:F36"/>
    <mergeCell ref="A57:F5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4"/>
  <sheetViews>
    <sheetView topLeftCell="A19" zoomScaleNormal="100" workbookViewId="0">
      <selection activeCell="H76" sqref="H76"/>
    </sheetView>
  </sheetViews>
  <sheetFormatPr defaultRowHeight="15" x14ac:dyDescent="0.25"/>
  <cols>
    <col min="1" max="1" width="9.140625" customWidth="1"/>
    <col min="2" max="2" width="11.42578125" bestFit="1" customWidth="1"/>
    <col min="3" max="3" width="11.140625" bestFit="1" customWidth="1"/>
    <col min="4" max="5" width="12.42578125" bestFit="1" customWidth="1"/>
    <col min="6" max="6" width="9.85546875" customWidth="1"/>
    <col min="7" max="7" width="11.85546875" bestFit="1" customWidth="1"/>
    <col min="8" max="8" width="12" bestFit="1" customWidth="1"/>
    <col min="9" max="9" width="13" customWidth="1"/>
  </cols>
  <sheetData>
    <row r="1" spans="1:13" x14ac:dyDescent="0.25">
      <c r="A1" s="5" t="s">
        <v>61</v>
      </c>
    </row>
    <row r="2" spans="1:13" x14ac:dyDescent="0.25">
      <c r="A2" s="35" t="s">
        <v>128</v>
      </c>
    </row>
    <row r="3" spans="1:13" x14ac:dyDescent="0.25">
      <c r="A3" s="78" t="s">
        <v>117</v>
      </c>
      <c r="B3" s="79"/>
      <c r="C3" s="79"/>
      <c r="D3" s="79"/>
      <c r="E3" s="79"/>
      <c r="F3" s="36">
        <f>'Properties of Silo'!F9</f>
        <v>45</v>
      </c>
      <c r="G3" s="80" t="s">
        <v>17</v>
      </c>
    </row>
    <row r="5" spans="1:13" x14ac:dyDescent="0.25">
      <c r="A5" t="s">
        <v>118</v>
      </c>
      <c r="F5" s="34" t="str">
        <f>IF(TAN(F3/'Properties of Silo'!L13)&lt;(1-'Particulate Solid Properties'!C10)/(2*'Particulate Solid Properties'!C16),"Steep Hopper","Shallow Hopper")</f>
        <v>Shallow Hopper</v>
      </c>
    </row>
    <row r="6" spans="1:13" x14ac:dyDescent="0.25">
      <c r="A6" s="5" t="s">
        <v>125</v>
      </c>
      <c r="G6" s="11" t="s">
        <v>124</v>
      </c>
    </row>
    <row r="7" spans="1:13" ht="30.75" customHeight="1" x14ac:dyDescent="0.25">
      <c r="A7" s="192" t="s">
        <v>119</v>
      </c>
      <c r="B7" s="192"/>
      <c r="C7" s="192"/>
      <c r="D7" s="192"/>
      <c r="E7" s="192"/>
      <c r="F7" s="192"/>
      <c r="G7" s="192"/>
      <c r="H7" s="154"/>
      <c r="I7" s="154"/>
      <c r="J7" s="154"/>
      <c r="K7" s="154"/>
      <c r="L7" s="154"/>
      <c r="M7" s="154"/>
    </row>
    <row r="8" spans="1:13" x14ac:dyDescent="0.25">
      <c r="A8" s="5" t="s">
        <v>120</v>
      </c>
      <c r="G8" s="48">
        <v>1.2</v>
      </c>
    </row>
    <row r="10" spans="1:13" x14ac:dyDescent="0.25">
      <c r="A10" s="5" t="s">
        <v>76</v>
      </c>
    </row>
    <row r="11" spans="1:13" x14ac:dyDescent="0.25">
      <c r="A11" s="37" t="s">
        <v>72</v>
      </c>
      <c r="B11" s="37" t="s">
        <v>73</v>
      </c>
      <c r="C11" s="37" t="s">
        <v>70</v>
      </c>
      <c r="D11" s="37" t="s">
        <v>74</v>
      </c>
      <c r="E11" s="37" t="s">
        <v>75</v>
      </c>
      <c r="F11" s="37" t="s">
        <v>77</v>
      </c>
      <c r="G11" s="37" t="s">
        <v>78</v>
      </c>
    </row>
    <row r="12" spans="1:13" x14ac:dyDescent="0.25">
      <c r="A12" s="40">
        <f>'EUROCODE1-Vertical Wall Loads'!A25</f>
        <v>0</v>
      </c>
      <c r="B12" s="40">
        <f>'EUROCODE1-Vertical Wall Loads'!B25</f>
        <v>0</v>
      </c>
      <c r="C12" s="40">
        <f>'EUROCODE1-Vertical Wall Loads'!C25</f>
        <v>-0.67314516050242368</v>
      </c>
      <c r="D12" s="40">
        <f>'EUROCODE1-Vertical Wall Loads'!D25</f>
        <v>-4.54979622836251</v>
      </c>
      <c r="E12" s="40">
        <f>'EUROCODE1-Vertical Wall Loads'!E25</f>
        <v>-2.5478858878830057</v>
      </c>
      <c r="F12" s="40">
        <f>'EUROCODE1-Vertical Wall Loads'!F25</f>
        <v>-466.52406414131951</v>
      </c>
      <c r="G12" s="40">
        <f>'EUROCODE1-Vertical Wall Loads'!G25</f>
        <v>-0.83974331545437519</v>
      </c>
      <c r="L12" s="39"/>
    </row>
    <row r="13" spans="1:13" x14ac:dyDescent="0.25">
      <c r="A13" s="38">
        <f>'EUROCODE1-Vertical Wall Loads'!A26</f>
        <v>1607.2125315462192</v>
      </c>
      <c r="B13" s="38">
        <f>'EUROCODE1-Vertical Wall Loads'!B26</f>
        <v>1607.2125315462192</v>
      </c>
      <c r="C13" s="38">
        <f>'EUROCODE1-Vertical Wall Loads'!C26</f>
        <v>0</v>
      </c>
      <c r="D13" s="38">
        <f>'EUROCODE1-Vertical Wall Loads'!D26</f>
        <v>0</v>
      </c>
      <c r="E13" s="38">
        <f>'EUROCODE1-Vertical Wall Loads'!E26</f>
        <v>0</v>
      </c>
      <c r="F13" s="38">
        <f>'EUROCODE1-Vertical Wall Loads'!F26</f>
        <v>1607.2125315462235</v>
      </c>
      <c r="G13" s="38">
        <f>'EUROCODE1-Vertical Wall Loads'!G26</f>
        <v>2.8929825567832026</v>
      </c>
      <c r="L13" s="39"/>
    </row>
    <row r="14" spans="1:13" x14ac:dyDescent="0.25">
      <c r="A14" s="38">
        <f>'EUROCODE1-Vertical Wall Loads'!A27</f>
        <v>2607.212531546219</v>
      </c>
      <c r="B14" s="38">
        <f>'EUROCODE1-Vertical Wall Loads'!B27</f>
        <v>2107.212531546219</v>
      </c>
      <c r="C14" s="38">
        <f>'EUROCODE1-Vertical Wall Loads'!C27</f>
        <v>0.12351006510793661</v>
      </c>
      <c r="D14" s="38">
        <f>'EUROCODE1-Vertical Wall Loads'!D27</f>
        <v>0.83480601416412425</v>
      </c>
      <c r="E14" s="38">
        <f>'EUROCODE1-Vertical Wall Loads'!E27</f>
        <v>0.46749136793190965</v>
      </c>
      <c r="F14" s="38">
        <f>'EUROCODE1-Vertical Wall Loads'!F27</f>
        <v>2075.2408337165057</v>
      </c>
      <c r="G14" s="38">
        <f>'EUROCODE1-Vertical Wall Loads'!G27</f>
        <v>3.7354335006897101</v>
      </c>
      <c r="L14" s="39"/>
    </row>
    <row r="15" spans="1:13" x14ac:dyDescent="0.25">
      <c r="A15" s="38">
        <f>'EUROCODE1-Vertical Wall Loads'!A28</f>
        <v>3607.212531546219</v>
      </c>
      <c r="B15" s="38">
        <f>'EUROCODE1-Vertical Wall Loads'!B28</f>
        <v>3107.212531546219</v>
      </c>
      <c r="C15" s="38">
        <f>'EUROCODE1-Vertical Wall Loads'!C28</f>
        <v>0.30737079495851061</v>
      </c>
      <c r="D15" s="38">
        <f>'EUROCODE1-Vertical Wall Loads'!D28</f>
        <v>2.0775228964986114</v>
      </c>
      <c r="E15" s="38">
        <f>'EUROCODE1-Vertical Wall Loads'!E28</f>
        <v>1.1634128220392226</v>
      </c>
      <c r="F15" s="38">
        <f>'EUROCODE1-Vertical Wall Loads'!F28</f>
        <v>2853.9877357171326</v>
      </c>
      <c r="G15" s="38">
        <f>'EUROCODE1-Vertical Wall Loads'!G28</f>
        <v>5.1371779242908389</v>
      </c>
    </row>
    <row r="16" spans="1:13" x14ac:dyDescent="0.25">
      <c r="A16" s="38">
        <f>'EUROCODE1-Vertical Wall Loads'!A29</f>
        <v>4607.212531546219</v>
      </c>
      <c r="B16" s="38">
        <f>'EUROCODE1-Vertical Wall Loads'!B29</f>
        <v>4107.212531546219</v>
      </c>
      <c r="C16" s="38">
        <f>'EUROCODE1-Vertical Wall Loads'!C29</f>
        <v>0.43613490693480739</v>
      </c>
      <c r="D16" s="38">
        <f>'EUROCODE1-Vertical Wall Loads'!D29</f>
        <v>2.9478410765787211</v>
      </c>
      <c r="E16" s="38">
        <f>'EUROCODE1-Vertical Wall Loads'!E29</f>
        <v>1.650791002884084</v>
      </c>
      <c r="F16" s="38">
        <f>'EUROCODE1-Vertical Wall Loads'!F29</f>
        <v>3478.6774174321781</v>
      </c>
      <c r="G16" s="38">
        <f>'EUROCODE1-Vertical Wall Loads'!G29</f>
        <v>6.261619351377921</v>
      </c>
    </row>
    <row r="17" spans="1:12" x14ac:dyDescent="0.25">
      <c r="A17" s="38">
        <f>'EUROCODE1-Vertical Wall Loads'!A30</f>
        <v>5607.212531546219</v>
      </c>
      <c r="B17" s="38">
        <f>'EUROCODE1-Vertical Wall Loads'!B30</f>
        <v>5107.212531546219</v>
      </c>
      <c r="C17" s="38">
        <f>'EUROCODE1-Vertical Wall Loads'!C30</f>
        <v>0.5302486650792908</v>
      </c>
      <c r="D17" s="38">
        <f>'EUROCODE1-Vertical Wall Loads'!D30</f>
        <v>3.5839570987502132</v>
      </c>
      <c r="E17" s="38">
        <f>'EUROCODE1-Vertical Wall Loads'!E30</f>
        <v>2.0070159753001198</v>
      </c>
      <c r="F17" s="38">
        <f>'EUROCODE1-Vertical Wall Loads'!F30</f>
        <v>3993.176625832014</v>
      </c>
      <c r="G17" s="38">
        <f>'EUROCODE1-Vertical Wall Loads'!G30</f>
        <v>7.1877179264976254</v>
      </c>
    </row>
    <row r="18" spans="1:12" x14ac:dyDescent="0.25">
      <c r="A18" s="38">
        <f>'EUROCODE1-Vertical Wall Loads'!A31</f>
        <v>6607.212531546219</v>
      </c>
      <c r="B18" s="38">
        <f>'EUROCODE1-Vertical Wall Loads'!B31</f>
        <v>6107.212531546219</v>
      </c>
      <c r="C18" s="38">
        <f>'EUROCODE1-Vertical Wall Loads'!C31</f>
        <v>0.60138199785306523</v>
      </c>
      <c r="D18" s="38">
        <f>'EUROCODE1-Vertical Wall Loads'!D31</f>
        <v>4.0647481497078006</v>
      </c>
      <c r="E18" s="38">
        <f>'EUROCODE1-Vertical Wall Loads'!E31</f>
        <v>2.2762589638363684</v>
      </c>
      <c r="F18" s="38">
        <f>'EUROCODE1-Vertical Wall Loads'!F31</f>
        <v>4425.7918234857798</v>
      </c>
      <c r="G18" s="38">
        <f>'EUROCODE1-Vertical Wall Loads'!G31</f>
        <v>7.9664252822744048</v>
      </c>
    </row>
    <row r="19" spans="1:12" x14ac:dyDescent="0.25">
      <c r="A19" s="38">
        <f>'EUROCODE1-Vertical Wall Loads'!A32</f>
        <v>7607.212531546219</v>
      </c>
      <c r="B19" s="38">
        <f>'EUROCODE1-Vertical Wall Loads'!B32</f>
        <v>7107.212531546219</v>
      </c>
      <c r="C19" s="38">
        <f>'EUROCODE1-Vertical Wall Loads'!C32</f>
        <v>0.6566191041002134</v>
      </c>
      <c r="D19" s="38">
        <f>'EUROCODE1-Vertical Wall Loads'!D32</f>
        <v>4.4380964145625237</v>
      </c>
      <c r="E19" s="38">
        <f>'EUROCODE1-Vertical Wall Loads'!E32</f>
        <v>2.4853339921550135</v>
      </c>
      <c r="F19" s="38">
        <f>'EUROCODE1-Vertical Wall Loads'!F32</f>
        <v>4795.6840194981496</v>
      </c>
      <c r="G19" s="38">
        <f>'EUROCODE1-Vertical Wall Loads'!G32</f>
        <v>8.6322312350966683</v>
      </c>
      <c r="L19" s="39"/>
    </row>
    <row r="20" spans="1:12" x14ac:dyDescent="0.25">
      <c r="A20" s="38">
        <f>'EUROCODE1-Vertical Wall Loads'!A33</f>
        <v>8607.2125315462181</v>
      </c>
      <c r="B20" s="38">
        <f>'EUROCODE1-Vertical Wall Loads'!B33</f>
        <v>8107.212531546219</v>
      </c>
      <c r="C20" s="38">
        <f>'EUROCODE1-Vertical Wall Loads'!C33</f>
        <v>0.70047757098909758</v>
      </c>
      <c r="D20" s="38">
        <f>'EUROCODE1-Vertical Wall Loads'!D33</f>
        <v>4.7345363192687664</v>
      </c>
      <c r="E20" s="38">
        <f>'EUROCODE1-Vertical Wall Loads'!E33</f>
        <v>2.6513403387905092</v>
      </c>
      <c r="F20" s="38">
        <f>'EUROCODE1-Vertical Wall Loads'!F33</f>
        <v>5116.3301996544442</v>
      </c>
      <c r="G20" s="38">
        <f>'EUROCODE1-Vertical Wall Loads'!G33</f>
        <v>9.2093943593780008</v>
      </c>
      <c r="K20" s="39"/>
      <c r="L20" s="39"/>
    </row>
    <row r="21" spans="1:12" x14ac:dyDescent="0.25">
      <c r="A21" s="38">
        <f>'EUROCODE1-Vertical Wall Loads'!A34</f>
        <v>8785.574936907562</v>
      </c>
      <c r="B21" s="38">
        <f>'EUROCODE1-Vertical Wall Loads'!B34</f>
        <v>8696.393734226891</v>
      </c>
      <c r="C21" s="38">
        <f>'EUROCODE1-Vertical Wall Loads'!C34</f>
        <v>0.72224677448308561</v>
      </c>
      <c r="D21" s="38">
        <f>'EUROCODE1-Vertical Wall Loads'!D34</f>
        <v>4.8816746272638456</v>
      </c>
      <c r="E21" s="38">
        <f>'EUROCODE1-Vertical Wall Loads'!E34</f>
        <v>2.7337377912677536</v>
      </c>
      <c r="F21" s="38">
        <f>'EUROCODE1-Vertical Wall Loads'!F34</f>
        <v>5286.2600733610197</v>
      </c>
      <c r="G21" s="38">
        <f>'EUROCODE1-Vertical Wall Loads'!G34</f>
        <v>9.5152681320498367</v>
      </c>
      <c r="K21" s="39"/>
      <c r="L21" s="39"/>
    </row>
    <row r="22" spans="1:12" x14ac:dyDescent="0.25">
      <c r="A22" s="38"/>
      <c r="B22" s="38">
        <f>'EUROCODE1-Vertical Wall Loads'!B35</f>
        <v>8785.574936907562</v>
      </c>
      <c r="C22" s="38">
        <f>'EUROCODE1-Vertical Wall Loads'!C35</f>
        <v>0.7253191225918042</v>
      </c>
      <c r="D22" s="38">
        <f>'EUROCODE1-Vertical Wall Loads'!D35</f>
        <v>4.9024406650480756</v>
      </c>
      <c r="E22" s="38">
        <f>'EUROCODE1-Vertical Wall Loads'!E35</f>
        <v>2.7453667724269226</v>
      </c>
      <c r="F22" s="38">
        <f>'EUROCODE1-Vertical Wall Loads'!F35</f>
        <v>5310.893032439044</v>
      </c>
      <c r="G22" s="38">
        <f>'EUROCODE1-Vertical Wall Loads'!G35</f>
        <v>9.5596074583902801</v>
      </c>
      <c r="K22" s="39"/>
      <c r="L22" s="39"/>
    </row>
    <row r="23" spans="1:12" ht="15.75" thickBot="1" x14ac:dyDescent="0.3">
      <c r="A23" s="39"/>
      <c r="B23" s="39"/>
      <c r="C23" s="39"/>
      <c r="D23" s="39"/>
      <c r="E23" s="39"/>
      <c r="F23" s="39"/>
      <c r="G23" s="39"/>
      <c r="I23" s="39"/>
      <c r="J23" s="39"/>
      <c r="L23" s="39"/>
    </row>
    <row r="24" spans="1:12" x14ac:dyDescent="0.25">
      <c r="A24" s="59" t="s">
        <v>121</v>
      </c>
      <c r="B24" s="60"/>
      <c r="C24" s="60"/>
      <c r="D24" s="60"/>
      <c r="E24" s="60"/>
      <c r="F24" s="60"/>
      <c r="G24" s="60"/>
      <c r="H24" s="60">
        <f>G22*G8</f>
        <v>11.471528950068336</v>
      </c>
      <c r="I24" s="61" t="s">
        <v>68</v>
      </c>
      <c r="J24" s="39"/>
      <c r="L24" s="39"/>
    </row>
    <row r="25" spans="1:12" ht="15.75" thickBot="1" x14ac:dyDescent="0.3">
      <c r="A25" s="62" t="s">
        <v>122</v>
      </c>
      <c r="B25" s="63"/>
      <c r="C25" s="63"/>
      <c r="D25" s="63"/>
      <c r="E25" s="63"/>
      <c r="F25" s="63"/>
      <c r="G25" s="63"/>
      <c r="H25" s="63"/>
      <c r="I25" s="64"/>
      <c r="J25" s="39"/>
      <c r="L25" s="39"/>
    </row>
    <row r="26" spans="1:12" x14ac:dyDescent="0.25">
      <c r="A26" s="39"/>
      <c r="B26" s="39"/>
      <c r="C26" s="39"/>
      <c r="D26" s="39"/>
      <c r="E26" s="39"/>
      <c r="F26" s="39"/>
      <c r="G26" s="39"/>
      <c r="H26" s="39"/>
      <c r="I26" s="39"/>
      <c r="J26" s="39"/>
      <c r="L26" s="39"/>
    </row>
    <row r="27" spans="1:12" x14ac:dyDescent="0.25">
      <c r="A27" s="58" t="s">
        <v>123</v>
      </c>
      <c r="B27" s="39"/>
      <c r="C27" s="39"/>
      <c r="D27" s="39"/>
      <c r="E27" s="39"/>
      <c r="F27" s="39"/>
      <c r="G27" s="39">
        <f>IF(OR(G6="Conical",G6="Square Pyrimidal"),2,IF(G6="Wedge",1,1+G29/G28))</f>
        <v>2</v>
      </c>
      <c r="H27" s="39"/>
      <c r="I27" s="39"/>
    </row>
    <row r="28" spans="1:12" x14ac:dyDescent="0.25">
      <c r="A28" s="58" t="s">
        <v>127</v>
      </c>
      <c r="B28" s="39"/>
      <c r="C28" s="39"/>
      <c r="D28" s="39"/>
      <c r="E28" s="39"/>
      <c r="F28" s="39"/>
      <c r="G28" s="65"/>
      <c r="H28" s="39"/>
      <c r="I28" s="39"/>
    </row>
    <row r="29" spans="1:12" x14ac:dyDescent="0.25">
      <c r="A29" s="58" t="s">
        <v>126</v>
      </c>
      <c r="B29" s="39"/>
      <c r="C29" s="39"/>
      <c r="D29" s="39"/>
      <c r="E29" s="39"/>
      <c r="F29" s="39"/>
      <c r="G29" s="65"/>
      <c r="H29" s="39"/>
      <c r="K29" s="39"/>
    </row>
    <row r="30" spans="1:12" x14ac:dyDescent="0.25">
      <c r="A30" s="58"/>
      <c r="B30" s="39"/>
      <c r="C30" s="39"/>
      <c r="D30" s="39"/>
      <c r="E30" s="39"/>
      <c r="F30" s="39"/>
      <c r="G30" s="39"/>
      <c r="H30" s="39"/>
      <c r="K30" s="39"/>
    </row>
    <row r="31" spans="1:12" x14ac:dyDescent="0.25">
      <c r="A31" s="35" t="s">
        <v>129</v>
      </c>
      <c r="B31" s="39"/>
      <c r="C31" s="39"/>
      <c r="D31" s="39"/>
      <c r="E31" s="39"/>
      <c r="F31" s="39"/>
      <c r="G31" s="39"/>
      <c r="H31" s="39"/>
      <c r="J31" s="39"/>
      <c r="K31" s="39"/>
    </row>
    <row r="32" spans="1:12" x14ac:dyDescent="0.25">
      <c r="A32" s="58" t="s">
        <v>130</v>
      </c>
      <c r="B32" s="39"/>
      <c r="C32" s="39"/>
      <c r="D32" s="39"/>
      <c r="E32" s="39"/>
      <c r="F32" s="39"/>
      <c r="G32" s="39">
        <f>IF(F5="Steep Hopper",'Particulate Solid Properties'!C16,(1-'Particulate Solid Properties'!C10)/(2*TAN('EUROCODE1-Loads on Silo Hoppers'!F3/'Properties of Silo'!L13)))</f>
        <v>0.35524461028598658</v>
      </c>
      <c r="H32" s="39"/>
      <c r="J32" s="39"/>
      <c r="K32" s="39"/>
    </row>
    <row r="33" spans="1:13" x14ac:dyDescent="0.25">
      <c r="A33" s="58" t="s">
        <v>131</v>
      </c>
      <c r="B33" s="39"/>
      <c r="C33" s="39"/>
      <c r="D33" s="39"/>
      <c r="E33" s="39"/>
      <c r="F33" s="39"/>
      <c r="G33" s="39">
        <f>IF(F5="Steep Hopper",1-0.2/(1+TAN(F3/'Properties of Silo'!L13)/'Particulate Solid Properties'!C16),1-(0.2/(1+TAN(F3/'Properties of Silo'!L13)/'EUROCODE1-Loads on Silo Hoppers'!G32)))</f>
        <v>0.94754402489936829</v>
      </c>
      <c r="H33" s="39"/>
      <c r="I33" s="39"/>
      <c r="J33" s="39"/>
      <c r="K33" s="39"/>
    </row>
    <row r="34" spans="1:13" x14ac:dyDescent="0.25">
      <c r="A34" s="58" t="s">
        <v>132</v>
      </c>
      <c r="B34" s="39"/>
      <c r="C34" s="39"/>
      <c r="D34" s="39"/>
      <c r="E34" s="39"/>
      <c r="F34" s="39"/>
      <c r="G34" s="39">
        <f>G27*0.8*'Particulate Solid Properties'!C16*_xlfn.COT('EUROCODE1-Loads on Silo Hoppers'!F3/'Properties of Silo'!L13)</f>
        <v>0.83805027388057418</v>
      </c>
      <c r="H34" s="39"/>
      <c r="I34" s="39"/>
      <c r="J34" s="39"/>
      <c r="K34" s="39"/>
    </row>
    <row r="35" spans="1:13" x14ac:dyDescent="0.25">
      <c r="A35" s="58" t="s">
        <v>133</v>
      </c>
      <c r="B35" s="39"/>
      <c r="C35" s="39"/>
      <c r="D35" s="39"/>
      <c r="E35" s="39"/>
      <c r="F35" s="39"/>
      <c r="G35" s="39"/>
      <c r="H35" s="39"/>
      <c r="I35" s="39"/>
      <c r="J35" s="39"/>
      <c r="K35" s="39"/>
    </row>
    <row r="36" spans="1:13" x14ac:dyDescent="0.25">
      <c r="A36" s="188" t="s">
        <v>26</v>
      </c>
      <c r="B36" s="189"/>
      <c r="C36" s="189"/>
      <c r="D36" s="189"/>
      <c r="E36" s="189"/>
      <c r="G36" s="66">
        <f>hh</f>
        <v>4503.5848981417012</v>
      </c>
      <c r="H36" s="36" t="s">
        <v>24</v>
      </c>
    </row>
    <row r="38" spans="1:13" x14ac:dyDescent="0.25">
      <c r="A38" s="152" t="s">
        <v>134</v>
      </c>
      <c r="B38" s="133" t="s">
        <v>135</v>
      </c>
      <c r="C38" s="133" t="s">
        <v>136</v>
      </c>
      <c r="D38" s="133" t="s">
        <v>137</v>
      </c>
      <c r="E38" s="133" t="s">
        <v>138</v>
      </c>
      <c r="F38" s="37" t="s">
        <v>145</v>
      </c>
      <c r="G38" s="37" t="s">
        <v>144</v>
      </c>
      <c r="H38" s="37" t="s">
        <v>149</v>
      </c>
      <c r="I38" s="37" t="s">
        <v>152</v>
      </c>
      <c r="J38" s="37" t="s">
        <v>148</v>
      </c>
      <c r="K38" s="37" t="s">
        <v>146</v>
      </c>
      <c r="L38" s="37" t="s">
        <v>147</v>
      </c>
      <c r="M38" s="37"/>
    </row>
    <row r="39" spans="1:13" x14ac:dyDescent="0.25">
      <c r="A39" s="133">
        <f>0</f>
        <v>0</v>
      </c>
      <c r="B39" s="133">
        <f>A39</f>
        <v>0</v>
      </c>
      <c r="C39" s="133">
        <f>('Particulate Solid Properties'!$C$5*$G$36*0.001/($G$34-1))*(B39/hh-(B39/hh)^$G$34)+$H$24*(B39/hh)^$G$34</f>
        <v>0</v>
      </c>
      <c r="D39" s="128">
        <f>C39*$G$33</f>
        <v>0</v>
      </c>
      <c r="E39" s="128">
        <f>'Particulate Solid Properties'!$C$16*$G$33*C39</f>
        <v>0</v>
      </c>
      <c r="F39" s="37"/>
      <c r="G39" s="37"/>
    </row>
    <row r="40" spans="1:13" x14ac:dyDescent="0.25">
      <c r="A40" s="133">
        <f>A39+1000</f>
        <v>1000</v>
      </c>
      <c r="B40" s="133">
        <f>(A39+A40)/2</f>
        <v>500</v>
      </c>
      <c r="C40" s="128">
        <f>('Particulate Solid Properties'!$C$5*$G$36*0.001/($G$34-1))*(B40/hh-(B40/hh)^$G$34)+$H$24*(B40/hh)^$G$34</f>
        <v>4.1942320831683695</v>
      </c>
      <c r="D40" s="128">
        <f t="shared" ref="D40:D43" si="0">C40*$G$33</f>
        <v>3.9742195494474188</v>
      </c>
      <c r="E40" s="128">
        <f>'Particulate Solid Properties'!$C$16*$G$33*C40</f>
        <v>2.0799653716734157</v>
      </c>
      <c r="F40" s="38">
        <f>(A40-A39)/TAN((90-$F$3)/'Properties of Silo'!$L$13)</f>
        <v>1000.7966440314891</v>
      </c>
      <c r="G40" s="38">
        <f>((F40^2)+(A40-A39)^2)^0.5</f>
        <v>1414.7769869151432</v>
      </c>
      <c r="H40" s="38">
        <f>G40+H39</f>
        <v>1414.7769869151432</v>
      </c>
      <c r="I40" s="38">
        <f>F40+I39</f>
        <v>1000.7966440314891</v>
      </c>
      <c r="J40" s="38">
        <f>3.14*I40*0.001*H40*0.001-J39</f>
        <v>4.4459387501510443</v>
      </c>
      <c r="K40" s="38">
        <f>D40*J40</f>
        <v>17.669136696496103</v>
      </c>
      <c r="L40" s="38">
        <f>E40*J40</f>
        <v>9.2473986448951582</v>
      </c>
    </row>
    <row r="41" spans="1:13" x14ac:dyDescent="0.25">
      <c r="A41" s="133">
        <f t="shared" ref="A41:A42" si="1">A40+1000</f>
        <v>2000</v>
      </c>
      <c r="B41" s="133">
        <f>(A40+A41)/2</f>
        <v>1500</v>
      </c>
      <c r="C41" s="128">
        <f>('Particulate Solid Properties'!$C$5*$G$36*0.001/($G$34-1))*(B41/hh-(B41/hh)^$G$34)+$H$24*(B41/hh)^$G$34</f>
        <v>7.8144822129976692</v>
      </c>
      <c r="D41" s="128">
        <f t="shared" si="0"/>
        <v>7.4045659286083341</v>
      </c>
      <c r="E41" s="128">
        <f>'Particulate Solid Properties'!$C$16*$G$33*C41</f>
        <v>3.8752868411408108</v>
      </c>
      <c r="F41" s="38">
        <f>(A41-A40)/TAN((90-$F$3)/'Properties of Silo'!$L$13)</f>
        <v>1000.7966440314891</v>
      </c>
      <c r="G41" s="38">
        <f t="shared" ref="G41:G43" si="2">((F41^2)+(A41-A40)^2)^0.5</f>
        <v>1414.7769869151432</v>
      </c>
      <c r="H41" s="38">
        <f t="shared" ref="H41:H43" si="3">G41+H40</f>
        <v>2829.5539738302864</v>
      </c>
      <c r="I41" s="38">
        <f t="shared" ref="I41:I43" si="4">F41+I40</f>
        <v>2001.5932880629782</v>
      </c>
      <c r="J41" s="38">
        <f t="shared" ref="J41:J43" si="5">3.14*I41*0.001*H41*0.001-J40</f>
        <v>13.337816250453134</v>
      </c>
      <c r="K41" s="38">
        <f t="shared" ref="K41:K43" si="6">D41*J41</f>
        <v>98.760739770143843</v>
      </c>
      <c r="L41" s="38">
        <f t="shared" ref="L41:L43" si="7">E41*J41</f>
        <v>51.687863804935098</v>
      </c>
    </row>
    <row r="42" spans="1:13" x14ac:dyDescent="0.25">
      <c r="A42" s="133">
        <f t="shared" si="1"/>
        <v>3000</v>
      </c>
      <c r="B42" s="133">
        <f>(A41+A42)/2</f>
        <v>2500</v>
      </c>
      <c r="C42" s="128">
        <f>('Particulate Solid Properties'!$C$5*$G$36*0.001/($G$34-1))*(B42/hh-(B42/hh)^$G$34)+$H$24*(B42/hh)^$G$34</f>
        <v>9.7838395941789287</v>
      </c>
      <c r="D42" s="128">
        <f t="shared" si="0"/>
        <v>9.2706187480381033</v>
      </c>
      <c r="E42" s="128">
        <f>'Particulate Solid Properties'!$C$16*$G$33*C42</f>
        <v>4.8519126157956443</v>
      </c>
      <c r="F42" s="38">
        <f>(A42-A41)/TAN((90-$F$3)/'Properties of Silo'!$L$13)</f>
        <v>1000.7966440314891</v>
      </c>
      <c r="G42" s="38">
        <f t="shared" si="2"/>
        <v>1414.7769869151432</v>
      </c>
      <c r="H42" s="38">
        <f t="shared" si="3"/>
        <v>4244.3309607454294</v>
      </c>
      <c r="I42" s="38">
        <f t="shared" si="4"/>
        <v>3002.3899320944674</v>
      </c>
      <c r="J42" s="38">
        <f t="shared" si="5"/>
        <v>26.675632500906264</v>
      </c>
      <c r="K42" s="38">
        <f t="shared" si="6"/>
        <v>247.29961877867618</v>
      </c>
      <c r="L42" s="38">
        <f t="shared" si="7"/>
        <v>129.42783786547542</v>
      </c>
    </row>
    <row r="43" spans="1:13" x14ac:dyDescent="0.25">
      <c r="A43" s="133">
        <f>hh-(0.5*dc-TAN(theta/con)*hhop)/(TAN(theta/con))</f>
        <v>3800</v>
      </c>
      <c r="B43" s="133">
        <f>(A42+A43)/2</f>
        <v>3400</v>
      </c>
      <c r="C43" s="128">
        <f>('Particulate Solid Properties'!$C$5*$G$36*0.001/($G$34-1))*(B43/hh-(B43/hh)^$G$34)+$H$24*(B43/hh)^$G$34</f>
        <v>10.823928061414991</v>
      </c>
      <c r="D43" s="128">
        <f t="shared" si="0"/>
        <v>10.256148360534377</v>
      </c>
      <c r="E43" s="128">
        <f>'Particulate Solid Properties'!$C$16*$G$33*C43</f>
        <v>5.3677038148591141</v>
      </c>
      <c r="F43" s="38">
        <f>(A43-A42)/TAN((90-$F$3)/'Properties of Silo'!$L$13)</f>
        <v>800.63731522519129</v>
      </c>
      <c r="G43" s="38">
        <f t="shared" si="2"/>
        <v>1131.8215895321146</v>
      </c>
      <c r="H43" s="38">
        <f t="shared" si="3"/>
        <v>5376.1525502775439</v>
      </c>
      <c r="I43" s="38">
        <f t="shared" si="4"/>
        <v>3803.0272473196587</v>
      </c>
      <c r="J43" s="38">
        <f t="shared" si="5"/>
        <v>37.523723051274814</v>
      </c>
      <c r="K43" s="38">
        <f t="shared" si="6"/>
        <v>384.84887065347817</v>
      </c>
      <c r="L43" s="38">
        <f t="shared" si="7"/>
        <v>201.4162313700447</v>
      </c>
    </row>
    <row r="44" spans="1:13" x14ac:dyDescent="0.25">
      <c r="A44" s="38"/>
      <c r="B44" s="37"/>
      <c r="C44" s="38"/>
      <c r="D44" s="38"/>
      <c r="E44" s="38"/>
      <c r="F44" s="38"/>
      <c r="G44" s="38"/>
      <c r="H44" s="38"/>
      <c r="I44" s="38"/>
      <c r="J44" s="44">
        <f>SUM(J40:J43)</f>
        <v>81.983110552785263</v>
      </c>
      <c r="K44" s="38"/>
      <c r="L44" s="38"/>
    </row>
    <row r="45" spans="1:13" x14ac:dyDescent="0.25">
      <c r="A45" s="37"/>
      <c r="B45" s="38"/>
      <c r="C45" s="38"/>
      <c r="D45" s="38"/>
      <c r="E45" s="38"/>
      <c r="F45" s="38"/>
      <c r="G45" s="38"/>
      <c r="H45" s="190" t="s">
        <v>150</v>
      </c>
      <c r="I45" s="190"/>
      <c r="J45" s="190"/>
      <c r="K45" s="70">
        <f>SUM(K40:K44)</f>
        <v>748.57836589879435</v>
      </c>
      <c r="L45" s="44">
        <f>SUM(L40:L44)</f>
        <v>391.77933168535037</v>
      </c>
    </row>
    <row r="46" spans="1:13" x14ac:dyDescent="0.25">
      <c r="H46" s="191" t="s">
        <v>151</v>
      </c>
      <c r="I46" s="191"/>
      <c r="J46" s="191"/>
      <c r="K46" s="71">
        <f>K45*SIN(F3/'Properties of Silo'!L13)+'EUROCODE1-Loads on Silo Hoppers'!L45*COS('EUROCODE1-Loads on Silo Hoppers'!F3/'Properties of Silo'!L13)</f>
        <v>806.25414238435644</v>
      </c>
      <c r="L46" s="69" t="s">
        <v>60</v>
      </c>
    </row>
    <row r="47" spans="1:13" x14ac:dyDescent="0.25">
      <c r="J47" s="39"/>
    </row>
    <row r="48" spans="1:13" x14ac:dyDescent="0.25">
      <c r="A48" s="35" t="s">
        <v>139</v>
      </c>
    </row>
    <row r="49" spans="1:8" x14ac:dyDescent="0.25">
      <c r="A49" s="58" t="s">
        <v>140</v>
      </c>
      <c r="G49" s="39">
        <f>(1+SIN('Particulate Solid Properties'!C40/'Properties of Silo'!L13)*COS(G51/'Properties of Silo'!L13))/(1-SIN('Particulate Solid Properties'!C40/'Properties of Silo'!L13)*COS((2*'EUROCODE1-Loads on Silo Hoppers'!F3+'EUROCODE1-Loads on Silo Hoppers'!G51)/'Properties of Silo'!L13))</f>
        <v>0.7291864549706637</v>
      </c>
    </row>
    <row r="50" spans="1:8" x14ac:dyDescent="0.25">
      <c r="A50" s="67" t="s">
        <v>153</v>
      </c>
      <c r="G50" s="39">
        <f>ATAN('Particulate Solid Properties'!C16)*'Properties of Silo'!L13</f>
        <v>27.639975156811058</v>
      </c>
    </row>
    <row r="51" spans="1:8" x14ac:dyDescent="0.25">
      <c r="A51" s="68" t="s">
        <v>141</v>
      </c>
      <c r="G51" s="39">
        <f>G50+ASIN(SIN(G50/'Properties of Silo'!L13)/SIN('Particulate Solid Properties'!C40/'Properties of Silo'!L13))*'Properties of Silo'!L13</f>
        <v>73.857574771596319</v>
      </c>
    </row>
    <row r="52" spans="1:8" x14ac:dyDescent="0.25">
      <c r="A52" s="58" t="s">
        <v>133</v>
      </c>
      <c r="G52" s="39"/>
    </row>
    <row r="53" spans="1:8" x14ac:dyDescent="0.25">
      <c r="G53" s="39"/>
    </row>
    <row r="54" spans="1:8" x14ac:dyDescent="0.25">
      <c r="A54" s="45" t="s">
        <v>134</v>
      </c>
      <c r="B54" s="37" t="s">
        <v>135</v>
      </c>
      <c r="C54" s="37" t="s">
        <v>136</v>
      </c>
      <c r="D54" s="37" t="s">
        <v>142</v>
      </c>
      <c r="E54" s="37" t="s">
        <v>143</v>
      </c>
    </row>
    <row r="55" spans="1:8" x14ac:dyDescent="0.25">
      <c r="A55" s="38">
        <f>A39</f>
        <v>0</v>
      </c>
      <c r="B55" s="38">
        <f>B39</f>
        <v>0</v>
      </c>
      <c r="C55" s="38">
        <f>C39</f>
        <v>0</v>
      </c>
      <c r="D55" s="38">
        <f>IF($F$5="Steep Hopper",$G$49*C55,D39)</f>
        <v>0</v>
      </c>
      <c r="E55" s="38">
        <f>IF($F$5="Steep Hopper",'Particulate Solid Properties'!$C$16*$G$49*C55,E39)</f>
        <v>0</v>
      </c>
    </row>
    <row r="56" spans="1:8" x14ac:dyDescent="0.25">
      <c r="A56" s="38">
        <f t="shared" ref="A56:C59" si="8">A40</f>
        <v>1000</v>
      </c>
      <c r="B56" s="38">
        <f t="shared" si="8"/>
        <v>500</v>
      </c>
      <c r="C56" s="38">
        <f t="shared" si="8"/>
        <v>4.1942320831683695</v>
      </c>
      <c r="D56" s="38">
        <f t="shared" ref="D56:D59" si="9">IF($F$5="Steep Hopper",$G$49*C56,D40)</f>
        <v>3.9742195494474188</v>
      </c>
      <c r="E56" s="38">
        <f>IF($F$5="Steep Hopper",'Particulate Solid Properties'!$C$16*$G$49*C56,E40)</f>
        <v>2.0799653716734157</v>
      </c>
    </row>
    <row r="57" spans="1:8" x14ac:dyDescent="0.25">
      <c r="A57" s="38">
        <f t="shared" si="8"/>
        <v>2000</v>
      </c>
      <c r="B57" s="38">
        <f t="shared" si="8"/>
        <v>1500</v>
      </c>
      <c r="C57" s="38">
        <f t="shared" si="8"/>
        <v>7.8144822129976692</v>
      </c>
      <c r="D57" s="38">
        <f t="shared" si="9"/>
        <v>7.4045659286083341</v>
      </c>
      <c r="E57" s="38">
        <f>IF($F$5="Steep Hopper",'Particulate Solid Properties'!$C$16*$G$49*C57,E41)</f>
        <v>3.8752868411408108</v>
      </c>
    </row>
    <row r="58" spans="1:8" x14ac:dyDescent="0.25">
      <c r="A58" s="38">
        <f t="shared" si="8"/>
        <v>3000</v>
      </c>
      <c r="B58" s="38">
        <f t="shared" si="8"/>
        <v>2500</v>
      </c>
      <c r="C58" s="38">
        <f t="shared" si="8"/>
        <v>9.7838395941789287</v>
      </c>
      <c r="D58" s="38">
        <f t="shared" si="9"/>
        <v>9.2706187480381033</v>
      </c>
      <c r="E58" s="38">
        <f>IF($F$5="Steep Hopper",'Particulate Solid Properties'!$C$16*$G$49*C58,E42)</f>
        <v>4.8519126157956443</v>
      </c>
    </row>
    <row r="59" spans="1:8" x14ac:dyDescent="0.25">
      <c r="A59" s="38">
        <f t="shared" si="8"/>
        <v>3800</v>
      </c>
      <c r="B59" s="38">
        <f t="shared" si="8"/>
        <v>3400</v>
      </c>
      <c r="C59" s="38">
        <f t="shared" si="8"/>
        <v>10.823928061414991</v>
      </c>
      <c r="D59" s="38">
        <f t="shared" si="9"/>
        <v>10.256148360534377</v>
      </c>
      <c r="E59" s="38">
        <f>IF($F$5="Steep Hopper",'Particulate Solid Properties'!$C$16*$G$49*C59,E43)</f>
        <v>5.3677038148591141</v>
      </c>
    </row>
    <row r="60" spans="1:8" x14ac:dyDescent="0.25">
      <c r="A60" s="38"/>
      <c r="B60" s="38"/>
      <c r="C60" s="38"/>
      <c r="D60" s="38"/>
      <c r="E60" s="38"/>
    </row>
    <row r="61" spans="1:8" x14ac:dyDescent="0.25">
      <c r="A61" s="38"/>
      <c r="B61" s="38"/>
      <c r="C61" s="38"/>
      <c r="D61" s="38"/>
      <c r="E61" s="38"/>
    </row>
    <row r="62" spans="1:8" x14ac:dyDescent="0.25">
      <c r="H62" s="39"/>
    </row>
    <row r="63" spans="1:8" x14ac:dyDescent="0.25">
      <c r="H63" s="39"/>
    </row>
    <row r="64" spans="1:8" x14ac:dyDescent="0.25">
      <c r="H64" s="39"/>
    </row>
  </sheetData>
  <mergeCells count="4">
    <mergeCell ref="A36:E36"/>
    <mergeCell ref="H45:J45"/>
    <mergeCell ref="H46:J46"/>
    <mergeCell ref="A7:G7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4"/>
  <sheetViews>
    <sheetView tabSelected="1" workbookViewId="0">
      <selection activeCell="T19" sqref="T18:T19"/>
    </sheetView>
  </sheetViews>
  <sheetFormatPr defaultRowHeight="15" x14ac:dyDescent="0.25"/>
  <cols>
    <col min="2" max="2" width="10.42578125" customWidth="1"/>
    <col min="3" max="3" width="9" bestFit="1" customWidth="1"/>
    <col min="4" max="4" width="17.28515625" bestFit="1" customWidth="1"/>
    <col min="5" max="5" width="19" bestFit="1" customWidth="1"/>
    <col min="6" max="6" width="13.85546875" bestFit="1" customWidth="1"/>
    <col min="7" max="7" width="14.7109375" bestFit="1" customWidth="1"/>
    <col min="9" max="9" width="10.85546875" bestFit="1" customWidth="1"/>
  </cols>
  <sheetData>
    <row r="2" spans="1:13" x14ac:dyDescent="0.25">
      <c r="B2" s="5" t="s">
        <v>162</v>
      </c>
      <c r="F2" s="155" t="s">
        <v>535</v>
      </c>
      <c r="G2" s="155" t="s">
        <v>536</v>
      </c>
      <c r="I2" s="81" t="s">
        <v>167</v>
      </c>
      <c r="J2">
        <v>1.74</v>
      </c>
      <c r="K2" s="5" t="s">
        <v>168</v>
      </c>
    </row>
    <row r="3" spans="1:13" x14ac:dyDescent="0.25">
      <c r="B3" s="37" t="s">
        <v>160</v>
      </c>
      <c r="C3" s="37" t="s">
        <v>161</v>
      </c>
      <c r="F3" s="140" t="s">
        <v>397</v>
      </c>
      <c r="G3" s="140" t="s">
        <v>392</v>
      </c>
      <c r="J3">
        <v>1.67</v>
      </c>
      <c r="K3" s="5" t="s">
        <v>169</v>
      </c>
    </row>
    <row r="4" spans="1:13" x14ac:dyDescent="0.25">
      <c r="B4" s="42">
        <v>15.8</v>
      </c>
      <c r="C4" s="116">
        <v>10</v>
      </c>
      <c r="F4" s="155" t="s">
        <v>398</v>
      </c>
      <c r="G4" s="155" t="s">
        <v>392</v>
      </c>
    </row>
    <row r="5" spans="1:13" x14ac:dyDescent="0.25">
      <c r="B5" s="42">
        <v>11.3</v>
      </c>
      <c r="C5" s="92">
        <v>10</v>
      </c>
      <c r="F5" s="140" t="s">
        <v>394</v>
      </c>
      <c r="G5" s="140" t="s">
        <v>393</v>
      </c>
      <c r="I5" s="81" t="s">
        <v>170</v>
      </c>
      <c r="J5">
        <f>(0.6)*J2</f>
        <v>1.044</v>
      </c>
      <c r="K5" s="5" t="s">
        <v>168</v>
      </c>
    </row>
    <row r="6" spans="1:13" x14ac:dyDescent="0.25">
      <c r="B6" s="42">
        <v>9.8000000000000007</v>
      </c>
      <c r="C6" s="92">
        <v>15</v>
      </c>
      <c r="F6" s="155" t="s">
        <v>395</v>
      </c>
      <c r="G6" s="155" t="s">
        <v>393</v>
      </c>
      <c r="J6">
        <f>(0.6)*J3</f>
        <v>1.002</v>
      </c>
      <c r="K6" s="5" t="s">
        <v>169</v>
      </c>
    </row>
    <row r="7" spans="1:13" x14ac:dyDescent="0.25">
      <c r="B7" s="42">
        <v>8.3000000000000007</v>
      </c>
      <c r="C7" s="92">
        <v>20</v>
      </c>
      <c r="F7" s="140" t="s">
        <v>399</v>
      </c>
      <c r="G7" s="140" t="s">
        <v>396</v>
      </c>
    </row>
    <row r="8" spans="1:13" x14ac:dyDescent="0.25">
      <c r="B8" s="42">
        <v>6.8</v>
      </c>
      <c r="C8" s="92">
        <v>20</v>
      </c>
      <c r="F8" s="155" t="s">
        <v>400</v>
      </c>
      <c r="G8" s="155" t="s">
        <v>542</v>
      </c>
    </row>
    <row r="9" spans="1:13" x14ac:dyDescent="0.25">
      <c r="B9" s="42">
        <v>5.3</v>
      </c>
      <c r="C9" s="92">
        <v>25</v>
      </c>
    </row>
    <row r="10" spans="1:13" x14ac:dyDescent="0.25">
      <c r="B10" s="42">
        <v>3.8</v>
      </c>
      <c r="C10" s="92">
        <v>25</v>
      </c>
    </row>
    <row r="13" spans="1:13" x14ac:dyDescent="0.25">
      <c r="A13" s="176" t="s">
        <v>391</v>
      </c>
      <c r="B13" s="176"/>
      <c r="C13" s="176"/>
      <c r="D13" s="176"/>
      <c r="E13" s="176"/>
      <c r="F13" s="176"/>
      <c r="G13" s="176"/>
    </row>
    <row r="14" spans="1:13" x14ac:dyDescent="0.25">
      <c r="A14" s="193" t="s">
        <v>173</v>
      </c>
      <c r="B14" s="193"/>
      <c r="C14" s="193"/>
      <c r="D14" s="193"/>
      <c r="E14" s="193"/>
      <c r="F14" s="193"/>
      <c r="G14" s="193"/>
    </row>
    <row r="15" spans="1:13" x14ac:dyDescent="0.25">
      <c r="A15" s="13" t="s">
        <v>166</v>
      </c>
      <c r="B15" s="140" t="s">
        <v>163</v>
      </c>
      <c r="C15" s="140" t="s">
        <v>164</v>
      </c>
      <c r="D15" s="140" t="s">
        <v>174</v>
      </c>
      <c r="E15" s="140" t="s">
        <v>161</v>
      </c>
      <c r="F15" s="135" t="s">
        <v>165</v>
      </c>
      <c r="G15" s="140" t="s">
        <v>171</v>
      </c>
      <c r="H15" s="37"/>
      <c r="M15" s="83" t="s">
        <v>172</v>
      </c>
    </row>
    <row r="16" spans="1:13" x14ac:dyDescent="0.25">
      <c r="A16" s="156">
        <f t="shared" ref="A16:A21" si="0">A17-1000*(B16-B17)</f>
        <v>-3214.4250630924389</v>
      </c>
      <c r="B16" s="140">
        <f>B4</f>
        <v>15.8</v>
      </c>
      <c r="C16" s="157">
        <v>0</v>
      </c>
      <c r="D16" s="157">
        <v>0</v>
      </c>
      <c r="E16" s="140">
        <f>C4</f>
        <v>10</v>
      </c>
      <c r="F16" s="128">
        <f t="shared" ref="F16:F22" si="1">0.0001*((C16+D16)*dc*0.5*0.001)/((E16*0.001-0.002)*0.75)</f>
        <v>0</v>
      </c>
      <c r="G16" s="141" t="str">
        <f>IF(F16&lt;$J$6,"OK","NOT OK!")</f>
        <v>OK</v>
      </c>
    </row>
    <row r="17" spans="1:7" x14ac:dyDescent="0.25">
      <c r="A17" s="156">
        <f t="shared" si="0"/>
        <v>1285.5749369075611</v>
      </c>
      <c r="B17" s="140">
        <f t="shared" ref="B17:B22" si="2">B5</f>
        <v>11.3</v>
      </c>
      <c r="C17" s="157">
        <v>0</v>
      </c>
      <c r="D17" s="157">
        <v>0</v>
      </c>
      <c r="E17" s="140">
        <f t="shared" ref="E17:E22" si="3">C5</f>
        <v>10</v>
      </c>
      <c r="F17" s="128">
        <f t="shared" si="1"/>
        <v>0</v>
      </c>
      <c r="G17" s="141" t="str">
        <f t="shared" ref="G17:G22" si="4">IF(F17&lt;$J$6,"OK","NOT OK!")</f>
        <v>OK</v>
      </c>
    </row>
    <row r="18" spans="1:7" x14ac:dyDescent="0.25">
      <c r="A18" s="156">
        <f t="shared" si="0"/>
        <v>2785.5749369075611</v>
      </c>
      <c r="B18" s="140">
        <f t="shared" si="2"/>
        <v>9.8000000000000007</v>
      </c>
      <c r="C18" s="157">
        <v>0.84</v>
      </c>
      <c r="D18" s="157">
        <v>0</v>
      </c>
      <c r="E18" s="140">
        <f t="shared" si="3"/>
        <v>15</v>
      </c>
      <c r="F18" s="128">
        <f t="shared" si="1"/>
        <v>3.8769230769230771E-2</v>
      </c>
      <c r="G18" s="141" t="str">
        <f t="shared" si="4"/>
        <v>OK</v>
      </c>
    </row>
    <row r="19" spans="1:7" x14ac:dyDescent="0.25">
      <c r="A19" s="156">
        <f t="shared" si="0"/>
        <v>4285.5749369075611</v>
      </c>
      <c r="B19" s="140">
        <f t="shared" si="2"/>
        <v>8.3000000000000007</v>
      </c>
      <c r="C19" s="157">
        <v>2.95</v>
      </c>
      <c r="D19" s="157">
        <v>0</v>
      </c>
      <c r="E19" s="140">
        <f t="shared" si="3"/>
        <v>20</v>
      </c>
      <c r="F19" s="128">
        <f t="shared" si="1"/>
        <v>9.8333333333333328E-2</v>
      </c>
      <c r="G19" s="141" t="str">
        <f t="shared" si="4"/>
        <v>OK</v>
      </c>
    </row>
    <row r="20" spans="1:7" x14ac:dyDescent="0.25">
      <c r="A20" s="156">
        <f t="shared" si="0"/>
        <v>5785.574936907562</v>
      </c>
      <c r="B20" s="140">
        <f t="shared" si="2"/>
        <v>6.8</v>
      </c>
      <c r="C20" s="157">
        <v>4.07</v>
      </c>
      <c r="D20" s="157">
        <v>0</v>
      </c>
      <c r="E20" s="140">
        <f t="shared" si="3"/>
        <v>20</v>
      </c>
      <c r="F20" s="128">
        <f t="shared" si="1"/>
        <v>0.13566666666666666</v>
      </c>
      <c r="G20" s="141" t="str">
        <f t="shared" si="4"/>
        <v>OK</v>
      </c>
    </row>
    <row r="21" spans="1:7" x14ac:dyDescent="0.25">
      <c r="A21" s="156">
        <f t="shared" si="0"/>
        <v>7285.574936907562</v>
      </c>
      <c r="B21" s="140">
        <f t="shared" si="2"/>
        <v>5.3</v>
      </c>
      <c r="C21" s="157">
        <v>4.7350000000000003</v>
      </c>
      <c r="D21" s="157">
        <v>0</v>
      </c>
      <c r="E21" s="140">
        <f t="shared" si="3"/>
        <v>25</v>
      </c>
      <c r="F21" s="128">
        <f t="shared" si="1"/>
        <v>0.12352173913043479</v>
      </c>
      <c r="G21" s="141" t="str">
        <f t="shared" si="4"/>
        <v>OK</v>
      </c>
    </row>
    <row r="22" spans="1:7" x14ac:dyDescent="0.25">
      <c r="A22" s="156">
        <f>hc</f>
        <v>8785.574936907562</v>
      </c>
      <c r="B22" s="140">
        <f t="shared" si="2"/>
        <v>3.8</v>
      </c>
      <c r="C22" s="157">
        <v>4.9020000000000001</v>
      </c>
      <c r="D22" s="157">
        <v>0</v>
      </c>
      <c r="E22" s="140">
        <f t="shared" si="3"/>
        <v>25</v>
      </c>
      <c r="F22" s="128">
        <f t="shared" si="1"/>
        <v>0.12787826086956522</v>
      </c>
      <c r="G22" s="141" t="str">
        <f t="shared" si="4"/>
        <v>OK</v>
      </c>
    </row>
    <row r="24" spans="1:7" x14ac:dyDescent="0.25">
      <c r="A24" s="194" t="s">
        <v>175</v>
      </c>
      <c r="B24" s="194"/>
      <c r="C24" s="194"/>
      <c r="D24" s="194"/>
      <c r="E24" s="194"/>
      <c r="F24" s="194"/>
      <c r="G24" s="194"/>
    </row>
    <row r="25" spans="1:7" x14ac:dyDescent="0.25">
      <c r="A25" s="37"/>
      <c r="B25" s="37"/>
      <c r="C25" s="37"/>
      <c r="D25" s="37"/>
      <c r="E25" s="37"/>
      <c r="F25" s="37"/>
    </row>
    <row r="26" spans="1:7" x14ac:dyDescent="0.25">
      <c r="A26" s="5" t="s">
        <v>177</v>
      </c>
      <c r="E26" s="11">
        <v>150</v>
      </c>
      <c r="F26" s="85" t="s">
        <v>178</v>
      </c>
    </row>
    <row r="27" spans="1:7" x14ac:dyDescent="0.25">
      <c r="A27" s="5" t="s">
        <v>179</v>
      </c>
      <c r="E27">
        <f>(3.14*dc^2/4)/10^6</f>
        <v>63.585000000000001</v>
      </c>
      <c r="F27" s="85" t="s">
        <v>180</v>
      </c>
    </row>
    <row r="28" spans="1:7" x14ac:dyDescent="0.25">
      <c r="A28" s="5" t="s">
        <v>181</v>
      </c>
      <c r="E28">
        <f>E27*E26/1000</f>
        <v>9.5377500000000008</v>
      </c>
      <c r="F28" s="85" t="s">
        <v>79</v>
      </c>
    </row>
    <row r="29" spans="1:7" x14ac:dyDescent="0.25">
      <c r="A29" s="5" t="s">
        <v>182</v>
      </c>
      <c r="E29">
        <f>E28/(2*3.14*0.001*dc/2)</f>
        <v>0.33750000000000002</v>
      </c>
      <c r="F29" s="85" t="s">
        <v>183</v>
      </c>
    </row>
    <row r="30" spans="1:7" x14ac:dyDescent="0.25">
      <c r="F30" s="85"/>
    </row>
    <row r="31" spans="1:7" x14ac:dyDescent="0.25">
      <c r="A31" s="5"/>
      <c r="F31" s="85"/>
    </row>
    <row r="33" spans="1:13" x14ac:dyDescent="0.25">
      <c r="A33" s="5" t="s">
        <v>184</v>
      </c>
      <c r="M33" s="83" t="s">
        <v>176</v>
      </c>
    </row>
    <row r="34" spans="1:13" x14ac:dyDescent="0.25">
      <c r="A34" s="5" t="s">
        <v>186</v>
      </c>
      <c r="E34">
        <f>0.5*dc*0.001</f>
        <v>4.5</v>
      </c>
      <c r="F34" t="s">
        <v>185</v>
      </c>
    </row>
    <row r="37" spans="1:13" x14ac:dyDescent="0.25">
      <c r="A37" s="140" t="s">
        <v>166</v>
      </c>
      <c r="B37" s="140" t="s">
        <v>163</v>
      </c>
      <c r="C37" s="140" t="s">
        <v>161</v>
      </c>
      <c r="D37" s="140" t="s">
        <v>188</v>
      </c>
      <c r="E37" s="140" t="s">
        <v>189</v>
      </c>
      <c r="F37" s="140" t="s">
        <v>187</v>
      </c>
      <c r="G37" s="140" t="s">
        <v>190</v>
      </c>
    </row>
    <row r="38" spans="1:13" x14ac:dyDescent="0.25">
      <c r="A38" s="122">
        <f>A16</f>
        <v>-3214.4250630924389</v>
      </c>
      <c r="B38" s="140">
        <v>15.8</v>
      </c>
      <c r="C38" s="140">
        <f>C4-2</f>
        <v>8</v>
      </c>
      <c r="D38" s="157">
        <f>0</f>
        <v>0</v>
      </c>
      <c r="E38" s="128">
        <v>0</v>
      </c>
      <c r="F38" s="128">
        <f>D38+E38+$E$29</f>
        <v>0.33750000000000002</v>
      </c>
      <c r="G38" s="140">
        <f>C16+D16</f>
        <v>0</v>
      </c>
    </row>
    <row r="39" spans="1:13" x14ac:dyDescent="0.25">
      <c r="A39" s="122">
        <f t="shared" ref="A39:A44" si="5">A17</f>
        <v>1285.5749369075611</v>
      </c>
      <c r="B39" s="140">
        <v>13.6</v>
      </c>
      <c r="C39" s="140">
        <f t="shared" ref="C39:C44" si="6">C5-2</f>
        <v>8</v>
      </c>
      <c r="D39" s="157">
        <v>0</v>
      </c>
      <c r="E39" s="128">
        <f t="shared" ref="E39:E44" si="7">($B$38-B39)*(3.14*(dc^2-(dc-2*C39)^2)/4)*(10^-6)*7.85/(2*3.14*rad)</f>
        <v>0.13803719111111118</v>
      </c>
      <c r="F39" s="128">
        <f t="shared" ref="F39:F44" si="8">D39+E39+$E$29</f>
        <v>0.4755371911111112</v>
      </c>
      <c r="G39" s="140">
        <f t="shared" ref="G39:G44" si="9">C17+D17</f>
        <v>0</v>
      </c>
    </row>
    <row r="40" spans="1:13" x14ac:dyDescent="0.25">
      <c r="A40" s="122">
        <f t="shared" si="5"/>
        <v>2785.5749369075611</v>
      </c>
      <c r="B40" s="140">
        <v>12</v>
      </c>
      <c r="C40" s="140">
        <f t="shared" si="6"/>
        <v>13</v>
      </c>
      <c r="D40" s="157">
        <v>0</v>
      </c>
      <c r="E40" s="128">
        <f t="shared" si="7"/>
        <v>0.38722985888888889</v>
      </c>
      <c r="F40" s="128">
        <f t="shared" si="8"/>
        <v>0.72472985888888886</v>
      </c>
      <c r="G40" s="140">
        <f t="shared" si="9"/>
        <v>0.84</v>
      </c>
    </row>
    <row r="41" spans="1:13" x14ac:dyDescent="0.25">
      <c r="A41" s="122">
        <f t="shared" si="5"/>
        <v>4285.5749369075611</v>
      </c>
      <c r="B41" s="140">
        <v>10</v>
      </c>
      <c r="C41" s="140">
        <f t="shared" si="6"/>
        <v>18</v>
      </c>
      <c r="D41" s="157">
        <v>2.85</v>
      </c>
      <c r="E41" s="128">
        <f t="shared" si="7"/>
        <v>0.81790092000000003</v>
      </c>
      <c r="F41" s="128">
        <f t="shared" si="8"/>
        <v>4.0054009200000005</v>
      </c>
      <c r="G41" s="140">
        <f t="shared" si="9"/>
        <v>2.95</v>
      </c>
    </row>
    <row r="42" spans="1:13" x14ac:dyDescent="0.25">
      <c r="A42" s="122">
        <f t="shared" si="5"/>
        <v>5785.574936907562</v>
      </c>
      <c r="B42" s="140">
        <v>8</v>
      </c>
      <c r="C42" s="140">
        <f t="shared" si="6"/>
        <v>18</v>
      </c>
      <c r="D42" s="157">
        <v>6.12</v>
      </c>
      <c r="E42" s="128">
        <f t="shared" si="7"/>
        <v>1.0999357200000002</v>
      </c>
      <c r="F42" s="128">
        <f t="shared" si="8"/>
        <v>7.5574357200000009</v>
      </c>
      <c r="G42" s="140">
        <f t="shared" si="9"/>
        <v>4.07</v>
      </c>
    </row>
    <row r="43" spans="1:13" x14ac:dyDescent="0.25">
      <c r="A43" s="122">
        <f t="shared" si="5"/>
        <v>7285.574936907562</v>
      </c>
      <c r="B43" s="140">
        <v>6</v>
      </c>
      <c r="C43" s="140">
        <f t="shared" si="6"/>
        <v>23</v>
      </c>
      <c r="D43" s="157">
        <v>10.64</v>
      </c>
      <c r="E43" s="128">
        <f t="shared" si="7"/>
        <v>1.7648682255555554</v>
      </c>
      <c r="F43" s="128">
        <f t="shared" si="8"/>
        <v>12.742368225555557</v>
      </c>
      <c r="G43" s="140">
        <f t="shared" si="9"/>
        <v>4.7350000000000003</v>
      </c>
    </row>
    <row r="44" spans="1:13" x14ac:dyDescent="0.25">
      <c r="A44" s="122">
        <f t="shared" si="5"/>
        <v>8785.574936907562</v>
      </c>
      <c r="B44" s="140">
        <v>3.8</v>
      </c>
      <c r="C44" s="140">
        <f t="shared" si="6"/>
        <v>23</v>
      </c>
      <c r="D44" s="157">
        <f>13.245</f>
        <v>13.244999999999999</v>
      </c>
      <c r="E44" s="128">
        <f t="shared" si="7"/>
        <v>2.1610631333333332</v>
      </c>
      <c r="F44" s="128">
        <f t="shared" si="8"/>
        <v>15.743563133333334</v>
      </c>
      <c r="G44" s="140">
        <f t="shared" si="9"/>
        <v>4.9020000000000001</v>
      </c>
    </row>
    <row r="45" spans="1:13" x14ac:dyDescent="0.25">
      <c r="A45" s="140"/>
      <c r="B45" s="140"/>
      <c r="C45" s="140"/>
      <c r="D45" s="140"/>
      <c r="E45" s="140"/>
      <c r="F45" s="140"/>
      <c r="G45" s="140"/>
    </row>
    <row r="46" spans="1:13" x14ac:dyDescent="0.25">
      <c r="A46" s="140" t="s">
        <v>191</v>
      </c>
      <c r="B46" s="136" t="s">
        <v>192</v>
      </c>
      <c r="C46" s="140" t="s">
        <v>193</v>
      </c>
      <c r="D46" s="140" t="s">
        <v>194</v>
      </c>
      <c r="E46" s="140" t="s">
        <v>195</v>
      </c>
      <c r="F46" s="135" t="s">
        <v>165</v>
      </c>
      <c r="G46" s="140" t="s">
        <v>171</v>
      </c>
    </row>
    <row r="47" spans="1:13" x14ac:dyDescent="0.25">
      <c r="A47" s="128">
        <f t="shared" ref="A47:A53" si="10">IF(0.5*dc/C38&lt;=212,0.374/(1+0.01*0.5*dc/C38)^0.5,0.315/(0.1+0.01*0.5*dc/C38)^0.5)</f>
        <v>0.13165058955150044</v>
      </c>
      <c r="B47" s="158">
        <f t="shared" ref="B47:B53" si="11">(G38/(Es*10^4))*(0.5*dc/C38)^1.5</f>
        <v>0</v>
      </c>
      <c r="C47" s="128">
        <f>A47+(0.45-A47)*(B47/(B47+0.007))</f>
        <v>0.13165058955150044</v>
      </c>
      <c r="D47" s="128">
        <f t="shared" ref="D47:D53" si="12">C47*Es*C38*0.1/(rad*100)</f>
        <v>0.49149553432560167</v>
      </c>
      <c r="E47" s="128">
        <f>IF(D47&lt;$J$3*3/8,D47/1.5,$J$3*(1-0.347*($J$3/D47)^0.6)/1.5)</f>
        <v>0.32766368955040109</v>
      </c>
      <c r="F47" s="128">
        <f>F38/(C38*0.001)*(10^-4)</f>
        <v>4.2187500000000003E-3</v>
      </c>
      <c r="G47" s="141" t="str">
        <f>IF(E47&gt;F47,"OK","NOT OK")</f>
        <v>OK</v>
      </c>
    </row>
    <row r="48" spans="1:13" x14ac:dyDescent="0.25">
      <c r="A48" s="128">
        <f t="shared" si="10"/>
        <v>0.13165058955150044</v>
      </c>
      <c r="B48" s="158">
        <f t="shared" si="11"/>
        <v>0</v>
      </c>
      <c r="C48" s="128">
        <f t="shared" ref="C48:C53" si="13">A48+(0.45-A48)*(B48/(B48+0.007))</f>
        <v>0.13165058955150044</v>
      </c>
      <c r="D48" s="128">
        <f t="shared" si="12"/>
        <v>0.49149553432560167</v>
      </c>
      <c r="E48" s="128">
        <f t="shared" ref="E48:E53" si="14">IF(D48&lt;$J$3*3/8,D48/1.5,$J$3*(1-0.347*($J$3/D48)^0.6)/1.5)</f>
        <v>0.32766368955040109</v>
      </c>
      <c r="F48" s="128">
        <f t="shared" ref="F48:F53" si="15">F39/(C39*0.001)*(10^-4)</f>
        <v>5.9442148888888902E-3</v>
      </c>
      <c r="G48" s="141" t="str">
        <f t="shared" ref="G48:G53" si="16">IF(E48&gt;F48,"OK","NOT OK")</f>
        <v>OK</v>
      </c>
    </row>
    <row r="49" spans="1:7" x14ac:dyDescent="0.25">
      <c r="A49" s="128">
        <f t="shared" si="10"/>
        <v>0.16691360396296331</v>
      </c>
      <c r="B49" s="158">
        <f t="shared" si="11"/>
        <v>2.5761060260835587E-4</v>
      </c>
      <c r="C49" s="128">
        <f t="shared" si="13"/>
        <v>0.17696182245612957</v>
      </c>
      <c r="D49" s="128">
        <f t="shared" si="12"/>
        <v>1.0735683895671861</v>
      </c>
      <c r="E49" s="128">
        <f t="shared" si="14"/>
        <v>0.60973215193042318</v>
      </c>
      <c r="F49" s="128">
        <f t="shared" si="15"/>
        <v>5.574845068376068E-3</v>
      </c>
      <c r="G49" s="141" t="str">
        <f t="shared" si="16"/>
        <v>OK</v>
      </c>
    </row>
    <row r="50" spans="1:7" x14ac:dyDescent="0.25">
      <c r="A50" s="128">
        <f t="shared" si="10"/>
        <v>0.19535470697800331</v>
      </c>
      <c r="B50" s="158">
        <f t="shared" si="11"/>
        <v>5.5528089866051862E-4</v>
      </c>
      <c r="C50" s="128">
        <f t="shared" si="13"/>
        <v>0.21407004914006564</v>
      </c>
      <c r="D50" s="128">
        <f t="shared" si="12"/>
        <v>1.7981884127765513</v>
      </c>
      <c r="E50" s="128">
        <f t="shared" si="14"/>
        <v>0.74377461464462158</v>
      </c>
      <c r="F50" s="128">
        <f t="shared" si="15"/>
        <v>2.2252227333333336E-2</v>
      </c>
      <c r="G50" s="141" t="str">
        <f t="shared" si="16"/>
        <v>OK</v>
      </c>
    </row>
    <row r="51" spans="1:7" x14ac:dyDescent="0.25">
      <c r="A51" s="128">
        <f t="shared" si="10"/>
        <v>0.19535470697800331</v>
      </c>
      <c r="B51" s="158">
        <f t="shared" si="11"/>
        <v>7.6609940933841051E-4</v>
      </c>
      <c r="C51" s="128">
        <f t="shared" si="13"/>
        <v>0.22047460286040449</v>
      </c>
      <c r="D51" s="128">
        <f t="shared" si="12"/>
        <v>1.8519866640273976</v>
      </c>
      <c r="E51" s="128">
        <f t="shared" si="14"/>
        <v>0.75025372645553023</v>
      </c>
      <c r="F51" s="128">
        <f t="shared" si="15"/>
        <v>4.1985754E-2</v>
      </c>
      <c r="G51" s="141" t="str">
        <f t="shared" si="16"/>
        <v>OK</v>
      </c>
    </row>
    <row r="52" spans="1:7" x14ac:dyDescent="0.25">
      <c r="A52" s="128">
        <f t="shared" si="10"/>
        <v>0.21751091926613708</v>
      </c>
      <c r="B52" s="158">
        <f t="shared" si="11"/>
        <v>6.1706044104287247E-4</v>
      </c>
      <c r="C52" s="128">
        <f t="shared" si="13"/>
        <v>0.23634493217776995</v>
      </c>
      <c r="D52" s="128">
        <f t="shared" si="12"/>
        <v>2.5367689387080641</v>
      </c>
      <c r="E52" s="128">
        <f t="shared" si="14"/>
        <v>0.81271461232206155</v>
      </c>
      <c r="F52" s="128">
        <f t="shared" si="15"/>
        <v>5.5401600980676341E-2</v>
      </c>
      <c r="G52" s="141" t="str">
        <f t="shared" si="16"/>
        <v>OK</v>
      </c>
    </row>
    <row r="53" spans="1:7" x14ac:dyDescent="0.25">
      <c r="A53" s="128">
        <f t="shared" si="10"/>
        <v>0.21751091926613708</v>
      </c>
      <c r="B53" s="158">
        <f t="shared" si="11"/>
        <v>6.3882371319792211E-4</v>
      </c>
      <c r="C53" s="128">
        <f t="shared" si="13"/>
        <v>0.23695364283308815</v>
      </c>
      <c r="D53" s="128">
        <f t="shared" si="12"/>
        <v>2.5433024330751461</v>
      </c>
      <c r="E53" s="128">
        <f t="shared" si="14"/>
        <v>0.81317820666719787</v>
      </c>
      <c r="F53" s="128">
        <f t="shared" si="15"/>
        <v>6.8450274492753621E-2</v>
      </c>
      <c r="G53" s="141" t="str">
        <f t="shared" si="16"/>
        <v>OK</v>
      </c>
    </row>
    <row r="54" spans="1:7" x14ac:dyDescent="0.25">
      <c r="A54" s="37"/>
    </row>
  </sheetData>
  <mergeCells count="3">
    <mergeCell ref="A13:G13"/>
    <mergeCell ref="A14:G14"/>
    <mergeCell ref="A24:G2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21"/>
  <sheetViews>
    <sheetView topLeftCell="A82" zoomScaleNormal="100" workbookViewId="0">
      <selection activeCell="E111" sqref="E111"/>
    </sheetView>
  </sheetViews>
  <sheetFormatPr defaultRowHeight="15" x14ac:dyDescent="0.25"/>
  <cols>
    <col min="1" max="1" width="6.7109375" customWidth="1"/>
    <col min="2" max="2" width="7.140625" customWidth="1"/>
    <col min="3" max="3" width="6.7109375" customWidth="1"/>
    <col min="4" max="4" width="17.7109375" customWidth="1"/>
    <col min="5" max="5" width="14.7109375" bestFit="1" customWidth="1"/>
    <col min="6" max="6" width="14.28515625" customWidth="1"/>
    <col min="7" max="7" width="14.85546875" bestFit="1" customWidth="1"/>
    <col min="8" max="8" width="15.42578125" customWidth="1"/>
    <col min="9" max="9" width="14.7109375" bestFit="1" customWidth="1"/>
    <col min="10" max="10" width="14.28515625" customWidth="1"/>
  </cols>
  <sheetData>
    <row r="2" spans="1:10" x14ac:dyDescent="0.25">
      <c r="A2" t="s">
        <v>196</v>
      </c>
    </row>
    <row r="4" spans="1:10" x14ac:dyDescent="0.25">
      <c r="A4" s="5" t="s">
        <v>198</v>
      </c>
    </row>
    <row r="8" spans="1:10" x14ac:dyDescent="0.25">
      <c r="A8" t="s">
        <v>200</v>
      </c>
      <c r="F8" s="11">
        <v>25</v>
      </c>
      <c r="G8" t="s">
        <v>24</v>
      </c>
    </row>
    <row r="9" spans="1:10" x14ac:dyDescent="0.25">
      <c r="A9" t="s">
        <v>201</v>
      </c>
      <c r="F9">
        <f>F8-2</f>
        <v>23</v>
      </c>
      <c r="G9" t="s">
        <v>24</v>
      </c>
    </row>
    <row r="10" spans="1:10" x14ac:dyDescent="0.25">
      <c r="A10" t="s">
        <v>199</v>
      </c>
      <c r="F10" s="104">
        <f>0.5*dc/F9</f>
        <v>195.65217391304347</v>
      </c>
      <c r="G10" t="s">
        <v>69</v>
      </c>
      <c r="H10" s="37" t="str">
        <f>IF(F10&lt;=I10,"&lt;","&gt;")</f>
        <v>&gt;</v>
      </c>
      <c r="I10" s="104">
        <f>Es/(25*sy)</f>
        <v>50.299401197604787</v>
      </c>
      <c r="J10" s="34" t="str">
        <f>IF(H10="&gt;","Buckling Calculations Needed!","No need to hold buckling calculations")</f>
        <v>Buckling Calculations Needed!</v>
      </c>
    </row>
    <row r="12" spans="1:10" x14ac:dyDescent="0.25">
      <c r="A12" s="35" t="s">
        <v>215</v>
      </c>
    </row>
    <row r="13" spans="1:10" x14ac:dyDescent="0.25">
      <c r="A13" s="161" t="s">
        <v>197</v>
      </c>
      <c r="B13" s="162"/>
      <c r="C13" s="162"/>
      <c r="D13" s="162"/>
    </row>
    <row r="14" spans="1:10" x14ac:dyDescent="0.25">
      <c r="A14" s="163"/>
      <c r="B14" s="162"/>
      <c r="C14" s="162"/>
      <c r="D14" s="162"/>
    </row>
    <row r="15" spans="1:10" x14ac:dyDescent="0.25">
      <c r="A15" s="162"/>
      <c r="B15" s="162"/>
      <c r="C15" s="162"/>
      <c r="D15" s="162"/>
    </row>
    <row r="16" spans="1:10" x14ac:dyDescent="0.25">
      <c r="A16" s="162"/>
      <c r="B16" s="162"/>
      <c r="C16" s="162"/>
      <c r="D16" s="162"/>
    </row>
    <row r="17" spans="1:8" x14ac:dyDescent="0.25">
      <c r="A17" s="162"/>
      <c r="B17" s="162"/>
      <c r="C17" s="162"/>
      <c r="D17" s="162"/>
    </row>
    <row r="18" spans="1:8" x14ac:dyDescent="0.25">
      <c r="A18" s="162"/>
      <c r="B18" s="162"/>
      <c r="C18" s="162"/>
      <c r="D18" s="162"/>
    </row>
    <row r="19" spans="1:8" x14ac:dyDescent="0.25">
      <c r="A19" s="162"/>
      <c r="B19" s="162"/>
      <c r="C19" s="162"/>
      <c r="D19" s="162"/>
    </row>
    <row r="20" spans="1:8" x14ac:dyDescent="0.25">
      <c r="A20" s="162"/>
      <c r="B20" s="162"/>
      <c r="C20" s="162"/>
      <c r="D20" s="162"/>
    </row>
    <row r="21" spans="1:8" x14ac:dyDescent="0.25">
      <c r="A21" s="162"/>
      <c r="B21" s="162"/>
      <c r="C21" s="162"/>
      <c r="D21" s="162"/>
    </row>
    <row r="22" spans="1:8" x14ac:dyDescent="0.25">
      <c r="A22" s="164" t="s">
        <v>537</v>
      </c>
      <c r="B22" s="162"/>
      <c r="C22" s="162"/>
      <c r="D22" s="162">
        <f>1</f>
        <v>1</v>
      </c>
    </row>
    <row r="23" spans="1:8" x14ac:dyDescent="0.25">
      <c r="A23" s="161" t="s">
        <v>202</v>
      </c>
      <c r="B23" s="162"/>
      <c r="C23" s="162"/>
      <c r="D23" s="162"/>
    </row>
    <row r="24" spans="1:8" x14ac:dyDescent="0.25">
      <c r="A24" s="13" t="s">
        <v>204</v>
      </c>
      <c r="B24" s="140" t="s">
        <v>203</v>
      </c>
      <c r="C24" s="140" t="s">
        <v>161</v>
      </c>
      <c r="D24" s="140" t="s">
        <v>205</v>
      </c>
      <c r="E24" s="140" t="s">
        <v>206</v>
      </c>
      <c r="F24" s="140" t="s">
        <v>207</v>
      </c>
      <c r="G24" s="140" t="s">
        <v>208</v>
      </c>
      <c r="H24" s="148" t="s">
        <v>209</v>
      </c>
    </row>
    <row r="25" spans="1:8" x14ac:dyDescent="0.25">
      <c r="A25" s="140">
        <v>1</v>
      </c>
      <c r="B25" s="140">
        <f>('Preliminary Design'!$B$4-'Preliminary Design'!$B$10)*1000</f>
        <v>12000</v>
      </c>
      <c r="C25" s="122">
        <f>'Preliminary Design'!C10</f>
        <v>25</v>
      </c>
      <c r="D25" s="140">
        <f>C25-2</f>
        <v>23</v>
      </c>
      <c r="E25" s="128">
        <f t="shared" ref="E25:E30" si="0">B25/(0.5*dc)</f>
        <v>2.6666666666666665</v>
      </c>
      <c r="F25" s="140" t="str">
        <f t="shared" ref="F25:F30" si="1">IF(E25&lt;=0.5*(0.5*dc/D25)^0.5,"Short Cylinders","Long Cylinders")</f>
        <v>Short Cylinders</v>
      </c>
      <c r="G25" s="128">
        <f t="shared" ref="G25:G30" si="2">IF(F25="Short Cylinders",1+1.5*(0.5*dc/B25)^2*(D25/(0.5*dc)),1-(0.4*(B25/(0.5*dc))*(D25/(0.5*dc))^0.5-0.2)/$D$22)</f>
        <v>1.001078125</v>
      </c>
      <c r="H25" s="159">
        <f t="shared" ref="H25:H30" si="3">0.605*G25*Es*(D25/(0.5*dc))</f>
        <v>6.5006676510416668</v>
      </c>
    </row>
    <row r="26" spans="1:8" x14ac:dyDescent="0.25">
      <c r="A26" s="140">
        <v>2</v>
      </c>
      <c r="B26" s="140">
        <f>('Preliminary Design'!$B$4-'Preliminary Design'!$B$10)*1000</f>
        <v>12000</v>
      </c>
      <c r="C26" s="122">
        <f>'Preliminary Design'!C9</f>
        <v>25</v>
      </c>
      <c r="D26" s="140">
        <f t="shared" ref="D26:D30" si="4">C26-2</f>
        <v>23</v>
      </c>
      <c r="E26" s="128">
        <f t="shared" si="0"/>
        <v>2.6666666666666665</v>
      </c>
      <c r="F26" s="140" t="str">
        <f t="shared" si="1"/>
        <v>Short Cylinders</v>
      </c>
      <c r="G26" s="128">
        <f t="shared" si="2"/>
        <v>1.001078125</v>
      </c>
      <c r="H26" s="159">
        <f t="shared" si="3"/>
        <v>6.5006676510416668</v>
      </c>
    </row>
    <row r="27" spans="1:8" x14ac:dyDescent="0.25">
      <c r="A27" s="140">
        <v>3</v>
      </c>
      <c r="B27" s="140">
        <f>('Preliminary Design'!$B$4-'Preliminary Design'!$B$10)*1000</f>
        <v>12000</v>
      </c>
      <c r="C27" s="122">
        <f>'Preliminary Design'!C8</f>
        <v>20</v>
      </c>
      <c r="D27" s="140">
        <f t="shared" si="4"/>
        <v>18</v>
      </c>
      <c r="E27" s="128">
        <f t="shared" si="0"/>
        <v>2.6666666666666665</v>
      </c>
      <c r="F27" s="140" t="str">
        <f t="shared" si="1"/>
        <v>Short Cylinders</v>
      </c>
      <c r="G27" s="128">
        <f t="shared" si="2"/>
        <v>1.00084375</v>
      </c>
      <c r="H27" s="159">
        <f t="shared" si="3"/>
        <v>5.0862879375000007</v>
      </c>
    </row>
    <row r="28" spans="1:8" x14ac:dyDescent="0.25">
      <c r="A28" s="140">
        <v>4</v>
      </c>
      <c r="B28" s="140">
        <f>('Preliminary Design'!$B$4-'Preliminary Design'!$B$10)*1000</f>
        <v>12000</v>
      </c>
      <c r="C28" s="122">
        <f>'Preliminary Design'!C7</f>
        <v>20</v>
      </c>
      <c r="D28" s="140">
        <f t="shared" si="4"/>
        <v>18</v>
      </c>
      <c r="E28" s="128">
        <f t="shared" si="0"/>
        <v>2.6666666666666665</v>
      </c>
      <c r="F28" s="140" t="str">
        <f t="shared" si="1"/>
        <v>Short Cylinders</v>
      </c>
      <c r="G28" s="128">
        <f t="shared" si="2"/>
        <v>1.00084375</v>
      </c>
      <c r="H28" s="159">
        <f t="shared" si="3"/>
        <v>5.0862879375000007</v>
      </c>
    </row>
    <row r="29" spans="1:8" x14ac:dyDescent="0.25">
      <c r="A29" s="140">
        <v>5</v>
      </c>
      <c r="B29" s="140">
        <f>('Preliminary Design'!$B$4-'Preliminary Design'!$B$10)*1000</f>
        <v>12000</v>
      </c>
      <c r="C29" s="122">
        <f>'Preliminary Design'!C6</f>
        <v>15</v>
      </c>
      <c r="D29" s="140">
        <f t="shared" si="4"/>
        <v>13</v>
      </c>
      <c r="E29" s="128">
        <f t="shared" si="0"/>
        <v>2.6666666666666665</v>
      </c>
      <c r="F29" s="140" t="str">
        <f t="shared" si="1"/>
        <v>Short Cylinders</v>
      </c>
      <c r="G29" s="128">
        <f t="shared" si="2"/>
        <v>1.000609375</v>
      </c>
      <c r="H29" s="159">
        <f t="shared" si="3"/>
        <v>3.6725699427083329</v>
      </c>
    </row>
    <row r="30" spans="1:8" x14ac:dyDescent="0.25">
      <c r="A30" s="140">
        <v>6</v>
      </c>
      <c r="B30" s="140">
        <f>('Preliminary Design'!$B$4-'Preliminary Design'!$B$10)*1000</f>
        <v>12000</v>
      </c>
      <c r="C30" s="122">
        <f>'Preliminary Design'!C5</f>
        <v>10</v>
      </c>
      <c r="D30" s="140">
        <f t="shared" si="4"/>
        <v>8</v>
      </c>
      <c r="E30" s="128">
        <f t="shared" si="0"/>
        <v>2.6666666666666665</v>
      </c>
      <c r="F30" s="140" t="str">
        <f t="shared" si="1"/>
        <v>Short Cylinders</v>
      </c>
      <c r="G30" s="128">
        <f t="shared" si="2"/>
        <v>1.000375</v>
      </c>
      <c r="H30" s="159">
        <f t="shared" si="3"/>
        <v>2.2595136666666669</v>
      </c>
    </row>
    <row r="31" spans="1:8" x14ac:dyDescent="0.25">
      <c r="B31" s="82"/>
    </row>
    <row r="35" spans="1:10" ht="18.75" x14ac:dyDescent="0.3">
      <c r="A35" s="13" t="s">
        <v>204</v>
      </c>
      <c r="B35" s="140" t="s">
        <v>161</v>
      </c>
      <c r="C35" s="140" t="s">
        <v>205</v>
      </c>
      <c r="D35" s="148" t="s">
        <v>209</v>
      </c>
      <c r="E35" s="160" t="s">
        <v>210</v>
      </c>
      <c r="F35" s="160" t="s">
        <v>211</v>
      </c>
      <c r="G35" s="148" t="s">
        <v>212</v>
      </c>
      <c r="H35" s="136" t="s">
        <v>214</v>
      </c>
      <c r="I35" s="148" t="s">
        <v>213</v>
      </c>
      <c r="J35" s="127" t="s">
        <v>538</v>
      </c>
    </row>
    <row r="36" spans="1:10" x14ac:dyDescent="0.25">
      <c r="A36" s="140">
        <v>1</v>
      </c>
      <c r="B36" s="140">
        <f>C25</f>
        <v>25</v>
      </c>
      <c r="C36" s="140">
        <f>D25</f>
        <v>23</v>
      </c>
      <c r="D36" s="128">
        <f>H25</f>
        <v>6.5006676510416668</v>
      </c>
      <c r="E36" s="128">
        <f t="shared" ref="E36:E41" si="5">(sy/D36)^0.5</f>
        <v>0.50684977028664502</v>
      </c>
      <c r="F36" s="128">
        <f>IF(E36&lt;=0.25,1,1.233-0.933*E36)</f>
        <v>0.76010916432256026</v>
      </c>
      <c r="G36" s="128">
        <f t="shared" ref="G36:G41" si="6">F36*sy</f>
        <v>1.2693823044186756</v>
      </c>
      <c r="H36" s="128">
        <f>IF(E36&lt;=0.25,1.1,IF(E36&lt;2,1.1*(1+0.318*((E36-0.25)/1.75)),1.45))</f>
        <v>1.1513405997978678</v>
      </c>
      <c r="I36" s="128">
        <f>G36/H36</f>
        <v>1.1025254426375057</v>
      </c>
      <c r="J36" s="127">
        <v>-0.54400000000000004</v>
      </c>
    </row>
    <row r="37" spans="1:10" x14ac:dyDescent="0.25">
      <c r="A37" s="140">
        <v>2</v>
      </c>
      <c r="B37" s="140">
        <f t="shared" ref="B37:C41" si="7">C26</f>
        <v>25</v>
      </c>
      <c r="C37" s="140">
        <f t="shared" si="7"/>
        <v>23</v>
      </c>
      <c r="D37" s="128">
        <f t="shared" ref="D37:D41" si="8">H26</f>
        <v>6.5006676510416668</v>
      </c>
      <c r="E37" s="128">
        <f t="shared" si="5"/>
        <v>0.50684977028664502</v>
      </c>
      <c r="F37" s="128">
        <f t="shared" ref="F37:F41" si="9">IF(E37&lt;=0.25,1,1.233-0.933*E37)</f>
        <v>0.76010916432256026</v>
      </c>
      <c r="G37" s="128">
        <f t="shared" si="6"/>
        <v>1.2693823044186756</v>
      </c>
      <c r="H37" s="128">
        <f t="shared" ref="H37:H41" si="10">IF(E37&lt;=0.25,1.1,IF(E37&lt;2,1.1*(1+0.318*((E37-0.25)/1.75)),1.45))</f>
        <v>1.1513405997978678</v>
      </c>
      <c r="I37" s="128">
        <f t="shared" ref="I37:I41" si="11">G37/H37</f>
        <v>1.1025254426375057</v>
      </c>
      <c r="J37" s="127">
        <v>-0.26900000000000002</v>
      </c>
    </row>
    <row r="38" spans="1:10" x14ac:dyDescent="0.25">
      <c r="A38" s="140">
        <v>3</v>
      </c>
      <c r="B38" s="140">
        <f t="shared" si="7"/>
        <v>20</v>
      </c>
      <c r="C38" s="140">
        <f t="shared" si="7"/>
        <v>18</v>
      </c>
      <c r="D38" s="128">
        <f t="shared" si="8"/>
        <v>5.0862879375000007</v>
      </c>
      <c r="E38" s="128">
        <f t="shared" si="5"/>
        <v>0.57300414619212348</v>
      </c>
      <c r="F38" s="128">
        <f t="shared" si="9"/>
        <v>0.6983871316027489</v>
      </c>
      <c r="G38" s="128">
        <f t="shared" si="6"/>
        <v>1.1663065097765906</v>
      </c>
      <c r="H38" s="128">
        <f t="shared" si="10"/>
        <v>1.16456391447886</v>
      </c>
      <c r="I38" s="128">
        <f t="shared" si="11"/>
        <v>1.0014963500723877</v>
      </c>
      <c r="J38" s="127">
        <v>-0.23100000000000001</v>
      </c>
    </row>
    <row r="39" spans="1:10" x14ac:dyDescent="0.25">
      <c r="A39" s="140">
        <v>4</v>
      </c>
      <c r="B39" s="140">
        <f t="shared" si="7"/>
        <v>20</v>
      </c>
      <c r="C39" s="140">
        <f t="shared" si="7"/>
        <v>18</v>
      </c>
      <c r="D39" s="128">
        <f t="shared" si="8"/>
        <v>5.0862879375000007</v>
      </c>
      <c r="E39" s="128">
        <f t="shared" si="5"/>
        <v>0.57300414619212348</v>
      </c>
      <c r="F39" s="128">
        <f t="shared" si="9"/>
        <v>0.6983871316027489</v>
      </c>
      <c r="G39" s="128">
        <f t="shared" si="6"/>
        <v>1.1663065097765906</v>
      </c>
      <c r="H39" s="128">
        <f t="shared" si="10"/>
        <v>1.16456391447886</v>
      </c>
      <c r="I39" s="128">
        <f t="shared" si="11"/>
        <v>1.0014963500723877</v>
      </c>
      <c r="J39" s="127">
        <v>-0.23100000000000001</v>
      </c>
    </row>
    <row r="40" spans="1:10" x14ac:dyDescent="0.25">
      <c r="A40" s="140">
        <v>5</v>
      </c>
      <c r="B40" s="140">
        <f t="shared" si="7"/>
        <v>15</v>
      </c>
      <c r="C40" s="140">
        <f t="shared" si="7"/>
        <v>13</v>
      </c>
      <c r="D40" s="128">
        <f t="shared" si="8"/>
        <v>3.6725699427083329</v>
      </c>
      <c r="E40" s="128">
        <f t="shared" si="5"/>
        <v>0.67433111259678946</v>
      </c>
      <c r="F40" s="128">
        <f t="shared" si="9"/>
        <v>0.6038490719471955</v>
      </c>
      <c r="G40" s="128">
        <f t="shared" si="6"/>
        <v>1.0084279501518165</v>
      </c>
      <c r="H40" s="128">
        <f t="shared" si="10"/>
        <v>1.1848177275350611</v>
      </c>
      <c r="I40" s="128">
        <f t="shared" si="11"/>
        <v>0.85112496776173963</v>
      </c>
      <c r="J40" s="127">
        <v>-0.215</v>
      </c>
    </row>
    <row r="41" spans="1:10" x14ac:dyDescent="0.25">
      <c r="A41" s="140">
        <v>6</v>
      </c>
      <c r="B41" s="140">
        <f t="shared" si="7"/>
        <v>10</v>
      </c>
      <c r="C41" s="140">
        <f t="shared" si="7"/>
        <v>8</v>
      </c>
      <c r="D41" s="128">
        <f t="shared" si="8"/>
        <v>2.2595136666666669</v>
      </c>
      <c r="E41" s="128">
        <f t="shared" si="5"/>
        <v>0.85970756696028705</v>
      </c>
      <c r="F41" s="128">
        <f t="shared" si="9"/>
        <v>0.43089284002605222</v>
      </c>
      <c r="G41" s="128">
        <f t="shared" si="6"/>
        <v>0.71959104284350717</v>
      </c>
      <c r="H41" s="128">
        <f t="shared" si="10"/>
        <v>1.2218718325272619</v>
      </c>
      <c r="I41" s="128">
        <f t="shared" si="11"/>
        <v>0.58892514230002269</v>
      </c>
      <c r="J41" s="127">
        <v>-0.192</v>
      </c>
    </row>
    <row r="43" spans="1:10" x14ac:dyDescent="0.25">
      <c r="E43" s="165"/>
    </row>
    <row r="44" spans="1:10" x14ac:dyDescent="0.25">
      <c r="A44" s="35" t="s">
        <v>216</v>
      </c>
    </row>
    <row r="46" spans="1:10" x14ac:dyDescent="0.25">
      <c r="A46" s="5" t="s">
        <v>217</v>
      </c>
    </row>
    <row r="48" spans="1:10" x14ac:dyDescent="0.25">
      <c r="A48" s="13" t="s">
        <v>218</v>
      </c>
      <c r="B48" s="13" t="s">
        <v>219</v>
      </c>
      <c r="D48" s="140" t="s">
        <v>220</v>
      </c>
      <c r="E48" s="13" t="s">
        <v>221</v>
      </c>
      <c r="F48" s="13" t="s">
        <v>229</v>
      </c>
    </row>
    <row r="49" spans="1:7" x14ac:dyDescent="0.25">
      <c r="A49" s="168">
        <f>'Preliminary Design'!B10</f>
        <v>3.8</v>
      </c>
      <c r="B49" s="166">
        <f>'Preliminary Design'!C10</f>
        <v>25</v>
      </c>
      <c r="C49" s="37"/>
      <c r="D49" s="140">
        <v>1</v>
      </c>
      <c r="E49" s="140">
        <f>(A60-A59)*1000</f>
        <v>4500</v>
      </c>
      <c r="F49" s="122">
        <f>B59</f>
        <v>10</v>
      </c>
    </row>
    <row r="50" spans="1:7" x14ac:dyDescent="0.25">
      <c r="A50" s="169">
        <f>'Preliminary Design'!B9</f>
        <v>5.3</v>
      </c>
      <c r="B50" s="167">
        <f>'Preliminary Design'!C10</f>
        <v>25</v>
      </c>
      <c r="C50" s="37"/>
      <c r="D50" s="140">
        <v>2</v>
      </c>
      <c r="E50" s="140">
        <f>(A58-A57)*1000</f>
        <v>1500</v>
      </c>
      <c r="F50" s="122">
        <f>B57</f>
        <v>15</v>
      </c>
    </row>
    <row r="51" spans="1:7" x14ac:dyDescent="0.25">
      <c r="A51" s="168">
        <f>'Preliminary Design'!B9</f>
        <v>5.3</v>
      </c>
      <c r="B51" s="166">
        <f>'Preliminary Design'!C9</f>
        <v>25</v>
      </c>
      <c r="C51" s="37"/>
      <c r="D51" s="140">
        <v>3</v>
      </c>
      <c r="E51" s="140">
        <f>(A56-A55)*1000</f>
        <v>1500</v>
      </c>
      <c r="F51" s="140">
        <f>B55</f>
        <v>20</v>
      </c>
    </row>
    <row r="52" spans="1:7" x14ac:dyDescent="0.25">
      <c r="A52" s="169">
        <f>'Preliminary Design'!B8</f>
        <v>6.8</v>
      </c>
      <c r="B52" s="167">
        <f>'Preliminary Design'!C9</f>
        <v>25</v>
      </c>
      <c r="C52" s="37"/>
      <c r="D52" s="140">
        <v>4</v>
      </c>
      <c r="E52" s="140">
        <f>(A54-A53)*1000</f>
        <v>1500.0000000000009</v>
      </c>
      <c r="F52" s="140">
        <f>B53</f>
        <v>20</v>
      </c>
    </row>
    <row r="53" spans="1:7" x14ac:dyDescent="0.25">
      <c r="A53" s="168">
        <f>'Preliminary Design'!B8</f>
        <v>6.8</v>
      </c>
      <c r="B53" s="166">
        <f>'Preliminary Design'!C8</f>
        <v>20</v>
      </c>
      <c r="C53" s="37"/>
      <c r="D53" s="140">
        <v>5</v>
      </c>
      <c r="E53" s="140">
        <f>(A52-A51)*1000</f>
        <v>1500</v>
      </c>
      <c r="F53" s="140">
        <f>B51</f>
        <v>25</v>
      </c>
    </row>
    <row r="54" spans="1:7" x14ac:dyDescent="0.25">
      <c r="A54" s="169">
        <f>'Preliminary Design'!B7</f>
        <v>8.3000000000000007</v>
      </c>
      <c r="B54" s="167">
        <f>'Preliminary Design'!C8</f>
        <v>20</v>
      </c>
      <c r="C54" s="37"/>
      <c r="D54" s="140">
        <v>6</v>
      </c>
      <c r="E54" s="140">
        <f>(A50-A49)*1000</f>
        <v>1500</v>
      </c>
      <c r="F54" s="140">
        <f>B49</f>
        <v>25</v>
      </c>
    </row>
    <row r="55" spans="1:7" x14ac:dyDescent="0.25">
      <c r="A55" s="168">
        <f>'Preliminary Design'!B7</f>
        <v>8.3000000000000007</v>
      </c>
      <c r="B55" s="166">
        <f>'Preliminary Design'!C7</f>
        <v>20</v>
      </c>
      <c r="C55" s="37"/>
      <c r="D55" s="141" t="s">
        <v>222</v>
      </c>
      <c r="E55" s="141">
        <f>SUM(E49:E54)</f>
        <v>12000</v>
      </c>
      <c r="F55" s="13"/>
    </row>
    <row r="56" spans="1:7" x14ac:dyDescent="0.25">
      <c r="A56" s="169">
        <f>'Preliminary Design'!B6</f>
        <v>9.8000000000000007</v>
      </c>
      <c r="B56" s="167">
        <f>'Preliminary Design'!C7</f>
        <v>20</v>
      </c>
      <c r="C56" s="37"/>
      <c r="D56" s="37"/>
    </row>
    <row r="57" spans="1:7" x14ac:dyDescent="0.25">
      <c r="A57" s="168">
        <f>'Preliminary Design'!B6</f>
        <v>9.8000000000000007</v>
      </c>
      <c r="B57" s="166">
        <f>'Preliminary Design'!C6</f>
        <v>15</v>
      </c>
      <c r="C57" s="37"/>
      <c r="D57" s="37"/>
    </row>
    <row r="58" spans="1:7" x14ac:dyDescent="0.25">
      <c r="A58" s="169">
        <f>'Preliminary Design'!B5</f>
        <v>11.3</v>
      </c>
      <c r="B58" s="167">
        <f>'Preliminary Design'!C6</f>
        <v>15</v>
      </c>
    </row>
    <row r="59" spans="1:7" x14ac:dyDescent="0.25">
      <c r="A59" s="168">
        <f>'Preliminary Design'!B5</f>
        <v>11.3</v>
      </c>
      <c r="B59" s="166">
        <f>'Preliminary Design'!C5</f>
        <v>10</v>
      </c>
    </row>
    <row r="60" spans="1:7" x14ac:dyDescent="0.25">
      <c r="A60" s="169">
        <f>'Preliminary Design'!B4</f>
        <v>15.8</v>
      </c>
      <c r="B60" s="167">
        <f>'Preliminary Design'!C5</f>
        <v>10</v>
      </c>
    </row>
    <row r="61" spans="1:7" x14ac:dyDescent="0.25">
      <c r="A61" s="37"/>
      <c r="B61" s="37"/>
    </row>
    <row r="62" spans="1:7" x14ac:dyDescent="0.25">
      <c r="A62" s="37"/>
      <c r="B62" s="5"/>
      <c r="D62" s="95" t="s">
        <v>224</v>
      </c>
    </row>
    <row r="64" spans="1:7" x14ac:dyDescent="0.25">
      <c r="B64" s="96" t="s">
        <v>225</v>
      </c>
      <c r="E64">
        <f>E49+E50</f>
        <v>6000</v>
      </c>
      <c r="F64" t="s">
        <v>24</v>
      </c>
      <c r="G64" s="34" t="str">
        <f>IF(E64&lt;=E55/3,"lo&lt;=l/3","l/3&lt;lo&lt;l/2")</f>
        <v>l/3&lt;lo&lt;l/2</v>
      </c>
    </row>
    <row r="65" spans="2:6" x14ac:dyDescent="0.25">
      <c r="B65" s="96" t="s">
        <v>223</v>
      </c>
      <c r="E65" s="39">
        <f>(E49*B59+E50*B57)/E64</f>
        <v>11.25</v>
      </c>
      <c r="F65" t="s">
        <v>24</v>
      </c>
    </row>
    <row r="66" spans="2:6" x14ac:dyDescent="0.25">
      <c r="B66" s="96" t="s">
        <v>226</v>
      </c>
      <c r="E66">
        <f>IF(E64&lt;=E55/3,E64,0.5*(E55-E64))</f>
        <v>3000</v>
      </c>
      <c r="F66" t="s">
        <v>24</v>
      </c>
    </row>
    <row r="67" spans="2:6" x14ac:dyDescent="0.25">
      <c r="B67" s="96" t="s">
        <v>227</v>
      </c>
      <c r="E67">
        <f>IF(E64&lt;E55/3,E55-2*E64,0.5*(E55-E64))</f>
        <v>3000</v>
      </c>
      <c r="F67" t="s">
        <v>24</v>
      </c>
    </row>
    <row r="68" spans="2:6" x14ac:dyDescent="0.25">
      <c r="B68" s="96" t="s">
        <v>228</v>
      </c>
      <c r="E68" s="39">
        <f>(E51*F51+(E66-E51)*F52)/E66</f>
        <v>20</v>
      </c>
      <c r="F68" t="s">
        <v>24</v>
      </c>
    </row>
    <row r="69" spans="2:6" x14ac:dyDescent="0.25">
      <c r="B69" s="96" t="s">
        <v>230</v>
      </c>
      <c r="E69" s="39">
        <f>(((E49+E50+E51+E52)-(E64+E66))*F52+E53*F53+E54*F54)/E67</f>
        <v>25</v>
      </c>
      <c r="F69" t="s">
        <v>24</v>
      </c>
    </row>
    <row r="74" spans="2:6" ht="15.75" thickBot="1" x14ac:dyDescent="0.3"/>
    <row r="75" spans="2:6" x14ac:dyDescent="0.25">
      <c r="B75" s="97" t="s">
        <v>231</v>
      </c>
      <c r="C75" s="87" t="s">
        <v>232</v>
      </c>
      <c r="D75" s="87"/>
      <c r="E75" s="87"/>
      <c r="F75" s="88"/>
    </row>
    <row r="76" spans="2:6" ht="15.75" thickBot="1" x14ac:dyDescent="0.3">
      <c r="B76" s="90">
        <f>E64/(0.75*0.5*dc)</f>
        <v>1.7777777777777777</v>
      </c>
      <c r="C76" s="91">
        <f>1.63*(0.5*dc/E65)^0.5</f>
        <v>32.599999999999994</v>
      </c>
      <c r="D76" s="98" t="str">
        <f>IF(B76&lt;=C76,"Short and Moderately Long Cylinders","Long Cylinders")</f>
        <v>Short and Moderately Long Cylinders</v>
      </c>
      <c r="E76" s="93"/>
      <c r="F76" s="99"/>
    </row>
    <row r="78" spans="2:6" x14ac:dyDescent="0.25">
      <c r="B78" s="67" t="s">
        <v>233</v>
      </c>
    </row>
    <row r="79" spans="2:6" x14ac:dyDescent="0.25">
      <c r="B79" s="5" t="s">
        <v>234</v>
      </c>
      <c r="C79" s="41">
        <f>E64/E55</f>
        <v>0.5</v>
      </c>
    </row>
    <row r="80" spans="2:6" x14ac:dyDescent="0.25">
      <c r="B80" s="5" t="s">
        <v>235</v>
      </c>
      <c r="C80" s="41">
        <f>E69/E65</f>
        <v>2.2222222222222223</v>
      </c>
    </row>
    <row r="81" spans="1:14" x14ac:dyDescent="0.25">
      <c r="B81" s="100" t="s">
        <v>236</v>
      </c>
      <c r="C81" s="41">
        <f>E68/E65</f>
        <v>1.7777777777777777</v>
      </c>
    </row>
    <row r="82" spans="1:14" x14ac:dyDescent="0.25">
      <c r="B82" t="s">
        <v>237</v>
      </c>
      <c r="C82" s="115">
        <v>1</v>
      </c>
    </row>
    <row r="83" spans="1:14" x14ac:dyDescent="0.25">
      <c r="B83" s="101" t="s">
        <v>241</v>
      </c>
    </row>
    <row r="84" spans="1:14" ht="18.75" x14ac:dyDescent="0.3">
      <c r="B84" s="13" t="s">
        <v>204</v>
      </c>
      <c r="C84" s="140" t="s">
        <v>161</v>
      </c>
      <c r="D84" s="140" t="s">
        <v>205</v>
      </c>
      <c r="E84" s="148" t="s">
        <v>244</v>
      </c>
      <c r="F84" s="160" t="s">
        <v>238</v>
      </c>
      <c r="G84" s="170" t="s">
        <v>239</v>
      </c>
      <c r="H84" s="148" t="s">
        <v>240</v>
      </c>
      <c r="I84" s="136" t="s">
        <v>214</v>
      </c>
      <c r="J84" s="148" t="s">
        <v>242</v>
      </c>
      <c r="K84" s="127" t="s">
        <v>539</v>
      </c>
    </row>
    <row r="85" spans="1:14" x14ac:dyDescent="0.25">
      <c r="B85" s="140">
        <f>D49</f>
        <v>1</v>
      </c>
      <c r="C85" s="140">
        <f>B36</f>
        <v>25</v>
      </c>
      <c r="D85" s="140">
        <f>D25</f>
        <v>23</v>
      </c>
      <c r="E85" s="128">
        <f t="shared" ref="E85:E90" si="12">($E$65/D85)*0.92*Es*(0.5*dc/($E$64/$C$82))*($E$65/(0.5*dc))^1.5</f>
        <v>8.8593749999999999E-2</v>
      </c>
      <c r="F85" s="128">
        <f t="shared" ref="F85:F90" si="13">(sy/E85)^0.5</f>
        <v>4.3416688247057165</v>
      </c>
      <c r="G85" s="128">
        <f>IF(F85&lt;=0.4,1,IF(F85&lt;1.2,1.274-0.686*F85,0.65/(F85^2)))</f>
        <v>3.4482597305389225E-2</v>
      </c>
      <c r="H85" s="128">
        <f t="shared" ref="H85:H90" si="14">G85*sy</f>
        <v>5.7585937500000003E-2</v>
      </c>
      <c r="I85" s="140">
        <f>1.1</f>
        <v>1.1000000000000001</v>
      </c>
      <c r="J85" s="128">
        <f>H85/I85</f>
        <v>5.2350852272727275E-2</v>
      </c>
      <c r="K85" s="127">
        <v>-3.5000000000000003E-2</v>
      </c>
    </row>
    <row r="86" spans="1:14" x14ac:dyDescent="0.25">
      <c r="B86" s="140">
        <f t="shared" ref="B86:B90" si="15">D50</f>
        <v>2</v>
      </c>
      <c r="C86" s="140">
        <f t="shared" ref="C86:C90" si="16">B37</f>
        <v>25</v>
      </c>
      <c r="D86" s="140">
        <f t="shared" ref="D86:D90" si="17">D26</f>
        <v>23</v>
      </c>
      <c r="E86" s="128">
        <f t="shared" si="12"/>
        <v>8.8593749999999999E-2</v>
      </c>
      <c r="F86" s="128">
        <f t="shared" si="13"/>
        <v>4.3416688247057165</v>
      </c>
      <c r="G86" s="128">
        <f t="shared" ref="G86:G90" si="18">IF(F86&lt;=0.4,1,IF(F86&lt;1.2,1.274-0.686*F86,0.65/(F86^2)))</f>
        <v>3.4482597305389225E-2</v>
      </c>
      <c r="H86" s="128">
        <f t="shared" si="14"/>
        <v>5.7585937500000003E-2</v>
      </c>
      <c r="I86" s="140">
        <f t="shared" ref="I86:I90" si="19">1.1</f>
        <v>1.1000000000000001</v>
      </c>
      <c r="J86" s="128">
        <f t="shared" ref="J86:J90" si="20">H86/I86</f>
        <v>5.2350852272727275E-2</v>
      </c>
      <c r="K86" s="127">
        <v>0</v>
      </c>
    </row>
    <row r="87" spans="1:14" x14ac:dyDescent="0.25">
      <c r="B87" s="140">
        <f t="shared" si="15"/>
        <v>3</v>
      </c>
      <c r="C87" s="140">
        <f t="shared" si="16"/>
        <v>20</v>
      </c>
      <c r="D87" s="140">
        <f t="shared" si="17"/>
        <v>18</v>
      </c>
      <c r="E87" s="128">
        <f t="shared" si="12"/>
        <v>0.11320312500000003</v>
      </c>
      <c r="F87" s="128">
        <f t="shared" si="13"/>
        <v>3.8408648669480634</v>
      </c>
      <c r="G87" s="128">
        <f t="shared" si="18"/>
        <v>4.4061096556886239E-2</v>
      </c>
      <c r="H87" s="128">
        <f t="shared" si="14"/>
        <v>7.3582031250000013E-2</v>
      </c>
      <c r="I87" s="140">
        <f t="shared" si="19"/>
        <v>1.1000000000000001</v>
      </c>
      <c r="J87" s="128">
        <f t="shared" si="20"/>
        <v>6.6892755681818183E-2</v>
      </c>
      <c r="K87" s="127">
        <v>0</v>
      </c>
    </row>
    <row r="88" spans="1:14" x14ac:dyDescent="0.25">
      <c r="B88" s="140">
        <f t="shared" si="15"/>
        <v>4</v>
      </c>
      <c r="C88" s="140">
        <f t="shared" si="16"/>
        <v>20</v>
      </c>
      <c r="D88" s="140">
        <f t="shared" si="17"/>
        <v>18</v>
      </c>
      <c r="E88" s="128">
        <f t="shared" si="12"/>
        <v>0.11320312500000003</v>
      </c>
      <c r="F88" s="128">
        <f t="shared" si="13"/>
        <v>3.8408648669480634</v>
      </c>
      <c r="G88" s="128">
        <f t="shared" si="18"/>
        <v>4.4061096556886239E-2</v>
      </c>
      <c r="H88" s="128">
        <f t="shared" si="14"/>
        <v>7.3582031250000013E-2</v>
      </c>
      <c r="I88" s="140">
        <f t="shared" si="19"/>
        <v>1.1000000000000001</v>
      </c>
      <c r="J88" s="128">
        <f t="shared" si="20"/>
        <v>6.6892755681818183E-2</v>
      </c>
      <c r="K88" s="127">
        <v>0</v>
      </c>
    </row>
    <row r="89" spans="1:14" x14ac:dyDescent="0.25">
      <c r="B89" s="140">
        <f t="shared" si="15"/>
        <v>5</v>
      </c>
      <c r="C89" s="140">
        <f t="shared" si="16"/>
        <v>15</v>
      </c>
      <c r="D89" s="140">
        <f t="shared" si="17"/>
        <v>13</v>
      </c>
      <c r="E89" s="128">
        <f t="shared" si="12"/>
        <v>0.1567427884615385</v>
      </c>
      <c r="F89" s="128">
        <f t="shared" si="13"/>
        <v>3.2641074842735218</v>
      </c>
      <c r="G89" s="128">
        <f t="shared" si="18"/>
        <v>6.1007672155688641E-2</v>
      </c>
      <c r="H89" s="128">
        <f t="shared" si="14"/>
        <v>0.10188281250000003</v>
      </c>
      <c r="I89" s="140">
        <f t="shared" si="19"/>
        <v>1.1000000000000001</v>
      </c>
      <c r="J89" s="128">
        <f t="shared" si="20"/>
        <v>9.262073863636365E-2</v>
      </c>
      <c r="K89" s="127">
        <v>-4.0000000000000001E-3</v>
      </c>
    </row>
    <row r="90" spans="1:14" x14ac:dyDescent="0.25">
      <c r="B90" s="140">
        <f t="shared" si="15"/>
        <v>6</v>
      </c>
      <c r="C90" s="140">
        <f t="shared" si="16"/>
        <v>10</v>
      </c>
      <c r="D90" s="140">
        <f t="shared" si="17"/>
        <v>8</v>
      </c>
      <c r="E90" s="128">
        <f t="shared" si="12"/>
        <v>0.25470703124999999</v>
      </c>
      <c r="F90" s="128">
        <f t="shared" si="13"/>
        <v>2.5605765779653762</v>
      </c>
      <c r="G90" s="128">
        <f t="shared" si="18"/>
        <v>9.9137467252994008E-2</v>
      </c>
      <c r="H90" s="128">
        <f t="shared" si="14"/>
        <v>0.16555957031249999</v>
      </c>
      <c r="I90" s="140">
        <f t="shared" si="19"/>
        <v>1.1000000000000001</v>
      </c>
      <c r="J90" s="128">
        <f t="shared" si="20"/>
        <v>0.15050870028409088</v>
      </c>
      <c r="K90" s="127">
        <v>-9.1999999999999998E-2</v>
      </c>
    </row>
    <row r="91" spans="1:14" ht="15.75" thickBot="1" x14ac:dyDescent="0.3"/>
    <row r="92" spans="1:14" x14ac:dyDescent="0.25">
      <c r="A92" s="86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8"/>
    </row>
    <row r="93" spans="1:14" x14ac:dyDescent="0.25">
      <c r="A93" s="84"/>
      <c r="B93" s="78" t="s">
        <v>243</v>
      </c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89"/>
    </row>
    <row r="94" spans="1:14" x14ac:dyDescent="0.25">
      <c r="A94" s="84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89"/>
    </row>
    <row r="95" spans="1:14" x14ac:dyDescent="0.25">
      <c r="A95" s="84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89"/>
    </row>
    <row r="96" spans="1:14" x14ac:dyDescent="0.25">
      <c r="A96" s="84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89"/>
    </row>
    <row r="97" spans="1:14" x14ac:dyDescent="0.25">
      <c r="A97" s="84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89"/>
    </row>
    <row r="98" spans="1:14" x14ac:dyDescent="0.25">
      <c r="A98" s="84"/>
      <c r="B98" s="103" t="s">
        <v>246</v>
      </c>
      <c r="C98" s="78" t="s">
        <v>250</v>
      </c>
      <c r="D98" s="79"/>
      <c r="E98" s="79"/>
      <c r="F98" s="119">
        <v>1200</v>
      </c>
      <c r="G98" s="79" t="s">
        <v>24</v>
      </c>
      <c r="H98" s="79"/>
      <c r="I98" s="79"/>
      <c r="J98" s="79"/>
      <c r="K98" s="79"/>
      <c r="L98" s="79"/>
      <c r="M98" s="79"/>
      <c r="N98" s="89"/>
    </row>
    <row r="99" spans="1:14" x14ac:dyDescent="0.25">
      <c r="A99" s="84"/>
      <c r="B99" s="103" t="s">
        <v>248</v>
      </c>
      <c r="C99" s="79" t="s">
        <v>251</v>
      </c>
      <c r="D99" s="79"/>
      <c r="E99" s="79"/>
      <c r="F99" s="119">
        <f>600*23</f>
        <v>13800</v>
      </c>
      <c r="G99" s="79" t="s">
        <v>55</v>
      </c>
      <c r="H99" s="79"/>
      <c r="I99" s="79"/>
      <c r="J99" s="79"/>
      <c r="K99" s="79"/>
      <c r="L99" s="79"/>
      <c r="M99" s="79"/>
      <c r="N99" s="89"/>
    </row>
    <row r="100" spans="1:14" x14ac:dyDescent="0.25">
      <c r="A100" s="84"/>
      <c r="B100" s="103" t="s">
        <v>249</v>
      </c>
      <c r="C100" s="78" t="s">
        <v>252</v>
      </c>
      <c r="D100" s="79"/>
      <c r="E100" s="79"/>
      <c r="F100" s="119">
        <v>23</v>
      </c>
      <c r="G100" s="79" t="s">
        <v>24</v>
      </c>
      <c r="H100" s="79"/>
      <c r="I100" s="79"/>
      <c r="J100" s="79"/>
      <c r="K100" s="79"/>
      <c r="L100" s="79"/>
      <c r="M100" s="79"/>
      <c r="N100" s="89"/>
    </row>
    <row r="101" spans="1:14" x14ac:dyDescent="0.25">
      <c r="A101" s="84"/>
      <c r="B101" s="103" t="s">
        <v>253</v>
      </c>
      <c r="C101" s="79" t="s">
        <v>254</v>
      </c>
      <c r="D101" s="79"/>
      <c r="E101" s="79"/>
      <c r="F101" s="79">
        <f>F98-F100</f>
        <v>1177</v>
      </c>
      <c r="G101" s="79" t="s">
        <v>24</v>
      </c>
      <c r="H101" s="79"/>
      <c r="I101" s="79"/>
      <c r="J101" s="79"/>
      <c r="K101" s="79"/>
      <c r="L101" s="79"/>
      <c r="M101" s="79"/>
      <c r="N101" s="89"/>
    </row>
    <row r="102" spans="1:14" x14ac:dyDescent="0.25">
      <c r="A102" s="84"/>
      <c r="B102" s="139" t="s">
        <v>245</v>
      </c>
      <c r="C102" s="78" t="s">
        <v>247</v>
      </c>
      <c r="D102" s="79"/>
      <c r="E102" s="79"/>
      <c r="F102" s="79">
        <f>IF(F101/(dc/2)&gt;=3.12/(0.5*dc/C85)^0.5,1,IF(F101/(0.5*dc)&lt;=1.56/(0.5*dc/C85)^0.5,1-0.85/(1+C85-F98/F99),1-0.85*(2-F101/(1.56*(0.5*dc*C85)^0.5))/(1+(F100+1.56*(0.5*dc*C85)^0.5)*C85/F99)))</f>
        <v>1</v>
      </c>
      <c r="G102" s="79" t="s">
        <v>69</v>
      </c>
      <c r="H102" s="79"/>
      <c r="I102" s="79"/>
      <c r="J102" s="79"/>
      <c r="K102" s="79"/>
      <c r="L102" s="79"/>
      <c r="M102" s="79"/>
      <c r="N102" s="89"/>
    </row>
    <row r="103" spans="1:14" x14ac:dyDescent="0.25">
      <c r="A103" s="84"/>
      <c r="B103" s="103" t="s">
        <v>255</v>
      </c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89"/>
    </row>
    <row r="104" spans="1:14" x14ac:dyDescent="0.25">
      <c r="A104" s="84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89"/>
    </row>
    <row r="105" spans="1:14" x14ac:dyDescent="0.25">
      <c r="A105" s="84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89"/>
    </row>
    <row r="106" spans="1:14" ht="15.75" thickBot="1" x14ac:dyDescent="0.3">
      <c r="A106" s="120"/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9"/>
    </row>
    <row r="109" spans="1:14" x14ac:dyDescent="0.25">
      <c r="A109" s="35" t="s">
        <v>480</v>
      </c>
    </row>
    <row r="115" spans="1:11" x14ac:dyDescent="0.25">
      <c r="A115" s="13" t="s">
        <v>540</v>
      </c>
      <c r="B115" s="140" t="s">
        <v>161</v>
      </c>
      <c r="C115" s="140" t="s">
        <v>205</v>
      </c>
      <c r="D115" s="148" t="s">
        <v>481</v>
      </c>
      <c r="E115" s="148" t="s">
        <v>213</v>
      </c>
      <c r="F115" s="148" t="s">
        <v>482</v>
      </c>
      <c r="G115" s="148" t="s">
        <v>242</v>
      </c>
      <c r="H115" s="160" t="s">
        <v>483</v>
      </c>
      <c r="I115" s="160" t="s">
        <v>484</v>
      </c>
      <c r="J115" s="160" t="s">
        <v>485</v>
      </c>
      <c r="K115" s="160" t="s">
        <v>171</v>
      </c>
    </row>
    <row r="116" spans="1:11" x14ac:dyDescent="0.25">
      <c r="A116" s="140">
        <f>B85</f>
        <v>1</v>
      </c>
      <c r="B116" s="140">
        <f>C85</f>
        <v>25</v>
      </c>
      <c r="C116" s="140">
        <f>D85</f>
        <v>23</v>
      </c>
      <c r="D116" s="140">
        <f>ABS(J36)</f>
        <v>0.54400000000000004</v>
      </c>
      <c r="E116" s="128">
        <f>I36</f>
        <v>1.1025254426375057</v>
      </c>
      <c r="F116" s="140">
        <f>ABS(K85)</f>
        <v>3.5000000000000003E-2</v>
      </c>
      <c r="G116" s="128">
        <f>J85</f>
        <v>5.2350852272727275E-2</v>
      </c>
      <c r="H116" s="109">
        <f>(D116/E116)^1.25+(F116/G116)^1.25</f>
        <v>1.0180829522851296</v>
      </c>
      <c r="I116" s="109">
        <f>D116/E116</f>
        <v>0.49341264968781251</v>
      </c>
      <c r="J116" s="109">
        <f>F116/G116</f>
        <v>0.66856600189933524</v>
      </c>
      <c r="K116" s="141" t="str">
        <f>IF(AND(H116&lt;=1.02,I116&lt;=1,J116&lt;=1),"OK","NOT OK!")</f>
        <v>OK</v>
      </c>
    </row>
    <row r="117" spans="1:11" x14ac:dyDescent="0.25">
      <c r="A117" s="140">
        <f t="shared" ref="A117:C121" si="21">B86</f>
        <v>2</v>
      </c>
      <c r="B117" s="140">
        <f t="shared" si="21"/>
        <v>25</v>
      </c>
      <c r="C117" s="140">
        <f t="shared" si="21"/>
        <v>23</v>
      </c>
      <c r="D117" s="140">
        <f t="shared" ref="D117:D121" si="22">ABS(J37)</f>
        <v>0.26900000000000002</v>
      </c>
      <c r="E117" s="128">
        <f t="shared" ref="E117:E121" si="23">I37</f>
        <v>1.1025254426375057</v>
      </c>
      <c r="F117" s="140">
        <f t="shared" ref="F117:F121" si="24">ABS(K86)</f>
        <v>0</v>
      </c>
      <c r="G117" s="128">
        <f t="shared" ref="G117:G121" si="25">J86</f>
        <v>5.2350852272727275E-2</v>
      </c>
      <c r="H117" s="109">
        <f t="shared" ref="H117:H121" si="26">(D117/E117)^1.25+(F117/G117)^1.25</f>
        <v>0.17147648579493352</v>
      </c>
      <c r="I117" s="109">
        <f t="shared" ref="I117:I121" si="27">D117/E117</f>
        <v>0.24398529920224551</v>
      </c>
      <c r="J117" s="109">
        <f t="shared" ref="J117:J121" si="28">F117/G117</f>
        <v>0</v>
      </c>
      <c r="K117" s="141" t="str">
        <f t="shared" ref="K117:K121" si="29">IF(AND(H117&lt;=1.02,I117&lt;=1,J117&lt;=1),"OK","NOT OK!")</f>
        <v>OK</v>
      </c>
    </row>
    <row r="118" spans="1:11" x14ac:dyDescent="0.25">
      <c r="A118" s="140">
        <f t="shared" si="21"/>
        <v>3</v>
      </c>
      <c r="B118" s="140">
        <f t="shared" si="21"/>
        <v>20</v>
      </c>
      <c r="C118" s="140">
        <f t="shared" si="21"/>
        <v>18</v>
      </c>
      <c r="D118" s="140">
        <f t="shared" si="22"/>
        <v>0.23100000000000001</v>
      </c>
      <c r="E118" s="128">
        <f t="shared" si="23"/>
        <v>1.0014963500723877</v>
      </c>
      <c r="F118" s="140">
        <f t="shared" si="24"/>
        <v>0</v>
      </c>
      <c r="G118" s="128">
        <f t="shared" si="25"/>
        <v>6.6892755681818183E-2</v>
      </c>
      <c r="H118" s="109">
        <f t="shared" si="26"/>
        <v>0.15984654780968083</v>
      </c>
      <c r="I118" s="109">
        <f t="shared" si="27"/>
        <v>0.23065485958416468</v>
      </c>
      <c r="J118" s="109">
        <f t="shared" si="28"/>
        <v>0</v>
      </c>
      <c r="K118" s="141" t="str">
        <f t="shared" si="29"/>
        <v>OK</v>
      </c>
    </row>
    <row r="119" spans="1:11" x14ac:dyDescent="0.25">
      <c r="A119" s="140">
        <f t="shared" si="21"/>
        <v>4</v>
      </c>
      <c r="B119" s="140">
        <f t="shared" si="21"/>
        <v>20</v>
      </c>
      <c r="C119" s="140">
        <f t="shared" si="21"/>
        <v>18</v>
      </c>
      <c r="D119" s="140">
        <f t="shared" si="22"/>
        <v>0.23100000000000001</v>
      </c>
      <c r="E119" s="128">
        <f t="shared" si="23"/>
        <v>1.0014963500723877</v>
      </c>
      <c r="F119" s="140">
        <f t="shared" si="24"/>
        <v>0</v>
      </c>
      <c r="G119" s="128">
        <f t="shared" si="25"/>
        <v>6.6892755681818183E-2</v>
      </c>
      <c r="H119" s="109">
        <f t="shared" si="26"/>
        <v>0.15984654780968083</v>
      </c>
      <c r="I119" s="109">
        <f t="shared" si="27"/>
        <v>0.23065485958416468</v>
      </c>
      <c r="J119" s="109">
        <f t="shared" si="28"/>
        <v>0</v>
      </c>
      <c r="K119" s="141" t="str">
        <f t="shared" si="29"/>
        <v>OK</v>
      </c>
    </row>
    <row r="120" spans="1:11" x14ac:dyDescent="0.25">
      <c r="A120" s="140">
        <f t="shared" si="21"/>
        <v>5</v>
      </c>
      <c r="B120" s="140">
        <f t="shared" si="21"/>
        <v>15</v>
      </c>
      <c r="C120" s="140">
        <f t="shared" si="21"/>
        <v>13</v>
      </c>
      <c r="D120" s="140">
        <f t="shared" si="22"/>
        <v>0.215</v>
      </c>
      <c r="E120" s="128">
        <f t="shared" si="23"/>
        <v>0.85112496776173963</v>
      </c>
      <c r="F120" s="140">
        <f t="shared" si="24"/>
        <v>4.0000000000000001E-3</v>
      </c>
      <c r="G120" s="128">
        <f t="shared" si="25"/>
        <v>9.262073863636365E-2</v>
      </c>
      <c r="H120" s="109">
        <f t="shared" si="26"/>
        <v>0.19877130550324407</v>
      </c>
      <c r="I120" s="109">
        <f t="shared" si="27"/>
        <v>0.2526068534511447</v>
      </c>
      <c r="J120" s="109">
        <f t="shared" si="28"/>
        <v>4.3186872172379411E-2</v>
      </c>
      <c r="K120" s="141" t="str">
        <f t="shared" si="29"/>
        <v>OK</v>
      </c>
    </row>
    <row r="121" spans="1:11" x14ac:dyDescent="0.25">
      <c r="A121" s="140">
        <f t="shared" si="21"/>
        <v>6</v>
      </c>
      <c r="B121" s="140">
        <f t="shared" si="21"/>
        <v>10</v>
      </c>
      <c r="C121" s="140">
        <f t="shared" si="21"/>
        <v>8</v>
      </c>
      <c r="D121" s="140">
        <f t="shared" si="22"/>
        <v>0.192</v>
      </c>
      <c r="E121" s="128">
        <f t="shared" si="23"/>
        <v>0.58892514230002269</v>
      </c>
      <c r="F121" s="140">
        <f t="shared" si="24"/>
        <v>9.1999999999999998E-2</v>
      </c>
      <c r="G121" s="128">
        <f t="shared" si="25"/>
        <v>0.15050870028409088</v>
      </c>
      <c r="H121" s="109">
        <f t="shared" si="26"/>
        <v>0.78683326717040591</v>
      </c>
      <c r="I121" s="109">
        <f t="shared" si="27"/>
        <v>0.32601766542034866</v>
      </c>
      <c r="J121" s="109">
        <f t="shared" si="28"/>
        <v>0.61126034459367806</v>
      </c>
      <c r="K121" s="141" t="str">
        <f t="shared" si="29"/>
        <v>OK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3"/>
  <sheetViews>
    <sheetView workbookViewId="0">
      <selection activeCell="I57" sqref="I57"/>
    </sheetView>
  </sheetViews>
  <sheetFormatPr defaultRowHeight="15" x14ac:dyDescent="0.25"/>
  <cols>
    <col min="9" max="9" width="13.140625" bestFit="1" customWidth="1"/>
  </cols>
  <sheetData>
    <row r="2" spans="1:8" x14ac:dyDescent="0.25">
      <c r="A2" s="35" t="s">
        <v>256</v>
      </c>
    </row>
    <row r="4" spans="1:8" x14ac:dyDescent="0.25">
      <c r="A4" s="5" t="s">
        <v>257</v>
      </c>
    </row>
    <row r="5" spans="1:8" x14ac:dyDescent="0.25">
      <c r="A5" s="5" t="s">
        <v>259</v>
      </c>
    </row>
    <row r="6" spans="1:8" x14ac:dyDescent="0.25">
      <c r="A6" s="5" t="s">
        <v>258</v>
      </c>
    </row>
    <row r="8" spans="1:8" x14ac:dyDescent="0.25">
      <c r="A8" s="35" t="s">
        <v>260</v>
      </c>
    </row>
    <row r="10" spans="1:8" x14ac:dyDescent="0.25">
      <c r="A10" s="5" t="s">
        <v>261</v>
      </c>
      <c r="F10" s="104">
        <f>(3.14*F13/3)*(F11^2+F11*F12+F12^2)</f>
        <v>95.018493333333325</v>
      </c>
      <c r="G10" t="s">
        <v>265</v>
      </c>
    </row>
    <row r="11" spans="1:8" x14ac:dyDescent="0.25">
      <c r="A11" s="5" t="s">
        <v>262</v>
      </c>
      <c r="F11">
        <f>dc/2000</f>
        <v>4.5</v>
      </c>
      <c r="G11" t="s">
        <v>185</v>
      </c>
    </row>
    <row r="12" spans="1:8" x14ac:dyDescent="0.25">
      <c r="A12" s="5" t="s">
        <v>263</v>
      </c>
      <c r="F12" s="11">
        <v>0.7</v>
      </c>
      <c r="G12" t="s">
        <v>185</v>
      </c>
    </row>
    <row r="13" spans="1:8" x14ac:dyDescent="0.25">
      <c r="A13" s="5" t="s">
        <v>264</v>
      </c>
      <c r="F13" s="11">
        <v>3.8</v>
      </c>
      <c r="G13" t="s">
        <v>185</v>
      </c>
    </row>
    <row r="14" spans="1:8" x14ac:dyDescent="0.25">
      <c r="A14" s="5" t="s">
        <v>266</v>
      </c>
      <c r="F14">
        <f>3.14*rad^2*('Buckling Checks'!E55/1000)</f>
        <v>763.02</v>
      </c>
      <c r="G14" t="s">
        <v>265</v>
      </c>
    </row>
    <row r="15" spans="1:8" x14ac:dyDescent="0.25">
      <c r="A15" s="5" t="s">
        <v>267</v>
      </c>
      <c r="F15" s="104">
        <f>H15</f>
        <v>1103.7228543438264</v>
      </c>
      <c r="G15" t="s">
        <v>79</v>
      </c>
      <c r="H15" s="142">
        <f>'EUROCODE1-Vertical Wall Loads'!H34*2*3.14*rad+'EUROCODE1-Loads on Silo Hoppers'!H24*3.14*rad^2</f>
        <v>1103.7228543438264</v>
      </c>
    </row>
    <row r="16" spans="1:8" x14ac:dyDescent="0.25">
      <c r="A16" s="5" t="s">
        <v>268</v>
      </c>
      <c r="F16" s="11">
        <f>23</f>
        <v>23</v>
      </c>
      <c r="G16" t="s">
        <v>24</v>
      </c>
    </row>
    <row r="17" spans="1:13" x14ac:dyDescent="0.25">
      <c r="A17" s="5" t="s">
        <v>269</v>
      </c>
      <c r="F17" s="104">
        <f>7.83*(2*3.14*rad)*('Buckling Checks'!F49*'Buckling Checks'!E49+'Buckling Checks'!F50*'Buckling Checks'!E50+'Buckling Checks'!F51*'Buckling Checks'!E51+'Buckling Checks'!F52*'Buckling Checks'!E52+'Buckling Checks'!F53*'Buckling Checks'!E53+'Buckling Checks'!F54*'Buckling Checks'!E54)/(10^6)</f>
        <v>44.808349499999998</v>
      </c>
      <c r="G17" t="s">
        <v>79</v>
      </c>
    </row>
    <row r="18" spans="1:13" x14ac:dyDescent="0.25">
      <c r="A18" s="5" t="s">
        <v>270</v>
      </c>
      <c r="F18" s="104">
        <f>(3.14*((F11-F12)^2+F13^2)^0.5*(F11+F12))*th*7.83*0.001</f>
        <v>15.802332085190562</v>
      </c>
      <c r="G18" t="s">
        <v>79</v>
      </c>
    </row>
    <row r="19" spans="1:13" x14ac:dyDescent="0.25">
      <c r="A19" s="5" t="s">
        <v>271</v>
      </c>
      <c r="F19" s="104">
        <f>F17+F18+F15</f>
        <v>1164.333535929017</v>
      </c>
      <c r="G19" t="s">
        <v>79</v>
      </c>
    </row>
    <row r="21" spans="1:13" x14ac:dyDescent="0.25">
      <c r="A21" s="35" t="s">
        <v>286</v>
      </c>
    </row>
    <row r="22" spans="1:13" x14ac:dyDescent="0.25">
      <c r="A22" s="5" t="s">
        <v>272</v>
      </c>
      <c r="I22" s="72" t="s">
        <v>154</v>
      </c>
      <c r="J22" s="72">
        <f>360/(2*3.14)</f>
        <v>57.324840764331206</v>
      </c>
    </row>
    <row r="23" spans="1:13" x14ac:dyDescent="0.25">
      <c r="A23" s="5" t="s">
        <v>273</v>
      </c>
      <c r="F23" s="104">
        <f>F19/(2*3.14*F11)</f>
        <v>41.20076206401334</v>
      </c>
      <c r="G23" t="s">
        <v>183</v>
      </c>
    </row>
    <row r="28" spans="1:13" ht="15.75" thickBot="1" x14ac:dyDescent="0.3"/>
    <row r="29" spans="1:13" x14ac:dyDescent="0.25">
      <c r="A29" s="5" t="s">
        <v>275</v>
      </c>
      <c r="F29" s="11">
        <v>3</v>
      </c>
      <c r="J29" s="86" t="s">
        <v>401</v>
      </c>
      <c r="K29" s="87"/>
      <c r="L29" s="118">
        <v>1400</v>
      </c>
      <c r="M29" s="88" t="s">
        <v>24</v>
      </c>
    </row>
    <row r="30" spans="1:13" x14ac:dyDescent="0.25">
      <c r="A30" s="102" t="s">
        <v>276</v>
      </c>
      <c r="F30">
        <f>360/F29</f>
        <v>120</v>
      </c>
      <c r="G30" t="s">
        <v>277</v>
      </c>
      <c r="J30" s="84" t="s">
        <v>404</v>
      </c>
      <c r="K30" s="79"/>
      <c r="L30" s="119">
        <v>30</v>
      </c>
      <c r="M30" s="89" t="s">
        <v>24</v>
      </c>
    </row>
    <row r="31" spans="1:13" x14ac:dyDescent="0.25">
      <c r="A31" s="5" t="s">
        <v>274</v>
      </c>
      <c r="F31">
        <f>-(F19*F11/(2*3.14))*(1-3.14/(F29*TAN(180/(F29*J22))))</f>
        <v>-329.5259052620936</v>
      </c>
      <c r="G31" t="s">
        <v>278</v>
      </c>
      <c r="J31" s="84" t="s">
        <v>402</v>
      </c>
      <c r="K31" s="79"/>
      <c r="L31" s="119">
        <v>600</v>
      </c>
      <c r="M31" s="89" t="s">
        <v>24</v>
      </c>
    </row>
    <row r="32" spans="1:13" ht="15.75" thickBot="1" x14ac:dyDescent="0.3">
      <c r="A32" s="67" t="s">
        <v>279</v>
      </c>
      <c r="F32">
        <f>F19*F11/(2*3.14)*(3.14/(F29*SIN(F30*0.5/J22))-1)</f>
        <v>174.33628905371799</v>
      </c>
      <c r="G32" t="s">
        <v>278</v>
      </c>
      <c r="J32" s="120" t="s">
        <v>403</v>
      </c>
      <c r="K32" s="93"/>
      <c r="L32" s="93">
        <f>'Preliminary Design'!C10</f>
        <v>25</v>
      </c>
      <c r="M32" s="99" t="s">
        <v>24</v>
      </c>
    </row>
    <row r="34" spans="1:9" x14ac:dyDescent="0.25">
      <c r="A34" s="67" t="s">
        <v>280</v>
      </c>
      <c r="F34" s="106">
        <f>2*L30*L31+L32*(L29+L30)</f>
        <v>71750</v>
      </c>
      <c r="G34" t="s">
        <v>55</v>
      </c>
    </row>
    <row r="35" spans="1:9" x14ac:dyDescent="0.25">
      <c r="A35" s="67" t="s">
        <v>281</v>
      </c>
      <c r="F35" s="117">
        <f>2*L31*L30^3/4+2*L30*L31*(0.5*L29)^2+(1/12)*L32*(L29+L30)^3</f>
        <v>23740197916.666664</v>
      </c>
      <c r="G35" t="s">
        <v>282</v>
      </c>
    </row>
    <row r="36" spans="1:9" x14ac:dyDescent="0.25">
      <c r="A36" s="67" t="s">
        <v>283</v>
      </c>
      <c r="F36" s="117">
        <f>F35/((L29+L30)/2)</f>
        <v>33203074.009324007</v>
      </c>
      <c r="G36" t="s">
        <v>284</v>
      </c>
    </row>
    <row r="37" spans="1:9" x14ac:dyDescent="0.25">
      <c r="A37" s="68" t="s">
        <v>285</v>
      </c>
      <c r="F37" s="104">
        <f>(F32*1000/F36)*100</f>
        <v>0.52506068867226352</v>
      </c>
      <c r="G37" t="s">
        <v>41</v>
      </c>
      <c r="H37" s="69" t="str">
        <f>IF(ABS(F37)&lt;=0.7,"OK","NOT OK!")</f>
        <v>OK</v>
      </c>
    </row>
    <row r="39" spans="1:9" x14ac:dyDescent="0.25">
      <c r="A39" s="35" t="s">
        <v>298</v>
      </c>
    </row>
    <row r="40" spans="1:9" x14ac:dyDescent="0.25">
      <c r="A40" s="83" t="s">
        <v>287</v>
      </c>
    </row>
    <row r="41" spans="1:9" x14ac:dyDescent="0.25">
      <c r="A41" s="5" t="s">
        <v>288</v>
      </c>
      <c r="H41" s="39">
        <f>0.456+(H43/H42)^2</f>
        <v>1.1906938775510203</v>
      </c>
    </row>
    <row r="42" spans="1:9" x14ac:dyDescent="0.25">
      <c r="A42" s="5" t="s">
        <v>290</v>
      </c>
      <c r="H42" s="11">
        <v>700</v>
      </c>
      <c r="I42" t="s">
        <v>24</v>
      </c>
    </row>
    <row r="43" spans="1:9" x14ac:dyDescent="0.25">
      <c r="A43" s="5" t="s">
        <v>289</v>
      </c>
      <c r="H43" s="11">
        <v>600</v>
      </c>
      <c r="I43" t="s">
        <v>24</v>
      </c>
    </row>
    <row r="44" spans="1:9" x14ac:dyDescent="0.25">
      <c r="A44" s="5" t="s">
        <v>291</v>
      </c>
      <c r="H44" s="11">
        <f>0.3</f>
        <v>0.3</v>
      </c>
    </row>
    <row r="45" spans="1:9" x14ac:dyDescent="0.25">
      <c r="A45" s="5" t="s">
        <v>293</v>
      </c>
      <c r="H45" s="11">
        <v>30</v>
      </c>
      <c r="I45" t="s">
        <v>24</v>
      </c>
    </row>
    <row r="49" spans="1:9" x14ac:dyDescent="0.25">
      <c r="A49" s="67" t="s">
        <v>292</v>
      </c>
      <c r="H49" s="104">
        <f>(H41*3.14^2*2100)/(12*(1-H44^2)*(H43/H45)^2)</f>
        <v>5.6441179591836734</v>
      </c>
      <c r="I49" t="s">
        <v>41</v>
      </c>
    </row>
    <row r="50" spans="1:9" x14ac:dyDescent="0.25">
      <c r="A50" s="5" t="s">
        <v>294</v>
      </c>
      <c r="H50" s="104">
        <f>F19/F29</f>
        <v>388.11117864300564</v>
      </c>
      <c r="I50" t="s">
        <v>79</v>
      </c>
    </row>
    <row r="51" spans="1:9" x14ac:dyDescent="0.25">
      <c r="A51" s="5" t="s">
        <v>295</v>
      </c>
      <c r="H51" s="11">
        <v>5</v>
      </c>
    </row>
    <row r="52" spans="1:9" x14ac:dyDescent="0.25">
      <c r="A52" s="68" t="s">
        <v>296</v>
      </c>
      <c r="H52" s="104">
        <f>H50/(H43*H51*H45*(10^-2))</f>
        <v>0.43123464293667296</v>
      </c>
      <c r="I52" t="s">
        <v>41</v>
      </c>
    </row>
    <row r="53" spans="1:9" x14ac:dyDescent="0.25">
      <c r="H53" s="112" t="str">
        <f>IF(H52&lt;H49,"OK","NOT OK!")</f>
        <v>OK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9"/>
  <sheetViews>
    <sheetView workbookViewId="0">
      <selection activeCell="F19" sqref="F19"/>
    </sheetView>
  </sheetViews>
  <sheetFormatPr defaultRowHeight="15" x14ac:dyDescent="0.25"/>
  <sheetData>
    <row r="2" spans="1:7" x14ac:dyDescent="0.25">
      <c r="A2" s="35" t="s">
        <v>297</v>
      </c>
      <c r="D2" s="105" t="s">
        <v>305</v>
      </c>
    </row>
    <row r="4" spans="1:7" x14ac:dyDescent="0.25">
      <c r="A4" s="5" t="s">
        <v>268</v>
      </c>
      <c r="F4" s="11">
        <f>25-2</f>
        <v>23</v>
      </c>
      <c r="G4" t="s">
        <v>24</v>
      </c>
    </row>
    <row r="5" spans="1:7" x14ac:dyDescent="0.25">
      <c r="A5" s="5" t="s">
        <v>261</v>
      </c>
      <c r="F5" s="104">
        <f>(3.14*F8/3)*(F6^2+F6*F7+F7^2)</f>
        <v>95.018493333333325</v>
      </c>
      <c r="G5" t="s">
        <v>265</v>
      </c>
    </row>
    <row r="6" spans="1:7" x14ac:dyDescent="0.25">
      <c r="A6" s="5" t="s">
        <v>262</v>
      </c>
      <c r="F6">
        <f>'Ring Girder'!F11</f>
        <v>4.5</v>
      </c>
      <c r="G6" t="s">
        <v>185</v>
      </c>
    </row>
    <row r="7" spans="1:7" x14ac:dyDescent="0.25">
      <c r="A7" s="5" t="s">
        <v>263</v>
      </c>
      <c r="F7" s="106">
        <f>'Ring Girder'!F12</f>
        <v>0.7</v>
      </c>
      <c r="G7" t="s">
        <v>185</v>
      </c>
    </row>
    <row r="8" spans="1:7" x14ac:dyDescent="0.25">
      <c r="A8" s="5" t="s">
        <v>264</v>
      </c>
      <c r="F8" s="106">
        <f>'Ring Girder'!F13</f>
        <v>3.8</v>
      </c>
      <c r="G8" t="s">
        <v>185</v>
      </c>
    </row>
    <row r="9" spans="1:7" x14ac:dyDescent="0.25">
      <c r="A9" s="5" t="s">
        <v>299</v>
      </c>
      <c r="F9" s="104">
        <f>F5*'Particulate Solid Properties'!C5</f>
        <v>171.033288</v>
      </c>
      <c r="G9" t="s">
        <v>79</v>
      </c>
    </row>
    <row r="10" spans="1:7" x14ac:dyDescent="0.25">
      <c r="A10" s="5" t="s">
        <v>270</v>
      </c>
      <c r="F10" s="104">
        <f>3.14*((F6-F7)^2+F8^2)^0.5*(F6+F7)*F4*7.83*0.001</f>
        <v>15.802332085190562</v>
      </c>
      <c r="G10" t="s">
        <v>79</v>
      </c>
    </row>
    <row r="15" spans="1:7" x14ac:dyDescent="0.25">
      <c r="A15" s="78" t="s">
        <v>303</v>
      </c>
      <c r="B15" s="79"/>
      <c r="C15" s="79"/>
      <c r="D15" s="79"/>
      <c r="E15" s="79"/>
      <c r="F15" s="36">
        <f>'EUROCODE1-Loads on Silo Hoppers'!F3</f>
        <v>45</v>
      </c>
      <c r="G15" s="80" t="s">
        <v>17</v>
      </c>
    </row>
    <row r="16" spans="1:7" x14ac:dyDescent="0.25">
      <c r="A16" s="5" t="s">
        <v>301</v>
      </c>
      <c r="F16" s="104">
        <f>'EUROCODE1-Loads on Silo Hoppers'!H24</f>
        <v>11.471528950068336</v>
      </c>
      <c r="G16" t="s">
        <v>68</v>
      </c>
    </row>
    <row r="17" spans="1:8" x14ac:dyDescent="0.25">
      <c r="A17" s="5" t="s">
        <v>302</v>
      </c>
      <c r="F17" s="104">
        <f>F9+F10</f>
        <v>186.83562008519056</v>
      </c>
      <c r="G17" t="s">
        <v>79</v>
      </c>
    </row>
    <row r="18" spans="1:8" x14ac:dyDescent="0.25">
      <c r="A18" s="5" t="s">
        <v>300</v>
      </c>
      <c r="F18" s="104">
        <f>(F16*rad/(2*COS(F15/'Ring Girder'!J22)))+F17/(2*3.14*rad*COS(F15/'Ring Girder'!J22))</f>
        <v>45.833740157448766</v>
      </c>
      <c r="G18" t="s">
        <v>183</v>
      </c>
    </row>
    <row r="19" spans="1:8" x14ac:dyDescent="0.25">
      <c r="F19" s="104">
        <f>F18*0.05613</f>
        <v>2.572647835037599</v>
      </c>
      <c r="G19" t="s">
        <v>304</v>
      </c>
    </row>
    <row r="22" spans="1:8" x14ac:dyDescent="0.25">
      <c r="A22" s="5" t="s">
        <v>306</v>
      </c>
      <c r="F22" s="104">
        <f>'EUROCODE1-Loads on Silo Hoppers'!D43</f>
        <v>10.256148360534377</v>
      </c>
      <c r="G22" t="s">
        <v>68</v>
      </c>
    </row>
    <row r="23" spans="1:8" x14ac:dyDescent="0.25">
      <c r="A23" s="5" t="s">
        <v>307</v>
      </c>
      <c r="F23" s="104">
        <f>F22*rad/(COS(F15/'Ring Girder'!J22))</f>
        <v>65.243755988121933</v>
      </c>
      <c r="G23" t="s">
        <v>183</v>
      </c>
    </row>
    <row r="24" spans="1:8" x14ac:dyDescent="0.25">
      <c r="A24" s="5" t="s">
        <v>309</v>
      </c>
      <c r="F24" s="104">
        <f>1.47*0.85</f>
        <v>1.2495000000000001</v>
      </c>
      <c r="G24" t="s">
        <v>41</v>
      </c>
    </row>
    <row r="25" spans="1:8" x14ac:dyDescent="0.25">
      <c r="A25" s="5" t="s">
        <v>308</v>
      </c>
      <c r="F25" s="104">
        <f>10*MAX(F23,F18)/(100*F24)</f>
        <v>5.2215891146956332</v>
      </c>
      <c r="G25" t="s">
        <v>24</v>
      </c>
      <c r="H25" s="69" t="str">
        <f>IF(F25&lt;F4,"OK","NOT OK!")</f>
        <v>OK</v>
      </c>
    </row>
    <row r="26" spans="1:8" x14ac:dyDescent="0.25">
      <c r="A26" s="5" t="s">
        <v>486</v>
      </c>
      <c r="F26" s="104">
        <f>(F4/10)^2/6</f>
        <v>0.88166666666666649</v>
      </c>
      <c r="G26" t="s">
        <v>541</v>
      </c>
    </row>
    <row r="27" spans="1:8" x14ac:dyDescent="0.25">
      <c r="A27" s="5" t="s">
        <v>310</v>
      </c>
      <c r="F27" s="11">
        <v>0.29199999999999998</v>
      </c>
      <c r="G27" t="s">
        <v>311</v>
      </c>
    </row>
    <row r="28" spans="1:8" x14ac:dyDescent="0.25">
      <c r="A28" s="5" t="s">
        <v>314</v>
      </c>
      <c r="F28">
        <f>'Preliminary Design'!J5</f>
        <v>1.044</v>
      </c>
      <c r="G28" t="s">
        <v>313</v>
      </c>
    </row>
    <row r="29" spans="1:8" x14ac:dyDescent="0.25">
      <c r="A29" s="68" t="s">
        <v>312</v>
      </c>
      <c r="F29">
        <f>F27/F26</f>
        <v>0.3311909262759925</v>
      </c>
      <c r="G29" t="s">
        <v>313</v>
      </c>
      <c r="H29" s="69" t="str">
        <f>IF(F29&lt;F28,"OK","NOT OK!")</f>
        <v>OK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58"/>
  <sheetViews>
    <sheetView topLeftCell="A21" workbookViewId="0">
      <selection activeCell="L38" sqref="L38"/>
    </sheetView>
  </sheetViews>
  <sheetFormatPr defaultRowHeight="15" x14ac:dyDescent="0.25"/>
  <sheetData>
    <row r="2" spans="1:8" x14ac:dyDescent="0.25">
      <c r="A2" s="35" t="s">
        <v>315</v>
      </c>
      <c r="F2" s="105" t="s">
        <v>305</v>
      </c>
    </row>
    <row r="4" spans="1:8" x14ac:dyDescent="0.25">
      <c r="A4" s="5" t="s">
        <v>316</v>
      </c>
    </row>
    <row r="8" spans="1:8" x14ac:dyDescent="0.25">
      <c r="A8" s="5" t="s">
        <v>317</v>
      </c>
      <c r="G8" s="108">
        <f>(60/2.54)*(3/2.54)</f>
        <v>27.900055800111598</v>
      </c>
      <c r="H8" t="s">
        <v>318</v>
      </c>
    </row>
    <row r="9" spans="1:8" x14ac:dyDescent="0.25">
      <c r="A9" s="5" t="s">
        <v>268</v>
      </c>
      <c r="G9" s="106">
        <f>0.0394*'Design of Hopper'!F4</f>
        <v>0.90619999999999989</v>
      </c>
      <c r="H9" t="s">
        <v>320</v>
      </c>
    </row>
    <row r="10" spans="1:8" x14ac:dyDescent="0.25">
      <c r="A10" s="5" t="s">
        <v>319</v>
      </c>
      <c r="G10" s="11">
        <f>G9</f>
        <v>0.90619999999999989</v>
      </c>
      <c r="H10" t="s">
        <v>320</v>
      </c>
    </row>
    <row r="11" spans="1:8" x14ac:dyDescent="0.25">
      <c r="A11" s="5" t="s">
        <v>321</v>
      </c>
      <c r="G11">
        <f>0.0394*'Buckling Checks'!F9</f>
        <v>0.90619999999999989</v>
      </c>
      <c r="H11" t="s">
        <v>320</v>
      </c>
    </row>
    <row r="12" spans="1:8" x14ac:dyDescent="0.25">
      <c r="A12" s="5" t="s">
        <v>322</v>
      </c>
      <c r="G12">
        <f>0.5*dc*0.0394</f>
        <v>177.29999999999998</v>
      </c>
      <c r="H12" t="s">
        <v>320</v>
      </c>
    </row>
    <row r="13" spans="1:8" x14ac:dyDescent="0.25">
      <c r="A13" s="5" t="s">
        <v>323</v>
      </c>
      <c r="G13" s="104">
        <f>1.4226*'EUROCODE1-Vertical Wall Loads'!D35</f>
        <v>6.9742120900973932</v>
      </c>
      <c r="H13" t="s">
        <v>324</v>
      </c>
    </row>
    <row r="14" spans="1:8" x14ac:dyDescent="0.25">
      <c r="A14" s="5" t="s">
        <v>325</v>
      </c>
      <c r="G14" s="104">
        <f>1.4226*'Design of Hopper'!F22</f>
        <v>14.590396657696205</v>
      </c>
      <c r="H14" t="s">
        <v>324</v>
      </c>
    </row>
    <row r="15" spans="1:8" x14ac:dyDescent="0.25">
      <c r="A15" s="5" t="s">
        <v>326</v>
      </c>
      <c r="G15" s="104">
        <f>55.99*'Design of Hopper'!F18</f>
        <v>2566.2311114155564</v>
      </c>
      <c r="H15" t="s">
        <v>327</v>
      </c>
    </row>
    <row r="16" spans="1:8" x14ac:dyDescent="0.25">
      <c r="A16" s="5" t="s">
        <v>328</v>
      </c>
      <c r="G16" s="104">
        <f>G10^2.5+G11^2.5+G9^2.5</f>
        <v>2.3452081746484277</v>
      </c>
      <c r="H16" t="s">
        <v>329</v>
      </c>
    </row>
    <row r="17" spans="1:8" x14ac:dyDescent="0.25">
      <c r="A17" s="5" t="s">
        <v>330</v>
      </c>
      <c r="G17" s="104">
        <f>(G11^1.5*(2*G16-G11^2.5)+G11^2*(G9^2+G10^2))/G16</f>
        <v>2.0128567672746995</v>
      </c>
      <c r="H17" t="s">
        <v>69</v>
      </c>
    </row>
    <row r="18" spans="1:8" x14ac:dyDescent="0.25">
      <c r="A18" s="5" t="s">
        <v>331</v>
      </c>
      <c r="G18" s="104">
        <f>(G9^1.5*(2*G16-G9^2.5)+G9^2*(G11^2-G10^2))/G16</f>
        <v>1.4377548337676425</v>
      </c>
      <c r="H18" t="s">
        <v>69</v>
      </c>
    </row>
    <row r="19" spans="1:8" x14ac:dyDescent="0.25">
      <c r="A19" s="5" t="s">
        <v>332</v>
      </c>
      <c r="G19" s="104">
        <f>(G10^1.5*(2*G16-G10^2.5)+G10^2*(G11^2-G9^2))/G16</f>
        <v>1.4377548337676425</v>
      </c>
      <c r="H19" t="s">
        <v>69</v>
      </c>
    </row>
    <row r="20" spans="1:8" x14ac:dyDescent="0.25">
      <c r="A20" s="5" t="s">
        <v>340</v>
      </c>
      <c r="G20">
        <f>(G17*G13*(G12/G11)+G18*G14*G12/(G9*COS(theta/'Ring Girder'!J22))-2.63*(G12^0.5)*G15*SIN(theta/'Ring Girder'!J22))/(2.63*G8/(G12^0.5)+G17+G18+G19)</f>
        <v>-5286.2925812480362</v>
      </c>
      <c r="H20" t="s">
        <v>324</v>
      </c>
    </row>
    <row r="21" spans="1:8" x14ac:dyDescent="0.25">
      <c r="G21" s="104">
        <f>G20/14300</f>
        <v>-0.36967080987748507</v>
      </c>
      <c r="H21" t="s">
        <v>313</v>
      </c>
    </row>
    <row r="27" spans="1:8" x14ac:dyDescent="0.25">
      <c r="A27" s="5" t="s">
        <v>333</v>
      </c>
      <c r="G27">
        <f>(G20/G11^0.5)*(G17-G11^1.5)+G13*G12*(1-G11^2.5/G16)+G14*G12*G11^1.5*G9/(G16*COS(theta/'Ring Girder'!J22))</f>
        <v>-4343.9188369908252</v>
      </c>
      <c r="H27" t="s">
        <v>324</v>
      </c>
    </row>
    <row r="28" spans="1:8" x14ac:dyDescent="0.25">
      <c r="A28" s="5" t="s">
        <v>334</v>
      </c>
      <c r="G28">
        <f>(G20/G9^0.5)*(G18-G9^1.5)-G13*G12*G11*G9^1.5/G16-G14*G12/COS(theta/'Ring Girder'!J22)*(1-G9^2.5/G16)</f>
        <v>-6043.7623128673149</v>
      </c>
      <c r="H28" t="s">
        <v>324</v>
      </c>
    </row>
    <row r="29" spans="1:8" x14ac:dyDescent="0.25">
      <c r="A29" s="5" t="s">
        <v>335</v>
      </c>
      <c r="G29">
        <f>(G20/G10^0.5)*(G19-G10^1.5)+G10^1.5*G12/G16*(G14*G9/COS(theta/'Ring Girder'!J22)-G13*G11)</f>
        <v>-2386.821082480446</v>
      </c>
      <c r="H29" t="s">
        <v>324</v>
      </c>
    </row>
    <row r="30" spans="1:8" x14ac:dyDescent="0.25">
      <c r="A30" s="5" t="s">
        <v>336</v>
      </c>
      <c r="G30">
        <f>0.289*G11*G27</f>
        <v>-1137.6367232734335</v>
      </c>
      <c r="H30" t="s">
        <v>339</v>
      </c>
    </row>
    <row r="31" spans="1:8" x14ac:dyDescent="0.25">
      <c r="A31" s="5" t="s">
        <v>337</v>
      </c>
      <c r="G31">
        <f>0.289*G9*G28</f>
        <v>-1582.811790888984</v>
      </c>
      <c r="H31" t="s">
        <v>339</v>
      </c>
    </row>
    <row r="32" spans="1:8" x14ac:dyDescent="0.25">
      <c r="A32" s="5" t="s">
        <v>338</v>
      </c>
      <c r="G32">
        <f>0.289*G10*G29</f>
        <v>-625.08886956875233</v>
      </c>
      <c r="H32" t="s">
        <v>339</v>
      </c>
    </row>
    <row r="34" spans="1:8" x14ac:dyDescent="0.25">
      <c r="A34" s="5" t="s">
        <v>341</v>
      </c>
      <c r="G34" s="104">
        <f>'Design of Hopper'!F23*0.05613</f>
        <v>3.6621320236132839</v>
      </c>
      <c r="H34" t="s">
        <v>304</v>
      </c>
    </row>
    <row r="35" spans="1:8" x14ac:dyDescent="0.25">
      <c r="A35" s="5" t="s">
        <v>342</v>
      </c>
      <c r="G35" s="11">
        <f>16.7</f>
        <v>16.7</v>
      </c>
      <c r="H35" t="s">
        <v>183</v>
      </c>
    </row>
    <row r="36" spans="1:8" x14ac:dyDescent="0.25">
      <c r="G36">
        <f>0.05613*G35</f>
        <v>0.93737099999999995</v>
      </c>
      <c r="H36" t="s">
        <v>304</v>
      </c>
    </row>
    <row r="39" spans="1:8" x14ac:dyDescent="0.25">
      <c r="A39" s="5" t="s">
        <v>344</v>
      </c>
      <c r="G39" s="104">
        <f>G36/G11+6*G30/(1000*G11^2)</f>
        <v>-7.2776255388899687</v>
      </c>
      <c r="H39" t="s">
        <v>343</v>
      </c>
    </row>
    <row r="40" spans="1:8" x14ac:dyDescent="0.25">
      <c r="G40" s="104">
        <f>G36/G11-6*G30/(1000*G11^2)</f>
        <v>9.3464205068882027</v>
      </c>
      <c r="H40" t="s">
        <v>343</v>
      </c>
    </row>
    <row r="41" spans="1:8" x14ac:dyDescent="0.25">
      <c r="G41" s="104"/>
    </row>
    <row r="42" spans="1:8" x14ac:dyDescent="0.25">
      <c r="A42" s="5" t="s">
        <v>345</v>
      </c>
      <c r="G42" s="104">
        <f>G34/G9+6*G31/(1000*G9^2)</f>
        <v>-7.5234515856308102</v>
      </c>
      <c r="H42" t="s">
        <v>343</v>
      </c>
    </row>
    <row r="43" spans="1:8" x14ac:dyDescent="0.25">
      <c r="G43" s="104">
        <f>G34/G9-6*G31/(1000*G9^2)</f>
        <v>15.605844045602748</v>
      </c>
      <c r="H43" t="s">
        <v>343</v>
      </c>
    </row>
    <row r="53" spans="1:6" x14ac:dyDescent="0.25">
      <c r="A53" s="195" t="s">
        <v>349</v>
      </c>
      <c r="B53" s="195"/>
      <c r="C53" s="195"/>
      <c r="D53" s="195" t="s">
        <v>350</v>
      </c>
      <c r="E53" s="195"/>
      <c r="F53" s="195"/>
    </row>
    <row r="54" spans="1:6" x14ac:dyDescent="0.25">
      <c r="A54" s="94" t="s">
        <v>346</v>
      </c>
      <c r="B54" s="94" t="s">
        <v>348</v>
      </c>
      <c r="C54" s="94" t="s">
        <v>347</v>
      </c>
      <c r="D54" s="94" t="s">
        <v>346</v>
      </c>
      <c r="E54" s="94" t="s">
        <v>348</v>
      </c>
      <c r="F54" s="94" t="s">
        <v>347</v>
      </c>
    </row>
    <row r="55" spans="1:6" x14ac:dyDescent="0.25">
      <c r="A55" s="109">
        <f>G20/1000</f>
        <v>-5.2862925812480359</v>
      </c>
      <c r="B55" s="109">
        <f>G39</f>
        <v>-7.2776255388899687</v>
      </c>
      <c r="C55" s="109">
        <f>A55-B55</f>
        <v>1.9913329576419327</v>
      </c>
      <c r="D55" s="109">
        <f>G20/1000</f>
        <v>-5.2862925812480359</v>
      </c>
      <c r="E55" s="109">
        <f>G42</f>
        <v>-7.5234515856308102</v>
      </c>
      <c r="F55" s="109">
        <f>D55-E55</f>
        <v>2.2371590043827743</v>
      </c>
    </row>
    <row r="56" spans="1:6" x14ac:dyDescent="0.25">
      <c r="A56" s="109">
        <f>G20/1000</f>
        <v>-5.2862925812480359</v>
      </c>
      <c r="B56" s="109">
        <f>G40</f>
        <v>9.3464205068882027</v>
      </c>
      <c r="C56" s="109">
        <f>A56-B56</f>
        <v>-14.632713088136239</v>
      </c>
      <c r="D56" s="109">
        <f>G20/1000</f>
        <v>-5.2862925812480359</v>
      </c>
      <c r="E56" s="109">
        <f>G43</f>
        <v>15.605844045602748</v>
      </c>
      <c r="F56" s="109">
        <f>D56-E56</f>
        <v>-20.892136626850785</v>
      </c>
    </row>
    <row r="57" spans="1:6" x14ac:dyDescent="0.25">
      <c r="A57" s="52"/>
      <c r="B57" s="52"/>
      <c r="C57" s="52"/>
      <c r="D57" s="52"/>
      <c r="E57" s="52"/>
      <c r="F57" s="52"/>
    </row>
    <row r="58" spans="1:6" x14ac:dyDescent="0.25">
      <c r="A58" s="104"/>
      <c r="B58" s="104"/>
      <c r="C58" s="104"/>
      <c r="D58" s="104"/>
      <c r="E58" s="104"/>
      <c r="F58" s="104"/>
    </row>
  </sheetData>
  <mergeCells count="2">
    <mergeCell ref="A53:C53"/>
    <mergeCell ref="D53:F5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24</vt:i4>
      </vt:variant>
    </vt:vector>
  </HeadingPairs>
  <TitlesOfParts>
    <vt:vector size="36" baseType="lpstr">
      <vt:lpstr>Particulate Solid Properties</vt:lpstr>
      <vt:lpstr>Properties of Silo</vt:lpstr>
      <vt:lpstr>EUROCODE1-Vertical Wall Loads</vt:lpstr>
      <vt:lpstr>EUROCODE1-Loads on Silo Hoppers</vt:lpstr>
      <vt:lpstr>Preliminary Design</vt:lpstr>
      <vt:lpstr>Buckling Checks</vt:lpstr>
      <vt:lpstr>Ring Girder</vt:lpstr>
      <vt:lpstr>Design of Hopper</vt:lpstr>
      <vt:lpstr>Stresses at Junction</vt:lpstr>
      <vt:lpstr>Load Combinations</vt:lpstr>
      <vt:lpstr>Deprem Yükleri</vt:lpstr>
      <vt:lpstr>Slab Calc.</vt:lpstr>
      <vt:lpstr>con</vt:lpstr>
      <vt:lpstr>dc</vt:lpstr>
      <vt:lpstr>di</vt:lpstr>
      <vt:lpstr>do</vt:lpstr>
      <vt:lpstr>Es</vt:lpstr>
      <vt:lpstr>fir</vt:lpstr>
      <vt:lpstr>fy</vt:lpstr>
      <vt:lpstr>hb</vt:lpstr>
      <vt:lpstr>hc</vt:lpstr>
      <vt:lpstr>hh</vt:lpstr>
      <vt:lpstr>hhop</vt:lpstr>
      <vt:lpstr>ho</vt:lpstr>
      <vt:lpstr>htp</vt:lpstr>
      <vt:lpstr>n</vt:lpstr>
      <vt:lpstr>phir</vt:lpstr>
      <vt:lpstr>rad</vt:lpstr>
      <vt:lpstr>sy</vt:lpstr>
      <vt:lpstr>t</vt:lpstr>
      <vt:lpstr>th</vt:lpstr>
      <vt:lpstr>theta</vt:lpstr>
      <vt:lpstr>wcon</vt:lpstr>
      <vt:lpstr>wcyl</vt:lpstr>
      <vt:lpstr>wmat</vt:lpstr>
      <vt:lpstr>'Properties of Silo'!Yazdırma_Alanı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Ilkay Onal</dc:creator>
  <cp:lastModifiedBy>Ilkay Onal</cp:lastModifiedBy>
  <dcterms:created xsi:type="dcterms:W3CDTF">2014-02-21T14:03:53Z</dcterms:created>
  <dcterms:modified xsi:type="dcterms:W3CDTF">2014-03-19T14:11:54Z</dcterms:modified>
</cp:coreProperties>
</file>