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b14b852b9884f8/Desktop/Website Stuff/Website Models (Less than 30MB)/"/>
    </mc:Choice>
  </mc:AlternateContent>
  <xr:revisionPtr revIDLastSave="0" documentId="8_{D7F0D7C6-5602-46E9-A2E2-26503CA41065}" xr6:coauthVersionLast="47" xr6:coauthVersionMax="47" xr10:uidLastSave="{00000000-0000-0000-0000-000000000000}"/>
  <bookViews>
    <workbookView xWindow="2055" yWindow="1140" windowWidth="21405" windowHeight="12870" tabRatio="943" xr2:uid="{FCC07554-9184-4D3E-B5A3-C23E5C9FE69D}"/>
  </bookViews>
  <sheets>
    <sheet name="Cover" sheetId="19" r:id="rId1"/>
    <sheet name="BVA - Natural" sheetId="13" r:id="rId2"/>
    <sheet name="BVA - Functional" sheetId="38" r:id="rId3"/>
    <sheet name="Natural View --&gt;" sheetId="14" r:id="rId4"/>
    <sheet name="NatEndView" sheetId="3" r:id="rId5"/>
    <sheet name="NatPriorFcst" sheetId="27" r:id="rId6"/>
    <sheet name="NatBudget" sheetId="28" r:id="rId7"/>
    <sheet name="Functional View --&gt;" sheetId="23" r:id="rId8"/>
    <sheet name="FuncEndView" sheetId="29" r:id="rId9"/>
    <sheet name="FuncPriorFcst" sheetId="30" r:id="rId10"/>
    <sheet name="FuncBudget" sheetId="31" r:id="rId11"/>
    <sheet name="Scenario Modeling --&gt;" sheetId="40" r:id="rId12"/>
    <sheet name="Nat View - Data-Driven" sheetId="34" r:id="rId13"/>
    <sheet name="Natural Data-Driven" sheetId="36" r:id="rId14"/>
    <sheet name="Func View - Data-Driven" sheetId="35" r:id="rId15"/>
    <sheet name="Functional Data-Driven" sheetId="37" r:id="rId16"/>
    <sheet name="Admin --&gt;" sheetId="15" r:id="rId17"/>
    <sheet name="Natural" sheetId="1" r:id="rId18"/>
    <sheet name="Functional" sheetId="25" r:id="rId19"/>
    <sheet name="DB Vars" sheetId="39" r:id="rId20"/>
    <sheet name="Natural View - Plan Settings" sheetId="33" r:id="rId21"/>
    <sheet name="Natural (ORIGINAL VALUES)" sheetId="32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38" l="1"/>
  <c r="I69" i="38"/>
  <c r="C69" i="38"/>
  <c r="O68" i="38"/>
  <c r="I68" i="38"/>
  <c r="C68" i="38"/>
  <c r="O67" i="38"/>
  <c r="Q67" i="38" s="1"/>
  <c r="S67" i="38" s="1"/>
  <c r="I67" i="38"/>
  <c r="J67" i="38" s="1"/>
  <c r="C67" i="38"/>
  <c r="O66" i="38"/>
  <c r="I66" i="38"/>
  <c r="C66" i="38"/>
  <c r="D66" i="38" s="1"/>
  <c r="F66" i="38" s="1"/>
  <c r="O56" i="38"/>
  <c r="Q56" i="38" s="1"/>
  <c r="S56" i="38" s="1"/>
  <c r="I56" i="38"/>
  <c r="J56" i="38" s="1"/>
  <c r="C56" i="38"/>
  <c r="O55" i="38"/>
  <c r="I55" i="38"/>
  <c r="C55" i="38"/>
  <c r="O54" i="38"/>
  <c r="I54" i="38"/>
  <c r="C54" i="38"/>
  <c r="O48" i="38"/>
  <c r="I48" i="38"/>
  <c r="C48" i="38"/>
  <c r="O45" i="38"/>
  <c r="I45" i="38"/>
  <c r="C45" i="38"/>
  <c r="E45" i="38" s="1"/>
  <c r="G45" i="38" s="1"/>
  <c r="O44" i="38"/>
  <c r="P44" i="38" s="1"/>
  <c r="I44" i="38"/>
  <c r="K44" i="38" s="1"/>
  <c r="M44" i="38" s="1"/>
  <c r="C44" i="38"/>
  <c r="O43" i="38"/>
  <c r="Q43" i="38" s="1"/>
  <c r="I43" i="38"/>
  <c r="C43" i="38"/>
  <c r="O42" i="38"/>
  <c r="I42" i="38"/>
  <c r="C42" i="38"/>
  <c r="E42" i="38" s="1"/>
  <c r="O41" i="38"/>
  <c r="I41" i="38"/>
  <c r="J41" i="38" s="1"/>
  <c r="C41" i="38"/>
  <c r="D41" i="38" s="1"/>
  <c r="O39" i="38"/>
  <c r="I39" i="38"/>
  <c r="C39" i="38"/>
  <c r="O38" i="38"/>
  <c r="P38" i="38" s="1"/>
  <c r="R38" i="38" s="1"/>
  <c r="I38" i="38"/>
  <c r="J38" i="38" s="1"/>
  <c r="C38" i="38"/>
  <c r="D38" i="38" s="1"/>
  <c r="O37" i="38"/>
  <c r="Q37" i="38" s="1"/>
  <c r="S37" i="38" s="1"/>
  <c r="I37" i="38"/>
  <c r="C37" i="38"/>
  <c r="O36" i="38"/>
  <c r="I36" i="38"/>
  <c r="C36" i="38"/>
  <c r="O35" i="38"/>
  <c r="I35" i="38"/>
  <c r="C35" i="38"/>
  <c r="O34" i="38"/>
  <c r="I34" i="38"/>
  <c r="C34" i="38"/>
  <c r="O32" i="38"/>
  <c r="I32" i="38"/>
  <c r="C32" i="38"/>
  <c r="E32" i="38" s="1"/>
  <c r="O30" i="38"/>
  <c r="I30" i="38"/>
  <c r="C30" i="38"/>
  <c r="O29" i="38"/>
  <c r="I29" i="38"/>
  <c r="C29" i="38"/>
  <c r="O28" i="38"/>
  <c r="I28" i="38"/>
  <c r="C28" i="38"/>
  <c r="O27" i="38"/>
  <c r="I27" i="38"/>
  <c r="C27" i="38"/>
  <c r="O26" i="38"/>
  <c r="I26" i="38"/>
  <c r="C26" i="38"/>
  <c r="O25" i="38"/>
  <c r="I25" i="38"/>
  <c r="C25" i="38"/>
  <c r="O24" i="38"/>
  <c r="I24" i="38"/>
  <c r="C24" i="38"/>
  <c r="O23" i="38"/>
  <c r="I23" i="38"/>
  <c r="C23" i="38"/>
  <c r="O20" i="38"/>
  <c r="I20" i="38"/>
  <c r="C20" i="38"/>
  <c r="O19" i="38"/>
  <c r="I19" i="38"/>
  <c r="C19" i="38"/>
  <c r="O18" i="38"/>
  <c r="I18" i="38"/>
  <c r="C18" i="38"/>
  <c r="O17" i="38"/>
  <c r="I17" i="38"/>
  <c r="C17" i="38"/>
  <c r="O16" i="38"/>
  <c r="I16" i="38"/>
  <c r="C16" i="38"/>
  <c r="O15" i="38"/>
  <c r="I15" i="38"/>
  <c r="C15" i="38"/>
  <c r="O14" i="38"/>
  <c r="I14" i="38"/>
  <c r="C14" i="38"/>
  <c r="O13" i="38"/>
  <c r="I13" i="38"/>
  <c r="C13" i="38"/>
  <c r="O10" i="38"/>
  <c r="I10" i="38"/>
  <c r="C10" i="38"/>
  <c r="O9" i="38"/>
  <c r="I9" i="38"/>
  <c r="C9" i="38"/>
  <c r="O8" i="38"/>
  <c r="I8" i="38"/>
  <c r="C8" i="38"/>
  <c r="O7" i="38"/>
  <c r="I7" i="38"/>
  <c r="C7" i="38"/>
  <c r="O6" i="38"/>
  <c r="I6" i="38"/>
  <c r="C6" i="38"/>
  <c r="O5" i="38"/>
  <c r="I5" i="38"/>
  <c r="C5" i="38"/>
  <c r="O4" i="38"/>
  <c r="I4" i="38"/>
  <c r="C4" i="38"/>
  <c r="O3" i="38"/>
  <c r="I3" i="38"/>
  <c r="C3" i="38"/>
  <c r="P54" i="38"/>
  <c r="J54" i="38"/>
  <c r="J44" i="38"/>
  <c r="D42" i="38"/>
  <c r="Q35" i="38"/>
  <c r="J35" i="38"/>
  <c r="Q34" i="38"/>
  <c r="Q38" i="38"/>
  <c r="K66" i="38"/>
  <c r="M66" i="38" s="1"/>
  <c r="K55" i="38"/>
  <c r="M55" i="38" s="1"/>
  <c r="K45" i="38"/>
  <c r="M45" i="38" s="1"/>
  <c r="K39" i="38"/>
  <c r="M39" i="38" s="1"/>
  <c r="K36" i="38"/>
  <c r="M36" i="38" s="1"/>
  <c r="E67" i="38"/>
  <c r="G67" i="38" s="1"/>
  <c r="E66" i="38"/>
  <c r="G66" i="38" s="1"/>
  <c r="E56" i="38"/>
  <c r="G56" i="38" s="1"/>
  <c r="E55" i="38"/>
  <c r="G55" i="38" s="1"/>
  <c r="E48" i="38"/>
  <c r="G48" i="38" s="1"/>
  <c r="E37" i="38"/>
  <c r="G37" i="38" s="1"/>
  <c r="E36" i="38"/>
  <c r="G36" i="38" s="1"/>
  <c r="P39" i="38"/>
  <c r="R39" i="38" s="1"/>
  <c r="J39" i="38"/>
  <c r="D39" i="38"/>
  <c r="P66" i="38"/>
  <c r="P55" i="38"/>
  <c r="R55" i="38" s="1"/>
  <c r="P45" i="38"/>
  <c r="Q39" i="38"/>
  <c r="S39" i="38" s="1"/>
  <c r="P36" i="38"/>
  <c r="J66" i="38"/>
  <c r="L66" i="38" s="1"/>
  <c r="J55" i="38"/>
  <c r="L55" i="38" s="1"/>
  <c r="J45" i="38"/>
  <c r="L45" i="38" s="1"/>
  <c r="K38" i="38"/>
  <c r="J37" i="38"/>
  <c r="J36" i="38"/>
  <c r="L36" i="38" s="1"/>
  <c r="D67" i="38"/>
  <c r="F67" i="38" s="1"/>
  <c r="D56" i="38"/>
  <c r="F56" i="38" s="1"/>
  <c r="D55" i="38"/>
  <c r="F55" i="38" s="1"/>
  <c r="D48" i="38"/>
  <c r="F48" i="38" s="1"/>
  <c r="E39" i="38"/>
  <c r="G39" i="38" s="1"/>
  <c r="D37" i="38"/>
  <c r="F37" i="38" s="1"/>
  <c r="D36" i="38"/>
  <c r="F36" i="38" s="1"/>
  <c r="I2" i="38"/>
  <c r="C2" i="38"/>
  <c r="Q68" i="13"/>
  <c r="S68" i="13" s="1"/>
  <c r="P68" i="13"/>
  <c r="R68" i="13" s="1"/>
  <c r="Q48" i="13"/>
  <c r="S48" i="13" s="1"/>
  <c r="P48" i="13"/>
  <c r="R48" i="13" s="1"/>
  <c r="Q43" i="13"/>
  <c r="S43" i="13" s="1"/>
  <c r="P43" i="13"/>
  <c r="R43" i="13" s="1"/>
  <c r="Q36" i="13"/>
  <c r="S36" i="13" s="1"/>
  <c r="P36" i="13"/>
  <c r="R36" i="13" s="1"/>
  <c r="Q30" i="13"/>
  <c r="S30" i="13" s="1"/>
  <c r="P30" i="13"/>
  <c r="R30" i="13" s="1"/>
  <c r="Q29" i="13"/>
  <c r="S29" i="13" s="1"/>
  <c r="P29" i="13"/>
  <c r="R29" i="13" s="1"/>
  <c r="Q28" i="13"/>
  <c r="S28" i="13" s="1"/>
  <c r="P28" i="13"/>
  <c r="R28" i="13" s="1"/>
  <c r="Q27" i="13"/>
  <c r="S27" i="13" s="1"/>
  <c r="P27" i="13"/>
  <c r="R27" i="13" s="1"/>
  <c r="Q26" i="13"/>
  <c r="S26" i="13" s="1"/>
  <c r="P26" i="13"/>
  <c r="R26" i="13" s="1"/>
  <c r="Q25" i="13"/>
  <c r="S25" i="13" s="1"/>
  <c r="P25" i="13"/>
  <c r="R25" i="13" s="1"/>
  <c r="Q24" i="13"/>
  <c r="S24" i="13" s="1"/>
  <c r="P24" i="13"/>
  <c r="R24" i="13" s="1"/>
  <c r="Q23" i="13"/>
  <c r="S23" i="13" s="1"/>
  <c r="P23" i="13"/>
  <c r="R23" i="13" s="1"/>
  <c r="Q20" i="13"/>
  <c r="S20" i="13" s="1"/>
  <c r="P20" i="13"/>
  <c r="R20" i="13" s="1"/>
  <c r="Q19" i="13"/>
  <c r="S19" i="13" s="1"/>
  <c r="P19" i="13"/>
  <c r="R19" i="13" s="1"/>
  <c r="Q18" i="13"/>
  <c r="P18" i="13"/>
  <c r="R18" i="13" s="1"/>
  <c r="Q17" i="13"/>
  <c r="S17" i="13" s="1"/>
  <c r="P17" i="13"/>
  <c r="R17" i="13" s="1"/>
  <c r="Q16" i="13"/>
  <c r="S16" i="13" s="1"/>
  <c r="P16" i="13"/>
  <c r="R16" i="13" s="1"/>
  <c r="Q15" i="13"/>
  <c r="S15" i="13" s="1"/>
  <c r="P15" i="13"/>
  <c r="R15" i="13" s="1"/>
  <c r="Q14" i="13"/>
  <c r="S14" i="13" s="1"/>
  <c r="P14" i="13"/>
  <c r="R14" i="13" s="1"/>
  <c r="Q13" i="13"/>
  <c r="S13" i="13" s="1"/>
  <c r="P13" i="13"/>
  <c r="R13" i="13" s="1"/>
  <c r="Q10" i="13"/>
  <c r="S10" i="13" s="1"/>
  <c r="P10" i="13"/>
  <c r="R10" i="13" s="1"/>
  <c r="Q9" i="13"/>
  <c r="S9" i="13" s="1"/>
  <c r="P9" i="13"/>
  <c r="R9" i="13" s="1"/>
  <c r="Q8" i="13"/>
  <c r="S8" i="13" s="1"/>
  <c r="P8" i="13"/>
  <c r="R8" i="13" s="1"/>
  <c r="Q7" i="13"/>
  <c r="S7" i="13" s="1"/>
  <c r="P7" i="13"/>
  <c r="R7" i="13" s="1"/>
  <c r="Q6" i="13"/>
  <c r="S6" i="13" s="1"/>
  <c r="P6" i="13"/>
  <c r="R6" i="13" s="1"/>
  <c r="Q5" i="13"/>
  <c r="S5" i="13" s="1"/>
  <c r="P5" i="13"/>
  <c r="R5" i="13" s="1"/>
  <c r="Q4" i="13"/>
  <c r="S4" i="13" s="1"/>
  <c r="P4" i="13"/>
  <c r="R4" i="13" s="1"/>
  <c r="Q3" i="13"/>
  <c r="S3" i="13" s="1"/>
  <c r="P3" i="13"/>
  <c r="R3" i="13" s="1"/>
  <c r="S18" i="13"/>
  <c r="O68" i="13"/>
  <c r="O48" i="13"/>
  <c r="O43" i="13"/>
  <c r="O36" i="13"/>
  <c r="O30" i="13"/>
  <c r="O29" i="13"/>
  <c r="O28" i="13"/>
  <c r="O27" i="13"/>
  <c r="O26" i="13"/>
  <c r="O25" i="13"/>
  <c r="O24" i="13"/>
  <c r="O23" i="13"/>
  <c r="O20" i="13"/>
  <c r="O19" i="13"/>
  <c r="O18" i="13"/>
  <c r="O17" i="13"/>
  <c r="O16" i="13"/>
  <c r="O15" i="13"/>
  <c r="O14" i="13"/>
  <c r="O13" i="13"/>
  <c r="O10" i="13"/>
  <c r="O9" i="13"/>
  <c r="O8" i="13"/>
  <c r="O7" i="13"/>
  <c r="O6" i="13"/>
  <c r="O5" i="13"/>
  <c r="O4" i="13"/>
  <c r="O3" i="13"/>
  <c r="K68" i="13"/>
  <c r="M68" i="13" s="1"/>
  <c r="K48" i="13"/>
  <c r="M48" i="13" s="1"/>
  <c r="K43" i="13"/>
  <c r="M43" i="13" s="1"/>
  <c r="K36" i="13"/>
  <c r="M36" i="13" s="1"/>
  <c r="K30" i="13"/>
  <c r="M30" i="13" s="1"/>
  <c r="K29" i="13"/>
  <c r="M29" i="13" s="1"/>
  <c r="K28" i="13"/>
  <c r="M28" i="13" s="1"/>
  <c r="K27" i="13"/>
  <c r="M27" i="13" s="1"/>
  <c r="K26" i="13"/>
  <c r="M26" i="13" s="1"/>
  <c r="K25" i="13"/>
  <c r="M25" i="13" s="1"/>
  <c r="K24" i="13"/>
  <c r="M24" i="13" s="1"/>
  <c r="K23" i="13"/>
  <c r="M23" i="13" s="1"/>
  <c r="K20" i="13"/>
  <c r="M20" i="13" s="1"/>
  <c r="K19" i="13"/>
  <c r="M19" i="13" s="1"/>
  <c r="K18" i="13"/>
  <c r="M18" i="13" s="1"/>
  <c r="K17" i="13"/>
  <c r="M17" i="13" s="1"/>
  <c r="K16" i="13"/>
  <c r="M16" i="13" s="1"/>
  <c r="K15" i="13"/>
  <c r="M15" i="13" s="1"/>
  <c r="K14" i="13"/>
  <c r="M14" i="13" s="1"/>
  <c r="K13" i="13"/>
  <c r="M13" i="13" s="1"/>
  <c r="K10" i="13"/>
  <c r="M10" i="13" s="1"/>
  <c r="K9" i="13"/>
  <c r="M9" i="13" s="1"/>
  <c r="K8" i="13"/>
  <c r="M8" i="13" s="1"/>
  <c r="K7" i="13"/>
  <c r="M7" i="13" s="1"/>
  <c r="K6" i="13"/>
  <c r="M6" i="13" s="1"/>
  <c r="K5" i="13"/>
  <c r="M5" i="13" s="1"/>
  <c r="K4" i="13"/>
  <c r="M4" i="13" s="1"/>
  <c r="K3" i="13"/>
  <c r="M3" i="13" s="1"/>
  <c r="J68" i="13"/>
  <c r="L68" i="13" s="1"/>
  <c r="J48" i="13"/>
  <c r="L48" i="13" s="1"/>
  <c r="J43" i="13"/>
  <c r="L43" i="13" s="1"/>
  <c r="J36" i="13"/>
  <c r="L36" i="13" s="1"/>
  <c r="J30" i="13"/>
  <c r="L30" i="13" s="1"/>
  <c r="J29" i="13"/>
  <c r="L29" i="13" s="1"/>
  <c r="J28" i="13"/>
  <c r="L28" i="13" s="1"/>
  <c r="J27" i="13"/>
  <c r="L27" i="13" s="1"/>
  <c r="J26" i="13"/>
  <c r="L26" i="13" s="1"/>
  <c r="J25" i="13"/>
  <c r="L25" i="13" s="1"/>
  <c r="J24" i="13"/>
  <c r="L24" i="13" s="1"/>
  <c r="J23" i="13"/>
  <c r="L23" i="13" s="1"/>
  <c r="J20" i="13"/>
  <c r="L20" i="13" s="1"/>
  <c r="J19" i="13"/>
  <c r="L19" i="13" s="1"/>
  <c r="J18" i="13"/>
  <c r="L18" i="13" s="1"/>
  <c r="J17" i="13"/>
  <c r="L17" i="13" s="1"/>
  <c r="J16" i="13"/>
  <c r="L16" i="13" s="1"/>
  <c r="J15" i="13"/>
  <c r="L15" i="13" s="1"/>
  <c r="J14" i="13"/>
  <c r="L14" i="13" s="1"/>
  <c r="J13" i="13"/>
  <c r="L13" i="13" s="1"/>
  <c r="J10" i="13"/>
  <c r="L10" i="13" s="1"/>
  <c r="J9" i="13"/>
  <c r="L9" i="13" s="1"/>
  <c r="J8" i="13"/>
  <c r="L8" i="13" s="1"/>
  <c r="J7" i="13"/>
  <c r="L7" i="13" s="1"/>
  <c r="J6" i="13"/>
  <c r="L6" i="13" s="1"/>
  <c r="J5" i="13"/>
  <c r="L5" i="13" s="1"/>
  <c r="J4" i="13"/>
  <c r="L4" i="13" s="1"/>
  <c r="J3" i="13"/>
  <c r="L3" i="13" s="1"/>
  <c r="I68" i="13"/>
  <c r="I48" i="13"/>
  <c r="I43" i="13"/>
  <c r="I36" i="13"/>
  <c r="I30" i="13"/>
  <c r="I29" i="13"/>
  <c r="I28" i="13"/>
  <c r="I27" i="13"/>
  <c r="I26" i="13"/>
  <c r="I25" i="13"/>
  <c r="I24" i="13"/>
  <c r="I23" i="13"/>
  <c r="I20" i="13"/>
  <c r="I19" i="13"/>
  <c r="I18" i="13"/>
  <c r="I17" i="13"/>
  <c r="I16" i="13"/>
  <c r="I15" i="13"/>
  <c r="I14" i="13"/>
  <c r="I13" i="13"/>
  <c r="I10" i="13"/>
  <c r="I9" i="13"/>
  <c r="I8" i="13"/>
  <c r="I7" i="13"/>
  <c r="I6" i="13"/>
  <c r="I5" i="13"/>
  <c r="I4" i="13"/>
  <c r="I3" i="13"/>
  <c r="C68" i="13"/>
  <c r="E68" i="13" s="1"/>
  <c r="G68" i="13" s="1"/>
  <c r="C48" i="13"/>
  <c r="E48" i="13" s="1"/>
  <c r="G48" i="13" s="1"/>
  <c r="C44" i="13"/>
  <c r="E44" i="13" s="1"/>
  <c r="G44" i="13" s="1"/>
  <c r="C43" i="13"/>
  <c r="E43" i="13" s="1"/>
  <c r="G43" i="13" s="1"/>
  <c r="C42" i="13"/>
  <c r="E42" i="13" s="1"/>
  <c r="G42" i="13" s="1"/>
  <c r="C41" i="13"/>
  <c r="D41" i="13" s="1"/>
  <c r="F41" i="13" s="1"/>
  <c r="C38" i="13"/>
  <c r="D38" i="13" s="1"/>
  <c r="F38" i="13" s="1"/>
  <c r="C37" i="13"/>
  <c r="E37" i="13" s="1"/>
  <c r="G37" i="13" s="1"/>
  <c r="C36" i="13"/>
  <c r="E36" i="13" s="1"/>
  <c r="G36" i="13" s="1"/>
  <c r="C35" i="13"/>
  <c r="E35" i="13" s="1"/>
  <c r="G35" i="13" s="1"/>
  <c r="C34" i="13"/>
  <c r="E34" i="13" s="1"/>
  <c r="G34" i="13" s="1"/>
  <c r="C30" i="13"/>
  <c r="D30" i="13" s="1"/>
  <c r="F30" i="13" s="1"/>
  <c r="C29" i="13"/>
  <c r="D29" i="13" s="1"/>
  <c r="F29" i="13" s="1"/>
  <c r="C28" i="13"/>
  <c r="E28" i="13" s="1"/>
  <c r="G28" i="13" s="1"/>
  <c r="C27" i="13"/>
  <c r="E27" i="13" s="1"/>
  <c r="G27" i="13" s="1"/>
  <c r="C26" i="13"/>
  <c r="E26" i="13" s="1"/>
  <c r="G26" i="13" s="1"/>
  <c r="C25" i="13"/>
  <c r="E25" i="13" s="1"/>
  <c r="G25" i="13" s="1"/>
  <c r="C24" i="13"/>
  <c r="D24" i="13" s="1"/>
  <c r="F24" i="13" s="1"/>
  <c r="C23" i="13"/>
  <c r="D23" i="13" s="1"/>
  <c r="F23" i="13" s="1"/>
  <c r="C20" i="13"/>
  <c r="D20" i="13" s="1"/>
  <c r="F20" i="13" s="1"/>
  <c r="C19" i="13"/>
  <c r="D19" i="13" s="1"/>
  <c r="F19" i="13" s="1"/>
  <c r="C18" i="13"/>
  <c r="E18" i="13" s="1"/>
  <c r="G18" i="13" s="1"/>
  <c r="C17" i="13"/>
  <c r="E17" i="13" s="1"/>
  <c r="G17" i="13" s="1"/>
  <c r="C16" i="13"/>
  <c r="E16" i="13" s="1"/>
  <c r="G16" i="13" s="1"/>
  <c r="C15" i="13"/>
  <c r="E15" i="13" s="1"/>
  <c r="G15" i="13" s="1"/>
  <c r="C14" i="13"/>
  <c r="E14" i="13" s="1"/>
  <c r="G14" i="13" s="1"/>
  <c r="C13" i="13"/>
  <c r="E13" i="13" s="1"/>
  <c r="G13" i="13" s="1"/>
  <c r="C10" i="13"/>
  <c r="D10" i="13" s="1"/>
  <c r="F10" i="13" s="1"/>
  <c r="C9" i="13"/>
  <c r="D9" i="13" s="1"/>
  <c r="F9" i="13" s="1"/>
  <c r="C8" i="13"/>
  <c r="D8" i="13" s="1"/>
  <c r="F8" i="13" s="1"/>
  <c r="C7" i="13"/>
  <c r="E7" i="13" s="1"/>
  <c r="G7" i="13" s="1"/>
  <c r="C6" i="13"/>
  <c r="E6" i="13" s="1"/>
  <c r="G6" i="13" s="1"/>
  <c r="C5" i="13"/>
  <c r="E5" i="13" s="1"/>
  <c r="G5" i="13" s="1"/>
  <c r="C4" i="13"/>
  <c r="D4" i="13" s="1"/>
  <c r="F4" i="13" s="1"/>
  <c r="C3" i="13"/>
  <c r="D3" i="13" s="1"/>
  <c r="F3" i="13" s="1"/>
  <c r="I2" i="13"/>
  <c r="C2" i="13"/>
  <c r="B25" i="39"/>
  <c r="B24" i="39"/>
  <c r="B8" i="39" s="1"/>
  <c r="B12" i="39" s="1"/>
  <c r="B22" i="39"/>
  <c r="B21" i="39"/>
  <c r="B20" i="39"/>
  <c r="B19" i="39"/>
  <c r="B16" i="39"/>
  <c r="B9" i="39"/>
  <c r="B13" i="39" s="1"/>
  <c r="B6" i="39"/>
  <c r="B17" i="39" s="1"/>
  <c r="D45" i="38" l="1"/>
  <c r="F45" i="38" s="1"/>
  <c r="D32" i="38"/>
  <c r="P56" i="38"/>
  <c r="R56" i="38" s="1"/>
  <c r="P67" i="38"/>
  <c r="R67" i="38" s="1"/>
  <c r="Q44" i="38"/>
  <c r="S44" i="38" s="1"/>
  <c r="P43" i="38"/>
  <c r="R43" i="38" s="1"/>
  <c r="P37" i="38"/>
  <c r="R37" i="38" s="1"/>
  <c r="P34" i="38"/>
  <c r="R34" i="38" s="1"/>
  <c r="E41" i="38"/>
  <c r="G41" i="38" s="1"/>
  <c r="K54" i="38"/>
  <c r="M54" i="38" s="1"/>
  <c r="P35" i="38"/>
  <c r="R35" i="38" s="1"/>
  <c r="K35" i="38"/>
  <c r="M35" i="38" s="1"/>
  <c r="Q54" i="38"/>
  <c r="S54" i="38" s="1"/>
  <c r="K41" i="38"/>
  <c r="M41" i="38" s="1"/>
  <c r="E44" i="38"/>
  <c r="G44" i="38" s="1"/>
  <c r="D44" i="38"/>
  <c r="F44" i="38" s="1"/>
  <c r="K34" i="38"/>
  <c r="M34" i="38" s="1"/>
  <c r="J34" i="38"/>
  <c r="L34" i="38" s="1"/>
  <c r="Q32" i="38"/>
  <c r="P32" i="38"/>
  <c r="E54" i="38"/>
  <c r="G54" i="38" s="1"/>
  <c r="D54" i="38"/>
  <c r="F54" i="38" s="1"/>
  <c r="E35" i="38"/>
  <c r="G35" i="38" s="1"/>
  <c r="D35" i="38"/>
  <c r="F35" i="38" s="1"/>
  <c r="K43" i="38"/>
  <c r="M43" i="38" s="1"/>
  <c r="J43" i="38"/>
  <c r="L43" i="38" s="1"/>
  <c r="Q42" i="38"/>
  <c r="S42" i="38" s="1"/>
  <c r="P42" i="38"/>
  <c r="R42" i="38" s="1"/>
  <c r="E34" i="38"/>
  <c r="G34" i="38" s="1"/>
  <c r="D34" i="38"/>
  <c r="F34" i="38" s="1"/>
  <c r="E43" i="38"/>
  <c r="G43" i="38" s="1"/>
  <c r="D43" i="38"/>
  <c r="F43" i="38" s="1"/>
  <c r="K32" i="38"/>
  <c r="J32" i="38"/>
  <c r="K42" i="38"/>
  <c r="M42" i="38" s="1"/>
  <c r="J42" i="38"/>
  <c r="L42" i="38" s="1"/>
  <c r="Q41" i="38"/>
  <c r="S41" i="38" s="1"/>
  <c r="P41" i="38"/>
  <c r="R41" i="38" s="1"/>
  <c r="E38" i="38"/>
  <c r="G38" i="38" s="1"/>
  <c r="K37" i="38"/>
  <c r="M37" i="38" s="1"/>
  <c r="K56" i="38"/>
  <c r="M56" i="38" s="1"/>
  <c r="K67" i="38"/>
  <c r="M67" i="38" s="1"/>
  <c r="Q36" i="38"/>
  <c r="S36" i="38" s="1"/>
  <c r="Q45" i="38"/>
  <c r="S45" i="38" s="1"/>
  <c r="Q55" i="38"/>
  <c r="S55" i="38" s="1"/>
  <c r="Q66" i="38"/>
  <c r="S66" i="38" s="1"/>
  <c r="M38" i="38"/>
  <c r="S38" i="38"/>
  <c r="F39" i="38"/>
  <c r="S35" i="38"/>
  <c r="R36" i="38"/>
  <c r="R45" i="38"/>
  <c r="F41" i="38"/>
  <c r="L67" i="38"/>
  <c r="R54" i="38"/>
  <c r="L37" i="38"/>
  <c r="L38" i="38"/>
  <c r="G42" i="38"/>
  <c r="F42" i="38"/>
  <c r="L39" i="38"/>
  <c r="L41" i="38"/>
  <c r="S43" i="38"/>
  <c r="L56" i="38"/>
  <c r="R66" i="38"/>
  <c r="R44" i="38"/>
  <c r="S34" i="38"/>
  <c r="L35" i="38"/>
  <c r="F38" i="38"/>
  <c r="L44" i="38"/>
  <c r="L54" i="38"/>
  <c r="E20" i="13"/>
  <c r="G20" i="13" s="1"/>
  <c r="E23" i="13"/>
  <c r="G23" i="13" s="1"/>
  <c r="E19" i="13"/>
  <c r="G19" i="13" s="1"/>
  <c r="D13" i="13"/>
  <c r="F13" i="13" s="1"/>
  <c r="D35" i="13"/>
  <c r="F35" i="13" s="1"/>
  <c r="E24" i="13"/>
  <c r="G24" i="13" s="1"/>
  <c r="D42" i="13"/>
  <c r="F42" i="13" s="1"/>
  <c r="E41" i="13"/>
  <c r="G41" i="13" s="1"/>
  <c r="D14" i="13"/>
  <c r="F14" i="13" s="1"/>
  <c r="D15" i="13"/>
  <c r="F15" i="13" s="1"/>
  <c r="D43" i="13"/>
  <c r="F43" i="13" s="1"/>
  <c r="E3" i="13"/>
  <c r="G3" i="13" s="1"/>
  <c r="D44" i="13"/>
  <c r="F44" i="13" s="1"/>
  <c r="E4" i="13"/>
  <c r="G4" i="13" s="1"/>
  <c r="E9" i="13"/>
  <c r="G9" i="13" s="1"/>
  <c r="E29" i="13"/>
  <c r="G29" i="13" s="1"/>
  <c r="D25" i="13"/>
  <c r="F25" i="13" s="1"/>
  <c r="E10" i="13"/>
  <c r="G10" i="13" s="1"/>
  <c r="E30" i="13"/>
  <c r="G30" i="13" s="1"/>
  <c r="D5" i="13"/>
  <c r="F5" i="13" s="1"/>
  <c r="D34" i="13"/>
  <c r="F34" i="13" s="1"/>
  <c r="D6" i="13"/>
  <c r="F6" i="13" s="1"/>
  <c r="D16" i="13"/>
  <c r="F16" i="13" s="1"/>
  <c r="D26" i="13"/>
  <c r="F26" i="13" s="1"/>
  <c r="D36" i="13"/>
  <c r="F36" i="13" s="1"/>
  <c r="D7" i="13"/>
  <c r="F7" i="13" s="1"/>
  <c r="D17" i="13"/>
  <c r="F17" i="13" s="1"/>
  <c r="D27" i="13"/>
  <c r="F27" i="13" s="1"/>
  <c r="D37" i="13"/>
  <c r="F37" i="13" s="1"/>
  <c r="D48" i="13"/>
  <c r="F48" i="13" s="1"/>
  <c r="D18" i="13"/>
  <c r="F18" i="13" s="1"/>
  <c r="D68" i="13"/>
  <c r="F68" i="13" s="1"/>
  <c r="D28" i="13"/>
  <c r="F28" i="13" s="1"/>
  <c r="E8" i="13"/>
  <c r="G8" i="13" s="1"/>
  <c r="E38" i="13"/>
  <c r="G38" i="13" s="1"/>
  <c r="B10" i="39"/>
  <c r="B14" i="39" s="1"/>
  <c r="C79" i="37" l="1"/>
  <c r="N71" i="37"/>
  <c r="M71" i="37"/>
  <c r="L71" i="37"/>
  <c r="S71" i="37" s="1"/>
  <c r="K71" i="37"/>
  <c r="R71" i="37" s="1"/>
  <c r="J71" i="37"/>
  <c r="I71" i="37"/>
  <c r="H71" i="37"/>
  <c r="G71" i="37"/>
  <c r="F71" i="37"/>
  <c r="E71" i="37"/>
  <c r="D71" i="37"/>
  <c r="C71" i="37"/>
  <c r="N70" i="37"/>
  <c r="M70" i="37"/>
  <c r="L70" i="37"/>
  <c r="K70" i="37"/>
  <c r="J70" i="37"/>
  <c r="I70" i="37"/>
  <c r="R70" i="37" s="1"/>
  <c r="H70" i="37"/>
  <c r="G70" i="37"/>
  <c r="Q70" i="37" s="1"/>
  <c r="F70" i="37"/>
  <c r="E70" i="37"/>
  <c r="D70" i="37"/>
  <c r="C70" i="37"/>
  <c r="N69" i="37"/>
  <c r="M69" i="37"/>
  <c r="L69" i="37"/>
  <c r="S69" i="37" s="1"/>
  <c r="K69" i="37"/>
  <c r="R69" i="37" s="1"/>
  <c r="J69" i="37"/>
  <c r="I69" i="37"/>
  <c r="H69" i="37"/>
  <c r="G69" i="37"/>
  <c r="F69" i="37"/>
  <c r="E69" i="37"/>
  <c r="D69" i="37"/>
  <c r="C69" i="37"/>
  <c r="N68" i="37"/>
  <c r="M68" i="37"/>
  <c r="L68" i="37"/>
  <c r="K68" i="37"/>
  <c r="J68" i="37"/>
  <c r="I68" i="37"/>
  <c r="R68" i="37" s="1"/>
  <c r="H68" i="37"/>
  <c r="G68" i="37"/>
  <c r="Q68" i="37" s="1"/>
  <c r="F68" i="37"/>
  <c r="E68" i="37"/>
  <c r="D68" i="37"/>
  <c r="C68" i="37"/>
  <c r="C59" i="37"/>
  <c r="N58" i="37"/>
  <c r="M58" i="37"/>
  <c r="L58" i="37"/>
  <c r="S58" i="37" s="1"/>
  <c r="K58" i="37"/>
  <c r="R58" i="37" s="1"/>
  <c r="J58" i="37"/>
  <c r="I58" i="37"/>
  <c r="H58" i="37"/>
  <c r="G58" i="37"/>
  <c r="F58" i="37"/>
  <c r="E58" i="37"/>
  <c r="D58" i="37"/>
  <c r="C58" i="37"/>
  <c r="N57" i="37"/>
  <c r="M57" i="37"/>
  <c r="L57" i="37"/>
  <c r="K57" i="37"/>
  <c r="J57" i="37"/>
  <c r="I57" i="37"/>
  <c r="R57" i="37" s="1"/>
  <c r="H57" i="37"/>
  <c r="G57" i="37"/>
  <c r="Q57" i="37" s="1"/>
  <c r="F57" i="37"/>
  <c r="E57" i="37"/>
  <c r="D57" i="37"/>
  <c r="C57" i="37"/>
  <c r="N56" i="37"/>
  <c r="M56" i="37"/>
  <c r="L56" i="37"/>
  <c r="S56" i="37" s="1"/>
  <c r="K56" i="37"/>
  <c r="R56" i="37" s="1"/>
  <c r="J56" i="37"/>
  <c r="I56" i="37"/>
  <c r="H56" i="37"/>
  <c r="G56" i="37"/>
  <c r="F56" i="37"/>
  <c r="E56" i="37"/>
  <c r="D56" i="37"/>
  <c r="C56" i="37"/>
  <c r="P56" i="37" s="1"/>
  <c r="C55" i="37"/>
  <c r="C51" i="37"/>
  <c r="N50" i="37"/>
  <c r="M50" i="37"/>
  <c r="L50" i="37"/>
  <c r="S50" i="37" s="1"/>
  <c r="K50" i="37"/>
  <c r="R50" i="37" s="1"/>
  <c r="J50" i="37"/>
  <c r="I50" i="37"/>
  <c r="H50" i="37"/>
  <c r="G50" i="37"/>
  <c r="F50" i="37"/>
  <c r="E50" i="37"/>
  <c r="D50" i="37"/>
  <c r="C50" i="37"/>
  <c r="N47" i="37"/>
  <c r="M47" i="37"/>
  <c r="L47" i="37"/>
  <c r="K47" i="37"/>
  <c r="J47" i="37"/>
  <c r="I47" i="37"/>
  <c r="R47" i="37" s="1"/>
  <c r="H47" i="37"/>
  <c r="G47" i="37"/>
  <c r="Q47" i="37" s="1"/>
  <c r="F47" i="37"/>
  <c r="E47" i="37"/>
  <c r="D47" i="37"/>
  <c r="C47" i="37"/>
  <c r="N46" i="37"/>
  <c r="M46" i="37"/>
  <c r="L46" i="37"/>
  <c r="S46" i="37" s="1"/>
  <c r="K46" i="37"/>
  <c r="R46" i="37" s="1"/>
  <c r="J46" i="37"/>
  <c r="I46" i="37"/>
  <c r="H46" i="37"/>
  <c r="G46" i="37"/>
  <c r="F46" i="37"/>
  <c r="E46" i="37"/>
  <c r="D46" i="37"/>
  <c r="C46" i="37"/>
  <c r="P46" i="37" s="1"/>
  <c r="N45" i="37"/>
  <c r="M45" i="37"/>
  <c r="L45" i="37"/>
  <c r="K45" i="37"/>
  <c r="J45" i="37"/>
  <c r="I45" i="37"/>
  <c r="R45" i="37" s="1"/>
  <c r="H45" i="37"/>
  <c r="G45" i="37"/>
  <c r="Q45" i="37" s="1"/>
  <c r="F45" i="37"/>
  <c r="E45" i="37"/>
  <c r="D45" i="37"/>
  <c r="C45" i="37"/>
  <c r="N44" i="37"/>
  <c r="M44" i="37"/>
  <c r="L44" i="37"/>
  <c r="K44" i="37"/>
  <c r="R44" i="37" s="1"/>
  <c r="J44" i="37"/>
  <c r="I44" i="37"/>
  <c r="H44" i="37"/>
  <c r="G44" i="37"/>
  <c r="F44" i="37"/>
  <c r="E44" i="37"/>
  <c r="D44" i="37"/>
  <c r="C44" i="37"/>
  <c r="P44" i="37" s="1"/>
  <c r="N43" i="37"/>
  <c r="M43" i="37"/>
  <c r="L43" i="37"/>
  <c r="K43" i="37"/>
  <c r="J43" i="37"/>
  <c r="I43" i="37"/>
  <c r="R43" i="37" s="1"/>
  <c r="H43" i="37"/>
  <c r="G43" i="37"/>
  <c r="Q43" i="37" s="1"/>
  <c r="F43" i="37"/>
  <c r="E43" i="37"/>
  <c r="D43" i="37"/>
  <c r="C43" i="37"/>
  <c r="N41" i="37"/>
  <c r="M41" i="37"/>
  <c r="L41" i="37"/>
  <c r="S41" i="37" s="1"/>
  <c r="K41" i="37"/>
  <c r="R41" i="37" s="1"/>
  <c r="J41" i="37"/>
  <c r="I41" i="37"/>
  <c r="H41" i="37"/>
  <c r="G41" i="37"/>
  <c r="F41" i="37"/>
  <c r="E41" i="37"/>
  <c r="D41" i="37"/>
  <c r="C41" i="37"/>
  <c r="P36" i="37" s="1"/>
  <c r="N40" i="37"/>
  <c r="M40" i="37"/>
  <c r="L40" i="37"/>
  <c r="K40" i="37"/>
  <c r="J40" i="37"/>
  <c r="I40" i="37"/>
  <c r="R40" i="37" s="1"/>
  <c r="H40" i="37"/>
  <c r="G40" i="37"/>
  <c r="Q40" i="37" s="1"/>
  <c r="F40" i="37"/>
  <c r="E40" i="37"/>
  <c r="D40" i="37"/>
  <c r="C40" i="37"/>
  <c r="N39" i="37"/>
  <c r="M39" i="37"/>
  <c r="L39" i="37"/>
  <c r="S39" i="37" s="1"/>
  <c r="K39" i="37"/>
  <c r="R39" i="37" s="1"/>
  <c r="J39" i="37"/>
  <c r="I39" i="37"/>
  <c r="H39" i="37"/>
  <c r="G39" i="37"/>
  <c r="F39" i="37"/>
  <c r="E39" i="37"/>
  <c r="D39" i="37"/>
  <c r="C39" i="37"/>
  <c r="P39" i="37" s="1"/>
  <c r="N38" i="37"/>
  <c r="M38" i="37"/>
  <c r="L38" i="37"/>
  <c r="K38" i="37"/>
  <c r="J38" i="37"/>
  <c r="I38" i="37"/>
  <c r="R38" i="37" s="1"/>
  <c r="H38" i="37"/>
  <c r="G38" i="37"/>
  <c r="Q38" i="37" s="1"/>
  <c r="F38" i="37"/>
  <c r="E38" i="37"/>
  <c r="D38" i="37"/>
  <c r="C38" i="37"/>
  <c r="N37" i="37"/>
  <c r="M37" i="37"/>
  <c r="L37" i="37"/>
  <c r="K37" i="37"/>
  <c r="R37" i="37" s="1"/>
  <c r="J37" i="37"/>
  <c r="I37" i="37"/>
  <c r="H37" i="37"/>
  <c r="G37" i="37"/>
  <c r="F37" i="37"/>
  <c r="E37" i="37"/>
  <c r="D37" i="37"/>
  <c r="C37" i="37"/>
  <c r="P37" i="37" s="1"/>
  <c r="N36" i="37"/>
  <c r="M36" i="37"/>
  <c r="L36" i="37"/>
  <c r="K36" i="37"/>
  <c r="J36" i="37"/>
  <c r="I36" i="37"/>
  <c r="H36" i="37"/>
  <c r="G36" i="37"/>
  <c r="F36" i="37"/>
  <c r="E36" i="37"/>
  <c r="D36" i="37"/>
  <c r="C36" i="37"/>
  <c r="N34" i="37"/>
  <c r="M34" i="37"/>
  <c r="L34" i="37"/>
  <c r="S34" i="37" s="1"/>
  <c r="K34" i="37"/>
  <c r="R34" i="37" s="1"/>
  <c r="J34" i="37"/>
  <c r="I34" i="37"/>
  <c r="H34" i="37"/>
  <c r="G34" i="37"/>
  <c r="F34" i="37"/>
  <c r="E34" i="37"/>
  <c r="D34" i="37"/>
  <c r="C34" i="37"/>
  <c r="P34" i="37" s="1"/>
  <c r="U34" i="37" s="1"/>
  <c r="N32" i="37"/>
  <c r="M32" i="37"/>
  <c r="L32" i="37"/>
  <c r="K32" i="37"/>
  <c r="J32" i="37"/>
  <c r="I32" i="37"/>
  <c r="H32" i="37"/>
  <c r="G32" i="37"/>
  <c r="F32" i="37"/>
  <c r="E32" i="37"/>
  <c r="D32" i="37"/>
  <c r="C32" i="37"/>
  <c r="N31" i="37"/>
  <c r="M31" i="37"/>
  <c r="L31" i="37"/>
  <c r="S31" i="37" s="1"/>
  <c r="K31" i="37"/>
  <c r="R31" i="37" s="1"/>
  <c r="J31" i="37"/>
  <c r="I31" i="37"/>
  <c r="H31" i="37"/>
  <c r="G31" i="37"/>
  <c r="F31" i="37"/>
  <c r="E31" i="37"/>
  <c r="D31" i="37"/>
  <c r="C31" i="37"/>
  <c r="P31" i="37" s="1"/>
  <c r="N30" i="37"/>
  <c r="M30" i="37"/>
  <c r="L30" i="37"/>
  <c r="K30" i="37"/>
  <c r="J30" i="37"/>
  <c r="I30" i="37"/>
  <c r="H30" i="37"/>
  <c r="G30" i="37"/>
  <c r="F30" i="37"/>
  <c r="E30" i="37"/>
  <c r="D30" i="37"/>
  <c r="P30" i="37" s="1"/>
  <c r="C30" i="37"/>
  <c r="N29" i="37"/>
  <c r="M29" i="37"/>
  <c r="L29" i="37"/>
  <c r="S29" i="37" s="1"/>
  <c r="K29" i="37"/>
  <c r="R29" i="37" s="1"/>
  <c r="J29" i="37"/>
  <c r="I29" i="37"/>
  <c r="H29" i="37"/>
  <c r="Q29" i="37" s="1"/>
  <c r="G29" i="37"/>
  <c r="F29" i="37"/>
  <c r="E29" i="37"/>
  <c r="D29" i="37"/>
  <c r="C29" i="37"/>
  <c r="P29" i="37" s="1"/>
  <c r="N28" i="37"/>
  <c r="M28" i="37"/>
  <c r="L28" i="37"/>
  <c r="K28" i="37"/>
  <c r="J28" i="37"/>
  <c r="I28" i="37"/>
  <c r="H28" i="37"/>
  <c r="G28" i="37"/>
  <c r="Q28" i="37" s="1"/>
  <c r="F28" i="37"/>
  <c r="E28" i="37"/>
  <c r="D28" i="37"/>
  <c r="C28" i="37"/>
  <c r="N27" i="37"/>
  <c r="M27" i="37"/>
  <c r="L27" i="37"/>
  <c r="S27" i="37" s="1"/>
  <c r="K27" i="37"/>
  <c r="R27" i="37" s="1"/>
  <c r="J27" i="37"/>
  <c r="I27" i="37"/>
  <c r="H27" i="37"/>
  <c r="Q27" i="37" s="1"/>
  <c r="G27" i="37"/>
  <c r="F27" i="37"/>
  <c r="E27" i="37"/>
  <c r="D27" i="37"/>
  <c r="C27" i="37"/>
  <c r="P27" i="37" s="1"/>
  <c r="N26" i="37"/>
  <c r="M26" i="37"/>
  <c r="L26" i="37"/>
  <c r="K26" i="37"/>
  <c r="J26" i="37"/>
  <c r="I26" i="37"/>
  <c r="H26" i="37"/>
  <c r="G26" i="37"/>
  <c r="F26" i="37"/>
  <c r="E26" i="37"/>
  <c r="D26" i="37"/>
  <c r="P26" i="37" s="1"/>
  <c r="C26" i="37"/>
  <c r="N25" i="37"/>
  <c r="M25" i="37"/>
  <c r="L25" i="37"/>
  <c r="S25" i="37" s="1"/>
  <c r="K25" i="37"/>
  <c r="R25" i="37" s="1"/>
  <c r="J25" i="37"/>
  <c r="I25" i="37"/>
  <c r="H25" i="37"/>
  <c r="Q25" i="37" s="1"/>
  <c r="G25" i="37"/>
  <c r="F25" i="37"/>
  <c r="E25" i="37"/>
  <c r="D25" i="37"/>
  <c r="C25" i="37"/>
  <c r="P25" i="37" s="1"/>
  <c r="N22" i="37"/>
  <c r="M22" i="37"/>
  <c r="L22" i="37"/>
  <c r="K22" i="37"/>
  <c r="J22" i="37"/>
  <c r="I22" i="37"/>
  <c r="H22" i="37"/>
  <c r="G22" i="37"/>
  <c r="F22" i="37"/>
  <c r="E22" i="37"/>
  <c r="D22" i="37"/>
  <c r="C22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N12" i="37"/>
  <c r="M12" i="37"/>
  <c r="L12" i="37"/>
  <c r="K12" i="37"/>
  <c r="J12" i="37"/>
  <c r="I12" i="37"/>
  <c r="H12" i="37"/>
  <c r="G12" i="37"/>
  <c r="F12" i="37"/>
  <c r="E12" i="37"/>
  <c r="D12" i="37"/>
  <c r="P12" i="37" s="1"/>
  <c r="C12" i="37"/>
  <c r="N11" i="37"/>
  <c r="M11" i="37"/>
  <c r="L11" i="37"/>
  <c r="S11" i="37" s="1"/>
  <c r="K11" i="37"/>
  <c r="R11" i="37" s="1"/>
  <c r="J11" i="37"/>
  <c r="I11" i="37"/>
  <c r="H11" i="37"/>
  <c r="Q11" i="37" s="1"/>
  <c r="G11" i="37"/>
  <c r="F11" i="37"/>
  <c r="E11" i="37"/>
  <c r="D11" i="37"/>
  <c r="C11" i="37"/>
  <c r="P11" i="37" s="1"/>
  <c r="U11" i="37" s="1"/>
  <c r="N10" i="37"/>
  <c r="M10" i="37"/>
  <c r="L10" i="37"/>
  <c r="K10" i="37"/>
  <c r="J10" i="37"/>
  <c r="I10" i="37"/>
  <c r="H10" i="37"/>
  <c r="G10" i="37"/>
  <c r="F10" i="37"/>
  <c r="E10" i="37"/>
  <c r="D10" i="37"/>
  <c r="P10" i="37" s="1"/>
  <c r="C10" i="37"/>
  <c r="N9" i="37"/>
  <c r="M9" i="37"/>
  <c r="L9" i="37"/>
  <c r="S9" i="37" s="1"/>
  <c r="K9" i="37"/>
  <c r="R9" i="37" s="1"/>
  <c r="J9" i="37"/>
  <c r="I9" i="37"/>
  <c r="H9" i="37"/>
  <c r="Q9" i="37" s="1"/>
  <c r="G9" i="37"/>
  <c r="F9" i="37"/>
  <c r="E9" i="37"/>
  <c r="D9" i="37"/>
  <c r="C9" i="37"/>
  <c r="P9" i="37" s="1"/>
  <c r="U9" i="37" s="1"/>
  <c r="N8" i="37"/>
  <c r="M8" i="37"/>
  <c r="L8" i="37"/>
  <c r="K8" i="37"/>
  <c r="J8" i="37"/>
  <c r="I8" i="37"/>
  <c r="H8" i="37"/>
  <c r="G8" i="37"/>
  <c r="Q8" i="37" s="1"/>
  <c r="F8" i="37"/>
  <c r="E8" i="37"/>
  <c r="D8" i="37"/>
  <c r="C8" i="37"/>
  <c r="N7" i="37"/>
  <c r="M7" i="37"/>
  <c r="L7" i="37"/>
  <c r="S7" i="37" s="1"/>
  <c r="S17" i="37" s="1"/>
  <c r="K7" i="37"/>
  <c r="R7" i="37" s="1"/>
  <c r="J7" i="37"/>
  <c r="I7" i="37"/>
  <c r="H7" i="37"/>
  <c r="Q7" i="37" s="1"/>
  <c r="G7" i="37"/>
  <c r="F7" i="37"/>
  <c r="E7" i="37"/>
  <c r="D7" i="37"/>
  <c r="C7" i="37"/>
  <c r="P7" i="37" s="1"/>
  <c r="N6" i="37"/>
  <c r="M6" i="37"/>
  <c r="L6" i="37"/>
  <c r="K6" i="37"/>
  <c r="J6" i="37"/>
  <c r="I6" i="37"/>
  <c r="H6" i="37"/>
  <c r="G6" i="37"/>
  <c r="F6" i="37"/>
  <c r="E6" i="37"/>
  <c r="D6" i="37"/>
  <c r="P6" i="37" s="1"/>
  <c r="U6" i="37" s="1"/>
  <c r="C6" i="37"/>
  <c r="N5" i="37"/>
  <c r="M5" i="37"/>
  <c r="L5" i="37"/>
  <c r="S5" i="37" s="1"/>
  <c r="S15" i="37" s="1"/>
  <c r="K5" i="37"/>
  <c r="R5" i="37" s="1"/>
  <c r="J5" i="37"/>
  <c r="I5" i="37"/>
  <c r="H5" i="37"/>
  <c r="Q5" i="37" s="1"/>
  <c r="G5" i="37"/>
  <c r="F5" i="37"/>
  <c r="E5" i="37"/>
  <c r="D5" i="37"/>
  <c r="C5" i="37"/>
  <c r="P5" i="37" s="1"/>
  <c r="N95" i="36"/>
  <c r="M95" i="36"/>
  <c r="L95" i="36"/>
  <c r="K95" i="36"/>
  <c r="J95" i="36"/>
  <c r="I95" i="36"/>
  <c r="H95" i="36"/>
  <c r="G95" i="36"/>
  <c r="F95" i="36"/>
  <c r="E95" i="36"/>
  <c r="D95" i="36"/>
  <c r="C95" i="36"/>
  <c r="N94" i="36"/>
  <c r="M94" i="36"/>
  <c r="L94" i="36"/>
  <c r="K94" i="36"/>
  <c r="J94" i="36"/>
  <c r="I94" i="36"/>
  <c r="H94" i="36"/>
  <c r="G94" i="36"/>
  <c r="F94" i="36"/>
  <c r="E94" i="36"/>
  <c r="D94" i="36"/>
  <c r="C94" i="36"/>
  <c r="N92" i="36"/>
  <c r="M92" i="36"/>
  <c r="L92" i="36"/>
  <c r="K92" i="36"/>
  <c r="J92" i="36"/>
  <c r="I92" i="36"/>
  <c r="H92" i="36"/>
  <c r="G92" i="36"/>
  <c r="F92" i="36"/>
  <c r="E92" i="36"/>
  <c r="D92" i="36"/>
  <c r="C92" i="36"/>
  <c r="N91" i="36"/>
  <c r="M91" i="36"/>
  <c r="L91" i="36"/>
  <c r="K91" i="36"/>
  <c r="J91" i="36"/>
  <c r="I91" i="36"/>
  <c r="H91" i="36"/>
  <c r="G91" i="36"/>
  <c r="F91" i="36"/>
  <c r="E91" i="36"/>
  <c r="D91" i="36"/>
  <c r="C91" i="36"/>
  <c r="N90" i="36"/>
  <c r="M90" i="36"/>
  <c r="L90" i="36"/>
  <c r="K90" i="36"/>
  <c r="J90" i="36"/>
  <c r="I90" i="36"/>
  <c r="H90" i="36"/>
  <c r="G90" i="36"/>
  <c r="F90" i="36"/>
  <c r="E90" i="36"/>
  <c r="D90" i="36"/>
  <c r="C90" i="36"/>
  <c r="N89" i="36"/>
  <c r="M89" i="36"/>
  <c r="L89" i="36"/>
  <c r="K89" i="36"/>
  <c r="J89" i="36"/>
  <c r="I89" i="36"/>
  <c r="H89" i="36"/>
  <c r="G89" i="36"/>
  <c r="F89" i="36"/>
  <c r="E89" i="36"/>
  <c r="D89" i="36"/>
  <c r="C89" i="36"/>
  <c r="N88" i="36"/>
  <c r="M88" i="36"/>
  <c r="L88" i="36"/>
  <c r="K88" i="36"/>
  <c r="J88" i="36"/>
  <c r="I88" i="36"/>
  <c r="H88" i="36"/>
  <c r="G88" i="36"/>
  <c r="F88" i="36"/>
  <c r="E88" i="36"/>
  <c r="D88" i="36"/>
  <c r="C88" i="36"/>
  <c r="N87" i="36"/>
  <c r="M87" i="36"/>
  <c r="L87" i="36"/>
  <c r="K87" i="36"/>
  <c r="J87" i="36"/>
  <c r="I87" i="36"/>
  <c r="H87" i="36"/>
  <c r="G87" i="36"/>
  <c r="F87" i="36"/>
  <c r="E87" i="36"/>
  <c r="D87" i="36"/>
  <c r="C87" i="36"/>
  <c r="N86" i="36"/>
  <c r="M86" i="36"/>
  <c r="L86" i="36"/>
  <c r="K86" i="36"/>
  <c r="J86" i="36"/>
  <c r="I86" i="36"/>
  <c r="H86" i="36"/>
  <c r="G86" i="36"/>
  <c r="F86" i="36"/>
  <c r="E86" i="36"/>
  <c r="D86" i="36"/>
  <c r="C86" i="36"/>
  <c r="N85" i="36"/>
  <c r="M85" i="36"/>
  <c r="L85" i="36"/>
  <c r="K85" i="36"/>
  <c r="J85" i="36"/>
  <c r="I85" i="36"/>
  <c r="H85" i="36"/>
  <c r="G85" i="36"/>
  <c r="F85" i="36"/>
  <c r="E85" i="36"/>
  <c r="D85" i="36"/>
  <c r="C85" i="36"/>
  <c r="N84" i="36"/>
  <c r="M84" i="36"/>
  <c r="L84" i="36"/>
  <c r="K84" i="36"/>
  <c r="J84" i="36"/>
  <c r="I84" i="36"/>
  <c r="H84" i="36"/>
  <c r="G84" i="36"/>
  <c r="F84" i="36"/>
  <c r="E84" i="36"/>
  <c r="D84" i="36"/>
  <c r="C84" i="36"/>
  <c r="N83" i="36"/>
  <c r="M83" i="36"/>
  <c r="L83" i="36"/>
  <c r="K83" i="36"/>
  <c r="J83" i="36"/>
  <c r="I83" i="36"/>
  <c r="H83" i="36"/>
  <c r="G83" i="36"/>
  <c r="F83" i="36"/>
  <c r="E83" i="36"/>
  <c r="D83" i="36"/>
  <c r="C83" i="36"/>
  <c r="N81" i="36"/>
  <c r="M81" i="36"/>
  <c r="L81" i="36"/>
  <c r="K81" i="36"/>
  <c r="J81" i="36"/>
  <c r="I81" i="36"/>
  <c r="H81" i="36"/>
  <c r="G81" i="36"/>
  <c r="F81" i="36"/>
  <c r="E81" i="36"/>
  <c r="D81" i="36"/>
  <c r="C81" i="36"/>
  <c r="N80" i="36"/>
  <c r="M80" i="36"/>
  <c r="L80" i="36"/>
  <c r="K80" i="36"/>
  <c r="J80" i="36"/>
  <c r="I80" i="36"/>
  <c r="H80" i="36"/>
  <c r="G80" i="36"/>
  <c r="F80" i="36"/>
  <c r="E80" i="36"/>
  <c r="D80" i="36"/>
  <c r="C80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N77" i="36"/>
  <c r="M77" i="36"/>
  <c r="L77" i="36"/>
  <c r="K77" i="36"/>
  <c r="J77" i="36"/>
  <c r="I77" i="36"/>
  <c r="H77" i="36"/>
  <c r="G77" i="36"/>
  <c r="F77" i="36"/>
  <c r="E77" i="36"/>
  <c r="D77" i="36"/>
  <c r="C77" i="36"/>
  <c r="N74" i="36"/>
  <c r="M74" i="36"/>
  <c r="L74" i="36"/>
  <c r="K74" i="36"/>
  <c r="J74" i="36"/>
  <c r="I74" i="36"/>
  <c r="H74" i="36"/>
  <c r="G74" i="36"/>
  <c r="F74" i="36"/>
  <c r="E74" i="36"/>
  <c r="D74" i="36"/>
  <c r="C74" i="36"/>
  <c r="N73" i="36"/>
  <c r="M73" i="36"/>
  <c r="L73" i="36"/>
  <c r="K73" i="36"/>
  <c r="J73" i="36"/>
  <c r="I73" i="36"/>
  <c r="H73" i="36"/>
  <c r="G73" i="36"/>
  <c r="F73" i="36"/>
  <c r="E73" i="36"/>
  <c r="D73" i="36"/>
  <c r="C73" i="36"/>
  <c r="N71" i="36"/>
  <c r="M71" i="36"/>
  <c r="L71" i="36"/>
  <c r="K71" i="36"/>
  <c r="J71" i="36"/>
  <c r="I71" i="36"/>
  <c r="H71" i="36"/>
  <c r="G71" i="36"/>
  <c r="F71" i="36"/>
  <c r="E71" i="36"/>
  <c r="D71" i="36"/>
  <c r="C71" i="36"/>
  <c r="N70" i="36"/>
  <c r="M70" i="36"/>
  <c r="L70" i="36"/>
  <c r="K70" i="36"/>
  <c r="J70" i="36"/>
  <c r="I70" i="36"/>
  <c r="H70" i="36"/>
  <c r="G70" i="36"/>
  <c r="Q70" i="36" s="1"/>
  <c r="F70" i="36"/>
  <c r="E70" i="36"/>
  <c r="D70" i="36"/>
  <c r="C70" i="36"/>
  <c r="N69" i="36"/>
  <c r="M69" i="36"/>
  <c r="L69" i="36"/>
  <c r="K69" i="36"/>
  <c r="J69" i="36"/>
  <c r="I69" i="36"/>
  <c r="H69" i="36"/>
  <c r="G69" i="36"/>
  <c r="F69" i="36"/>
  <c r="E69" i="36"/>
  <c r="D69" i="36"/>
  <c r="C69" i="36"/>
  <c r="N68" i="36"/>
  <c r="M68" i="36"/>
  <c r="L68" i="36"/>
  <c r="K68" i="36"/>
  <c r="J68" i="36"/>
  <c r="I68" i="36"/>
  <c r="H68" i="36"/>
  <c r="G68" i="36"/>
  <c r="F68" i="36"/>
  <c r="E68" i="36"/>
  <c r="D68" i="36"/>
  <c r="C68" i="36"/>
  <c r="N66" i="36"/>
  <c r="M66" i="36"/>
  <c r="L66" i="36"/>
  <c r="K66" i="36"/>
  <c r="J66" i="36"/>
  <c r="I66" i="36"/>
  <c r="H66" i="36"/>
  <c r="G66" i="36"/>
  <c r="F66" i="36"/>
  <c r="E66" i="36"/>
  <c r="D66" i="36"/>
  <c r="C66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N63" i="36"/>
  <c r="M63" i="36"/>
  <c r="L63" i="36"/>
  <c r="K63" i="36"/>
  <c r="J63" i="36"/>
  <c r="I63" i="36"/>
  <c r="H63" i="36"/>
  <c r="G63" i="36"/>
  <c r="F63" i="36"/>
  <c r="E63" i="36"/>
  <c r="D63" i="36"/>
  <c r="C63" i="36"/>
  <c r="N62" i="36"/>
  <c r="M62" i="36"/>
  <c r="L62" i="36"/>
  <c r="K62" i="36"/>
  <c r="J62" i="36"/>
  <c r="I62" i="36"/>
  <c r="H62" i="36"/>
  <c r="G62" i="36"/>
  <c r="F62" i="36"/>
  <c r="E62" i="36"/>
  <c r="D62" i="36"/>
  <c r="C62" i="36"/>
  <c r="N59" i="36"/>
  <c r="M59" i="36"/>
  <c r="L59" i="36"/>
  <c r="K59" i="36"/>
  <c r="J59" i="36"/>
  <c r="I59" i="36"/>
  <c r="H59" i="36"/>
  <c r="G59" i="36"/>
  <c r="F59" i="36"/>
  <c r="E59" i="36"/>
  <c r="D59" i="36"/>
  <c r="C59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N56" i="36"/>
  <c r="M56" i="36"/>
  <c r="L56" i="36"/>
  <c r="K56" i="36"/>
  <c r="J56" i="36"/>
  <c r="I56" i="36"/>
  <c r="H56" i="36"/>
  <c r="G56" i="36"/>
  <c r="F56" i="36"/>
  <c r="E56" i="36"/>
  <c r="D56" i="36"/>
  <c r="C56" i="36"/>
  <c r="N55" i="36"/>
  <c r="M55" i="36"/>
  <c r="L55" i="36"/>
  <c r="K55" i="36"/>
  <c r="J55" i="36"/>
  <c r="I55" i="36"/>
  <c r="H55" i="36"/>
  <c r="G55" i="36"/>
  <c r="F55" i="36"/>
  <c r="E55" i="36"/>
  <c r="D55" i="36"/>
  <c r="C55" i="36"/>
  <c r="N54" i="36"/>
  <c r="M54" i="36"/>
  <c r="L54" i="36"/>
  <c r="K54" i="36"/>
  <c r="J54" i="36"/>
  <c r="I54" i="36"/>
  <c r="H54" i="36"/>
  <c r="G54" i="36"/>
  <c r="F54" i="36"/>
  <c r="E54" i="36"/>
  <c r="D54" i="36"/>
  <c r="C54" i="36"/>
  <c r="N53" i="36"/>
  <c r="M53" i="36"/>
  <c r="L53" i="36"/>
  <c r="K53" i="36"/>
  <c r="J53" i="36"/>
  <c r="I53" i="36"/>
  <c r="H53" i="36"/>
  <c r="G53" i="36"/>
  <c r="F53" i="36"/>
  <c r="E53" i="36"/>
  <c r="D53" i="36"/>
  <c r="C53" i="36"/>
  <c r="N52" i="36"/>
  <c r="M52" i="36"/>
  <c r="L52" i="36"/>
  <c r="K52" i="36"/>
  <c r="J52" i="36"/>
  <c r="I52" i="36"/>
  <c r="H52" i="36"/>
  <c r="G52" i="36"/>
  <c r="F52" i="36"/>
  <c r="E52" i="36"/>
  <c r="D52" i="36"/>
  <c r="C52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N50" i="36"/>
  <c r="M50" i="36"/>
  <c r="S50" i="36" s="1"/>
  <c r="L50" i="36"/>
  <c r="K50" i="36"/>
  <c r="R50" i="36" s="1"/>
  <c r="J50" i="36"/>
  <c r="I50" i="36"/>
  <c r="H50" i="36"/>
  <c r="G50" i="36"/>
  <c r="F50" i="36"/>
  <c r="E50" i="36"/>
  <c r="D50" i="36"/>
  <c r="C50" i="36"/>
  <c r="P50" i="36" s="1"/>
  <c r="N47" i="36"/>
  <c r="M47" i="36"/>
  <c r="L47" i="36"/>
  <c r="K47" i="36"/>
  <c r="J47" i="36"/>
  <c r="I47" i="36"/>
  <c r="H47" i="36"/>
  <c r="G47" i="36"/>
  <c r="F47" i="36"/>
  <c r="E47" i="36"/>
  <c r="D47" i="36"/>
  <c r="C47" i="36"/>
  <c r="N46" i="36"/>
  <c r="M46" i="36"/>
  <c r="L46" i="36"/>
  <c r="K46" i="36"/>
  <c r="J46" i="36"/>
  <c r="I46" i="36"/>
  <c r="H46" i="36"/>
  <c r="G46" i="36"/>
  <c r="F46" i="36"/>
  <c r="E46" i="36"/>
  <c r="D46" i="36"/>
  <c r="C46" i="36"/>
  <c r="N45" i="36"/>
  <c r="M45" i="36"/>
  <c r="S45" i="36" s="1"/>
  <c r="L45" i="36"/>
  <c r="K45" i="36"/>
  <c r="J45" i="36"/>
  <c r="I45" i="36"/>
  <c r="H45" i="36"/>
  <c r="G45" i="36"/>
  <c r="Q45" i="36" s="1"/>
  <c r="F45" i="36"/>
  <c r="E45" i="36"/>
  <c r="D45" i="36"/>
  <c r="C45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N41" i="36"/>
  <c r="M41" i="36"/>
  <c r="L41" i="36"/>
  <c r="K41" i="36"/>
  <c r="J41" i="36"/>
  <c r="I41" i="36"/>
  <c r="H41" i="36"/>
  <c r="G41" i="36"/>
  <c r="F41" i="36"/>
  <c r="E41" i="36"/>
  <c r="D41" i="36"/>
  <c r="C41" i="36"/>
  <c r="N40" i="36"/>
  <c r="M40" i="36"/>
  <c r="L40" i="36"/>
  <c r="K40" i="36"/>
  <c r="J40" i="36"/>
  <c r="I40" i="36"/>
  <c r="H40" i="36"/>
  <c r="G40" i="36"/>
  <c r="F40" i="36"/>
  <c r="E40" i="36"/>
  <c r="D40" i="36"/>
  <c r="C40" i="36"/>
  <c r="N39" i="36"/>
  <c r="M39" i="36"/>
  <c r="L39" i="36"/>
  <c r="K39" i="36"/>
  <c r="J39" i="36"/>
  <c r="I39" i="36"/>
  <c r="H39" i="36"/>
  <c r="G39" i="36"/>
  <c r="F39" i="36"/>
  <c r="E39" i="36"/>
  <c r="D39" i="36"/>
  <c r="C39" i="36"/>
  <c r="N38" i="36"/>
  <c r="M38" i="36"/>
  <c r="L38" i="36"/>
  <c r="K38" i="36"/>
  <c r="J38" i="36"/>
  <c r="I38" i="36"/>
  <c r="R38" i="36" s="1"/>
  <c r="H38" i="36"/>
  <c r="G38" i="36"/>
  <c r="Q38" i="36" s="1"/>
  <c r="F38" i="36"/>
  <c r="E38" i="36"/>
  <c r="D38" i="36"/>
  <c r="C38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N34" i="36"/>
  <c r="M34" i="36"/>
  <c r="L34" i="36"/>
  <c r="K34" i="36"/>
  <c r="J34" i="36"/>
  <c r="I34" i="36"/>
  <c r="H34" i="36"/>
  <c r="G34" i="36"/>
  <c r="F34" i="36"/>
  <c r="E34" i="36"/>
  <c r="D34" i="36"/>
  <c r="C34" i="36"/>
  <c r="N32" i="36"/>
  <c r="M32" i="36"/>
  <c r="S32" i="36" s="1"/>
  <c r="L32" i="36"/>
  <c r="K32" i="36"/>
  <c r="J32" i="36"/>
  <c r="I32" i="36"/>
  <c r="R32" i="36" s="1"/>
  <c r="H32" i="36"/>
  <c r="G32" i="36"/>
  <c r="Q32" i="36" s="1"/>
  <c r="F32" i="36"/>
  <c r="E32" i="36"/>
  <c r="D32" i="36"/>
  <c r="C32" i="36"/>
  <c r="N31" i="36"/>
  <c r="M31" i="36"/>
  <c r="L31" i="36"/>
  <c r="K31" i="36"/>
  <c r="J31" i="36"/>
  <c r="I31" i="36"/>
  <c r="R31" i="36" s="1"/>
  <c r="H31" i="36"/>
  <c r="G31" i="36"/>
  <c r="F31" i="36"/>
  <c r="E31" i="36"/>
  <c r="D31" i="36"/>
  <c r="C31" i="36"/>
  <c r="P31" i="36" s="1"/>
  <c r="N30" i="36"/>
  <c r="M30" i="36"/>
  <c r="S30" i="36" s="1"/>
  <c r="L30" i="36"/>
  <c r="K30" i="36"/>
  <c r="J30" i="36"/>
  <c r="I30" i="36"/>
  <c r="R30" i="36" s="1"/>
  <c r="H30" i="36"/>
  <c r="G30" i="36"/>
  <c r="F30" i="36"/>
  <c r="E30" i="36"/>
  <c r="P30" i="36" s="1"/>
  <c r="D30" i="36"/>
  <c r="C30" i="36"/>
  <c r="N29" i="36"/>
  <c r="M29" i="36"/>
  <c r="S29" i="36" s="1"/>
  <c r="L29" i="36"/>
  <c r="K29" i="36"/>
  <c r="J29" i="36"/>
  <c r="I29" i="36"/>
  <c r="H29" i="36"/>
  <c r="G29" i="36"/>
  <c r="F29" i="36"/>
  <c r="E29" i="36"/>
  <c r="D29" i="36"/>
  <c r="C29" i="36"/>
  <c r="P29" i="36" s="1"/>
  <c r="N28" i="36"/>
  <c r="M28" i="36"/>
  <c r="S28" i="36" s="1"/>
  <c r="L28" i="36"/>
  <c r="K28" i="36"/>
  <c r="J28" i="36"/>
  <c r="I28" i="36"/>
  <c r="R28" i="36" s="1"/>
  <c r="H28" i="36"/>
  <c r="G28" i="36"/>
  <c r="Q28" i="36" s="1"/>
  <c r="F28" i="36"/>
  <c r="E28" i="36"/>
  <c r="D28" i="36"/>
  <c r="C28" i="36"/>
  <c r="N27" i="36"/>
  <c r="M27" i="36"/>
  <c r="S27" i="36" s="1"/>
  <c r="L27" i="36"/>
  <c r="K27" i="36"/>
  <c r="J27" i="36"/>
  <c r="I27" i="36"/>
  <c r="H27" i="36"/>
  <c r="G27" i="36"/>
  <c r="F27" i="36"/>
  <c r="E27" i="36"/>
  <c r="D27" i="36"/>
  <c r="C27" i="36"/>
  <c r="P27" i="36" s="1"/>
  <c r="N26" i="36"/>
  <c r="M26" i="36"/>
  <c r="S26" i="36" s="1"/>
  <c r="L26" i="36"/>
  <c r="K26" i="36"/>
  <c r="J26" i="36"/>
  <c r="I26" i="36"/>
  <c r="R26" i="36" s="1"/>
  <c r="H26" i="36"/>
  <c r="G26" i="36"/>
  <c r="Q26" i="36" s="1"/>
  <c r="F26" i="36"/>
  <c r="E26" i="36"/>
  <c r="D26" i="36"/>
  <c r="C26" i="36"/>
  <c r="N25" i="36"/>
  <c r="M25" i="36"/>
  <c r="L25" i="36"/>
  <c r="K25" i="36"/>
  <c r="J25" i="36"/>
  <c r="I25" i="36"/>
  <c r="R25" i="36" s="1"/>
  <c r="H25" i="36"/>
  <c r="G25" i="36"/>
  <c r="F25" i="36"/>
  <c r="E25" i="36"/>
  <c r="D25" i="36"/>
  <c r="C25" i="36"/>
  <c r="P25" i="36" s="1"/>
  <c r="N22" i="36"/>
  <c r="M22" i="36"/>
  <c r="L22" i="36"/>
  <c r="K22" i="36"/>
  <c r="J22" i="36"/>
  <c r="I22" i="36"/>
  <c r="H22" i="36"/>
  <c r="G22" i="36"/>
  <c r="F22" i="36"/>
  <c r="E22" i="36"/>
  <c r="D22" i="36"/>
  <c r="C22" i="36"/>
  <c r="N21" i="36"/>
  <c r="M21" i="36"/>
  <c r="L21" i="36"/>
  <c r="K21" i="36"/>
  <c r="J21" i="36"/>
  <c r="I21" i="36"/>
  <c r="H21" i="36"/>
  <c r="G21" i="36"/>
  <c r="F21" i="36"/>
  <c r="E21" i="36"/>
  <c r="D21" i="36"/>
  <c r="C21" i="36"/>
  <c r="N20" i="36"/>
  <c r="M20" i="36"/>
  <c r="L20" i="36"/>
  <c r="K20" i="36"/>
  <c r="J20" i="36"/>
  <c r="I20" i="36"/>
  <c r="H20" i="36"/>
  <c r="G20" i="36"/>
  <c r="F20" i="36"/>
  <c r="E20" i="36"/>
  <c r="D20" i="36"/>
  <c r="C20" i="36"/>
  <c r="N19" i="36"/>
  <c r="M19" i="36"/>
  <c r="L19" i="36"/>
  <c r="K19" i="36"/>
  <c r="J19" i="36"/>
  <c r="I19" i="36"/>
  <c r="H19" i="36"/>
  <c r="G19" i="36"/>
  <c r="F19" i="36"/>
  <c r="E19" i="36"/>
  <c r="D19" i="36"/>
  <c r="C19" i="36"/>
  <c r="N18" i="36"/>
  <c r="M18" i="36"/>
  <c r="L18" i="36"/>
  <c r="K18" i="36"/>
  <c r="J18" i="36"/>
  <c r="I18" i="36"/>
  <c r="H18" i="36"/>
  <c r="G18" i="36"/>
  <c r="F18" i="36"/>
  <c r="E18" i="36"/>
  <c r="D18" i="36"/>
  <c r="C18" i="36"/>
  <c r="N17" i="36"/>
  <c r="M17" i="36"/>
  <c r="L17" i="36"/>
  <c r="K17" i="36"/>
  <c r="J17" i="36"/>
  <c r="I17" i="36"/>
  <c r="H17" i="36"/>
  <c r="G17" i="36"/>
  <c r="F17" i="36"/>
  <c r="E17" i="36"/>
  <c r="D17" i="36"/>
  <c r="C17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N12" i="36"/>
  <c r="M12" i="36"/>
  <c r="S12" i="36" s="1"/>
  <c r="L12" i="36"/>
  <c r="K12" i="36"/>
  <c r="J12" i="36"/>
  <c r="I12" i="36"/>
  <c r="R12" i="36" s="1"/>
  <c r="H12" i="36"/>
  <c r="G12" i="36"/>
  <c r="Q12" i="36" s="1"/>
  <c r="F12" i="36"/>
  <c r="E12" i="36"/>
  <c r="D12" i="36"/>
  <c r="C12" i="36"/>
  <c r="N11" i="36"/>
  <c r="M11" i="36"/>
  <c r="L11" i="36"/>
  <c r="K11" i="36"/>
  <c r="J11" i="36"/>
  <c r="I11" i="36"/>
  <c r="R11" i="36" s="1"/>
  <c r="H11" i="36"/>
  <c r="G11" i="36"/>
  <c r="F11" i="36"/>
  <c r="E11" i="36"/>
  <c r="D11" i="36"/>
  <c r="C11" i="36"/>
  <c r="P11" i="36" s="1"/>
  <c r="N10" i="36"/>
  <c r="M10" i="36"/>
  <c r="S10" i="36" s="1"/>
  <c r="S20" i="36" s="1"/>
  <c r="L10" i="36"/>
  <c r="K10" i="36"/>
  <c r="J10" i="36"/>
  <c r="I10" i="36"/>
  <c r="R10" i="36" s="1"/>
  <c r="H10" i="36"/>
  <c r="G10" i="36"/>
  <c r="F10" i="36"/>
  <c r="E10" i="36"/>
  <c r="P10" i="36" s="1"/>
  <c r="P20" i="36" s="1"/>
  <c r="D10" i="36"/>
  <c r="C10" i="36"/>
  <c r="N9" i="36"/>
  <c r="M9" i="36"/>
  <c r="S9" i="36" s="1"/>
  <c r="S19" i="36" s="1"/>
  <c r="L9" i="36"/>
  <c r="K9" i="36"/>
  <c r="J9" i="36"/>
  <c r="I9" i="36"/>
  <c r="H9" i="36"/>
  <c r="G9" i="36"/>
  <c r="F9" i="36"/>
  <c r="E9" i="36"/>
  <c r="D9" i="36"/>
  <c r="C9" i="36"/>
  <c r="P9" i="36" s="1"/>
  <c r="U9" i="36" s="1"/>
  <c r="N8" i="36"/>
  <c r="M8" i="36"/>
  <c r="S8" i="36" s="1"/>
  <c r="L8" i="36"/>
  <c r="K8" i="36"/>
  <c r="J8" i="36"/>
  <c r="I8" i="36"/>
  <c r="R8" i="36" s="1"/>
  <c r="H8" i="36"/>
  <c r="G8" i="36"/>
  <c r="Q8" i="36" s="1"/>
  <c r="F8" i="36"/>
  <c r="E8" i="36"/>
  <c r="D8" i="36"/>
  <c r="C8" i="36"/>
  <c r="N7" i="36"/>
  <c r="M7" i="36"/>
  <c r="S7" i="36" s="1"/>
  <c r="L7" i="36"/>
  <c r="K7" i="36"/>
  <c r="J7" i="36"/>
  <c r="I7" i="36"/>
  <c r="H7" i="36"/>
  <c r="G7" i="36"/>
  <c r="F7" i="36"/>
  <c r="E7" i="36"/>
  <c r="D7" i="36"/>
  <c r="C7" i="36"/>
  <c r="P7" i="36" s="1"/>
  <c r="U7" i="36" s="1"/>
  <c r="N6" i="36"/>
  <c r="M6" i="36"/>
  <c r="S6" i="36" s="1"/>
  <c r="L6" i="36"/>
  <c r="K6" i="36"/>
  <c r="J6" i="36"/>
  <c r="I6" i="36"/>
  <c r="R6" i="36" s="1"/>
  <c r="H6" i="36"/>
  <c r="G6" i="36"/>
  <c r="Q6" i="36" s="1"/>
  <c r="F6" i="36"/>
  <c r="E6" i="36"/>
  <c r="D6" i="36"/>
  <c r="C6" i="36"/>
  <c r="N5" i="36"/>
  <c r="M5" i="36"/>
  <c r="L5" i="36"/>
  <c r="K5" i="36"/>
  <c r="J5" i="36"/>
  <c r="I5" i="36"/>
  <c r="R5" i="36" s="1"/>
  <c r="H5" i="36"/>
  <c r="G5" i="36"/>
  <c r="F5" i="36"/>
  <c r="E5" i="36"/>
  <c r="D5" i="36"/>
  <c r="C5" i="36"/>
  <c r="P5" i="36" s="1"/>
  <c r="Q71" i="37"/>
  <c r="P71" i="37"/>
  <c r="S70" i="37"/>
  <c r="P70" i="37"/>
  <c r="Q69" i="37"/>
  <c r="P69" i="37"/>
  <c r="P68" i="37"/>
  <c r="S68" i="37"/>
  <c r="Q58" i="37"/>
  <c r="P58" i="37"/>
  <c r="P57" i="37"/>
  <c r="S57" i="37"/>
  <c r="Q56" i="37"/>
  <c r="Q50" i="37"/>
  <c r="P50" i="37"/>
  <c r="P47" i="37"/>
  <c r="S47" i="37"/>
  <c r="Q46" i="37"/>
  <c r="S45" i="37"/>
  <c r="P45" i="37"/>
  <c r="S43" i="37"/>
  <c r="P43" i="37"/>
  <c r="Q41" i="37"/>
  <c r="S40" i="37"/>
  <c r="Q39" i="37"/>
  <c r="P38" i="37"/>
  <c r="S38" i="37"/>
  <c r="Q37" i="37"/>
  <c r="Q36" i="37"/>
  <c r="Q34" i="37"/>
  <c r="S32" i="37"/>
  <c r="R32" i="37"/>
  <c r="Q32" i="37"/>
  <c r="P32" i="37"/>
  <c r="Q31" i="37"/>
  <c r="S30" i="37"/>
  <c r="R30" i="37"/>
  <c r="Q30" i="37"/>
  <c r="P28" i="37"/>
  <c r="S28" i="37"/>
  <c r="R28" i="37"/>
  <c r="S26" i="37"/>
  <c r="R26" i="37"/>
  <c r="Q26" i="37"/>
  <c r="S12" i="37"/>
  <c r="S22" i="37" s="1"/>
  <c r="R12" i="37"/>
  <c r="Q12" i="37"/>
  <c r="S10" i="37"/>
  <c r="R10" i="37"/>
  <c r="Q10" i="37"/>
  <c r="P8" i="37"/>
  <c r="S8" i="37"/>
  <c r="R8" i="37"/>
  <c r="S6" i="37"/>
  <c r="S16" i="37" s="1"/>
  <c r="R6" i="37"/>
  <c r="Q6" i="37"/>
  <c r="E3" i="37"/>
  <c r="F3" i="37" s="1"/>
  <c r="G3" i="37" s="1"/>
  <c r="H3" i="37" s="1"/>
  <c r="I3" i="37" s="1"/>
  <c r="J3" i="37" s="1"/>
  <c r="K3" i="37" s="1"/>
  <c r="L3" i="37" s="1"/>
  <c r="M3" i="37" s="1"/>
  <c r="N3" i="37" s="1"/>
  <c r="D3" i="37"/>
  <c r="S70" i="36"/>
  <c r="R70" i="36"/>
  <c r="P70" i="36"/>
  <c r="Q50" i="36"/>
  <c r="R45" i="36"/>
  <c r="S38" i="36"/>
  <c r="P32" i="36"/>
  <c r="S31" i="36"/>
  <c r="Q31" i="36"/>
  <c r="Q30" i="36"/>
  <c r="R29" i="36"/>
  <c r="Q29" i="36"/>
  <c r="P28" i="36"/>
  <c r="R27" i="36"/>
  <c r="Q27" i="36"/>
  <c r="P26" i="36"/>
  <c r="S25" i="36"/>
  <c r="Q25" i="36"/>
  <c r="P12" i="36"/>
  <c r="S11" i="36"/>
  <c r="Q11" i="36"/>
  <c r="Q10" i="36"/>
  <c r="R9" i="36"/>
  <c r="Q9" i="36"/>
  <c r="P8" i="36"/>
  <c r="R7" i="36"/>
  <c r="Q7" i="36"/>
  <c r="P6" i="36"/>
  <c r="S5" i="36"/>
  <c r="Q5" i="36"/>
  <c r="D3" i="36"/>
  <c r="E3" i="36" s="1"/>
  <c r="F3" i="36" s="1"/>
  <c r="G3" i="36" s="1"/>
  <c r="H3" i="36" s="1"/>
  <c r="I3" i="36" s="1"/>
  <c r="J3" i="36" s="1"/>
  <c r="K3" i="36" s="1"/>
  <c r="L3" i="36" s="1"/>
  <c r="M3" i="36" s="1"/>
  <c r="N3" i="36" s="1"/>
  <c r="N46" i="35"/>
  <c r="M46" i="35"/>
  <c r="L46" i="35"/>
  <c r="K46" i="35"/>
  <c r="J46" i="35"/>
  <c r="I46" i="35"/>
  <c r="H46" i="35"/>
  <c r="G46" i="35"/>
  <c r="F46" i="35"/>
  <c r="E46" i="35"/>
  <c r="D46" i="35"/>
  <c r="C46" i="35"/>
  <c r="N45" i="35"/>
  <c r="M45" i="35"/>
  <c r="L45" i="35"/>
  <c r="K45" i="35"/>
  <c r="J45" i="35"/>
  <c r="I45" i="35"/>
  <c r="H45" i="35"/>
  <c r="G45" i="35"/>
  <c r="F45" i="35"/>
  <c r="E45" i="35"/>
  <c r="D45" i="35"/>
  <c r="C45" i="35"/>
  <c r="C47" i="35" s="1"/>
  <c r="C58" i="35" s="1"/>
  <c r="P41" i="35"/>
  <c r="P40" i="35"/>
  <c r="N40" i="35"/>
  <c r="M40" i="35"/>
  <c r="L40" i="35"/>
  <c r="K40" i="35"/>
  <c r="J40" i="35"/>
  <c r="I40" i="35"/>
  <c r="H40" i="35"/>
  <c r="G40" i="35"/>
  <c r="F40" i="35"/>
  <c r="E40" i="35"/>
  <c r="D40" i="35"/>
  <c r="C40" i="35"/>
  <c r="P39" i="35"/>
  <c r="N39" i="35"/>
  <c r="M39" i="35"/>
  <c r="L39" i="35"/>
  <c r="K39" i="35"/>
  <c r="J39" i="35"/>
  <c r="I39" i="35"/>
  <c r="H39" i="35"/>
  <c r="G39" i="35"/>
  <c r="F39" i="35"/>
  <c r="E39" i="35"/>
  <c r="D39" i="35"/>
  <c r="C39" i="35"/>
  <c r="P38" i="35"/>
  <c r="N38" i="35"/>
  <c r="M38" i="35"/>
  <c r="L38" i="35"/>
  <c r="K38" i="35"/>
  <c r="J38" i="35"/>
  <c r="I38" i="35"/>
  <c r="H38" i="35"/>
  <c r="G38" i="35"/>
  <c r="F38" i="35"/>
  <c r="E38" i="35"/>
  <c r="D38" i="35"/>
  <c r="C38" i="35"/>
  <c r="P37" i="35"/>
  <c r="P36" i="35"/>
  <c r="P35" i="35"/>
  <c r="P34" i="35"/>
  <c r="C34" i="35"/>
  <c r="C41" i="35" s="1"/>
  <c r="C57" i="35" s="1"/>
  <c r="C56" i="35" s="1"/>
  <c r="C59" i="35" s="1"/>
  <c r="P33" i="35"/>
  <c r="L32" i="35"/>
  <c r="P31" i="35"/>
  <c r="N31" i="35"/>
  <c r="M31" i="35"/>
  <c r="L31" i="35"/>
  <c r="K31" i="35"/>
  <c r="J31" i="35"/>
  <c r="I31" i="35"/>
  <c r="H31" i="35"/>
  <c r="G31" i="35"/>
  <c r="F31" i="35"/>
  <c r="E31" i="35"/>
  <c r="D31" i="35"/>
  <c r="C31" i="35"/>
  <c r="P30" i="35"/>
  <c r="N30" i="35"/>
  <c r="M30" i="35"/>
  <c r="L30" i="35"/>
  <c r="K30" i="35"/>
  <c r="J30" i="35"/>
  <c r="J28" i="35" s="1"/>
  <c r="I30" i="35"/>
  <c r="H30" i="35"/>
  <c r="G30" i="35"/>
  <c r="F30" i="35"/>
  <c r="F28" i="35" s="1"/>
  <c r="E30" i="35"/>
  <c r="D30" i="35"/>
  <c r="D28" i="35" s="1"/>
  <c r="C30" i="35"/>
  <c r="P29" i="35"/>
  <c r="N29" i="35"/>
  <c r="M29" i="35"/>
  <c r="L29" i="35"/>
  <c r="K29" i="35"/>
  <c r="K28" i="35" s="1"/>
  <c r="J29" i="35"/>
  <c r="I29" i="35"/>
  <c r="H29" i="35"/>
  <c r="G29" i="35"/>
  <c r="G28" i="35" s="1"/>
  <c r="F29" i="35"/>
  <c r="E29" i="35"/>
  <c r="D29" i="35"/>
  <c r="C29" i="35"/>
  <c r="C28" i="35" s="1"/>
  <c r="P28" i="35"/>
  <c r="N28" i="35"/>
  <c r="M28" i="35"/>
  <c r="L28" i="35"/>
  <c r="I28" i="35"/>
  <c r="H28" i="35"/>
  <c r="E28" i="35"/>
  <c r="N27" i="35"/>
  <c r="M27" i="35"/>
  <c r="L27" i="35"/>
  <c r="K27" i="35"/>
  <c r="J27" i="35"/>
  <c r="I27" i="35"/>
  <c r="H27" i="35"/>
  <c r="G27" i="35"/>
  <c r="F27" i="35"/>
  <c r="E27" i="35"/>
  <c r="D27" i="35"/>
  <c r="D25" i="35" s="1"/>
  <c r="D32" i="35" s="1"/>
  <c r="C27" i="35"/>
  <c r="P26" i="35"/>
  <c r="N26" i="35"/>
  <c r="M26" i="35"/>
  <c r="M25" i="35" s="1"/>
  <c r="M32" i="35" s="1"/>
  <c r="L26" i="35"/>
  <c r="K26" i="35"/>
  <c r="J26" i="35"/>
  <c r="J25" i="35" s="1"/>
  <c r="J32" i="35" s="1"/>
  <c r="I26" i="35"/>
  <c r="I25" i="35" s="1"/>
  <c r="H26" i="35"/>
  <c r="G26" i="35"/>
  <c r="G25" i="35" s="1"/>
  <c r="G32" i="35" s="1"/>
  <c r="F26" i="35"/>
  <c r="E26" i="35"/>
  <c r="E25" i="35" s="1"/>
  <c r="E32" i="35" s="1"/>
  <c r="D26" i="35"/>
  <c r="C26" i="35"/>
  <c r="P25" i="35"/>
  <c r="N25" i="35"/>
  <c r="N32" i="35" s="1"/>
  <c r="L25" i="35"/>
  <c r="K25" i="35"/>
  <c r="K32" i="35" s="1"/>
  <c r="H25" i="35"/>
  <c r="H32" i="35" s="1"/>
  <c r="F25" i="35"/>
  <c r="C25" i="35"/>
  <c r="C32" i="35" s="1"/>
  <c r="P24" i="35"/>
  <c r="P23" i="35"/>
  <c r="P21" i="35"/>
  <c r="C55" i="35" s="1"/>
  <c r="P20" i="35"/>
  <c r="C54" i="35" s="1"/>
  <c r="C54" i="37" s="1"/>
  <c r="P19" i="35"/>
  <c r="C53" i="35" s="1"/>
  <c r="C53" i="37" s="1"/>
  <c r="P18" i="35"/>
  <c r="C52" i="35" s="1"/>
  <c r="C52" i="37" s="1"/>
  <c r="P15" i="35"/>
  <c r="P12" i="35"/>
  <c r="N12" i="35"/>
  <c r="H12" i="35"/>
  <c r="I50" i="35" s="1"/>
  <c r="G12" i="35"/>
  <c r="H50" i="35" s="1"/>
  <c r="F12" i="35"/>
  <c r="G50" i="35" s="1"/>
  <c r="N8" i="35"/>
  <c r="M8" i="35"/>
  <c r="L8" i="35"/>
  <c r="K8" i="35"/>
  <c r="J8" i="35"/>
  <c r="J12" i="35" s="1"/>
  <c r="K50" i="35" s="1"/>
  <c r="I8" i="35"/>
  <c r="H8" i="35"/>
  <c r="G8" i="35"/>
  <c r="F8" i="35"/>
  <c r="E8" i="35"/>
  <c r="D8" i="35"/>
  <c r="C8" i="35"/>
  <c r="P7" i="35"/>
  <c r="P6" i="35"/>
  <c r="P5" i="35"/>
  <c r="C68" i="35" s="1"/>
  <c r="N5" i="35"/>
  <c r="M5" i="35"/>
  <c r="M12" i="35" s="1"/>
  <c r="N50" i="35" s="1"/>
  <c r="L5" i="35"/>
  <c r="L12" i="35" s="1"/>
  <c r="M50" i="35" s="1"/>
  <c r="K5" i="35"/>
  <c r="K12" i="35" s="1"/>
  <c r="L50" i="35" s="1"/>
  <c r="J5" i="35"/>
  <c r="I5" i="35"/>
  <c r="I12" i="35" s="1"/>
  <c r="J50" i="35" s="1"/>
  <c r="H5" i="35"/>
  <c r="G5" i="35"/>
  <c r="F5" i="35"/>
  <c r="E5" i="35"/>
  <c r="E12" i="35" s="1"/>
  <c r="F50" i="35" s="1"/>
  <c r="D5" i="35"/>
  <c r="D12" i="35" s="1"/>
  <c r="E50" i="35" s="1"/>
  <c r="C5" i="35"/>
  <c r="C12" i="35" s="1"/>
  <c r="D50" i="35" s="1"/>
  <c r="E4" i="35"/>
  <c r="F4" i="35" s="1"/>
  <c r="D4" i="35"/>
  <c r="D34" i="35" s="1"/>
  <c r="G70" i="34"/>
  <c r="C69" i="34"/>
  <c r="C55" i="34"/>
  <c r="C54" i="34"/>
  <c r="C53" i="34"/>
  <c r="C52" i="34"/>
  <c r="N46" i="34"/>
  <c r="M46" i="34"/>
  <c r="L46" i="34"/>
  <c r="K46" i="34"/>
  <c r="J46" i="34"/>
  <c r="I46" i="34"/>
  <c r="H46" i="34"/>
  <c r="G46" i="34"/>
  <c r="F46" i="34"/>
  <c r="E46" i="34"/>
  <c r="D46" i="34"/>
  <c r="C46" i="34"/>
  <c r="N45" i="34"/>
  <c r="M45" i="34"/>
  <c r="L45" i="34"/>
  <c r="K45" i="34"/>
  <c r="J45" i="34"/>
  <c r="I45" i="34"/>
  <c r="H45" i="34"/>
  <c r="G45" i="34"/>
  <c r="F45" i="34"/>
  <c r="E45" i="34"/>
  <c r="D45" i="34"/>
  <c r="C45" i="34"/>
  <c r="N40" i="34"/>
  <c r="M40" i="34"/>
  <c r="L40" i="34"/>
  <c r="K40" i="34"/>
  <c r="J40" i="34"/>
  <c r="I40" i="34"/>
  <c r="H40" i="34"/>
  <c r="G40" i="34"/>
  <c r="F40" i="34"/>
  <c r="E40" i="34"/>
  <c r="D40" i="34"/>
  <c r="C40" i="34"/>
  <c r="N39" i="34"/>
  <c r="M39" i="34"/>
  <c r="L39" i="34"/>
  <c r="K39" i="34"/>
  <c r="J39" i="34"/>
  <c r="I39" i="34"/>
  <c r="H39" i="34"/>
  <c r="G39" i="34"/>
  <c r="F39" i="34"/>
  <c r="E39" i="34"/>
  <c r="D39" i="34"/>
  <c r="C39" i="34"/>
  <c r="N38" i="34"/>
  <c r="M38" i="34"/>
  <c r="L38" i="34"/>
  <c r="K38" i="34"/>
  <c r="J38" i="34"/>
  <c r="I38" i="34"/>
  <c r="H38" i="34"/>
  <c r="G38" i="34"/>
  <c r="F38" i="34"/>
  <c r="E38" i="34"/>
  <c r="D38" i="34"/>
  <c r="C38" i="34"/>
  <c r="C34" i="34"/>
  <c r="C47" i="34" s="1"/>
  <c r="C58" i="34" s="1"/>
  <c r="N31" i="34"/>
  <c r="M31" i="34"/>
  <c r="L31" i="34"/>
  <c r="K31" i="34"/>
  <c r="J31" i="34"/>
  <c r="I31" i="34"/>
  <c r="H31" i="34"/>
  <c r="G31" i="34"/>
  <c r="F31" i="34"/>
  <c r="E31" i="34"/>
  <c r="D31" i="34"/>
  <c r="C31" i="34"/>
  <c r="N30" i="34"/>
  <c r="M30" i="34"/>
  <c r="L30" i="34"/>
  <c r="K30" i="34"/>
  <c r="J30" i="34"/>
  <c r="I30" i="34"/>
  <c r="H30" i="34"/>
  <c r="G30" i="34"/>
  <c r="F30" i="34"/>
  <c r="E30" i="34"/>
  <c r="D30" i="34"/>
  <c r="C30" i="34"/>
  <c r="N29" i="34"/>
  <c r="M29" i="34"/>
  <c r="L29" i="34"/>
  <c r="K29" i="34"/>
  <c r="K28" i="34" s="1"/>
  <c r="J29" i="34"/>
  <c r="J28" i="34" s="1"/>
  <c r="I29" i="34"/>
  <c r="I28" i="34" s="1"/>
  <c r="H29" i="34"/>
  <c r="G29" i="34"/>
  <c r="F29" i="34"/>
  <c r="E29" i="34"/>
  <c r="D29" i="34"/>
  <c r="C29" i="34"/>
  <c r="C28" i="34" s="1"/>
  <c r="N28" i="34"/>
  <c r="M28" i="34"/>
  <c r="L28" i="34"/>
  <c r="H28" i="34"/>
  <c r="G28" i="34"/>
  <c r="F28" i="34"/>
  <c r="E28" i="34"/>
  <c r="D28" i="34"/>
  <c r="N27" i="34"/>
  <c r="M27" i="34"/>
  <c r="L27" i="34"/>
  <c r="K27" i="34"/>
  <c r="J27" i="34"/>
  <c r="I27" i="34"/>
  <c r="H27" i="34"/>
  <c r="G27" i="34"/>
  <c r="F27" i="34"/>
  <c r="E27" i="34"/>
  <c r="D27" i="34"/>
  <c r="C27" i="34"/>
  <c r="N26" i="34"/>
  <c r="N25" i="34" s="1"/>
  <c r="N32" i="34" s="1"/>
  <c r="M26" i="34"/>
  <c r="M25" i="34" s="1"/>
  <c r="M32" i="34" s="1"/>
  <c r="L26" i="34"/>
  <c r="K26" i="34"/>
  <c r="J26" i="34"/>
  <c r="I26" i="34"/>
  <c r="H26" i="34"/>
  <c r="G26" i="34"/>
  <c r="G25" i="34" s="1"/>
  <c r="G32" i="34" s="1"/>
  <c r="F26" i="34"/>
  <c r="F25" i="34" s="1"/>
  <c r="F32" i="34" s="1"/>
  <c r="E26" i="34"/>
  <c r="E25" i="34" s="1"/>
  <c r="E32" i="34" s="1"/>
  <c r="D26" i="34"/>
  <c r="C26" i="34"/>
  <c r="L25" i="34"/>
  <c r="L32" i="34" s="1"/>
  <c r="K25" i="34"/>
  <c r="J25" i="34"/>
  <c r="I25" i="34"/>
  <c r="I32" i="34" s="1"/>
  <c r="H25" i="34"/>
  <c r="H32" i="34" s="1"/>
  <c r="D25" i="34"/>
  <c r="D32" i="34" s="1"/>
  <c r="C25" i="34"/>
  <c r="P16" i="34"/>
  <c r="D51" i="34" s="1"/>
  <c r="N12" i="34"/>
  <c r="N70" i="34" s="1"/>
  <c r="G12" i="34"/>
  <c r="H50" i="34" s="1"/>
  <c r="F12" i="34"/>
  <c r="F70" i="34" s="1"/>
  <c r="P11" i="34"/>
  <c r="P10" i="34"/>
  <c r="N8" i="34"/>
  <c r="M8" i="34"/>
  <c r="L8" i="34"/>
  <c r="K8" i="34"/>
  <c r="J8" i="34"/>
  <c r="I8" i="34"/>
  <c r="H8" i="34"/>
  <c r="G8" i="34"/>
  <c r="F8" i="34"/>
  <c r="E8" i="34"/>
  <c r="D8" i="34"/>
  <c r="C8" i="34"/>
  <c r="N5" i="34"/>
  <c r="M5" i="34"/>
  <c r="M12" i="34" s="1"/>
  <c r="L5" i="34"/>
  <c r="L12" i="34" s="1"/>
  <c r="K5" i="34"/>
  <c r="K12" i="34" s="1"/>
  <c r="J5" i="34"/>
  <c r="J12" i="34" s="1"/>
  <c r="I5" i="34"/>
  <c r="I12" i="34" s="1"/>
  <c r="H5" i="34"/>
  <c r="H12" i="34" s="1"/>
  <c r="G5" i="34"/>
  <c r="F5" i="34"/>
  <c r="E5" i="34"/>
  <c r="E12" i="34" s="1"/>
  <c r="D5" i="34"/>
  <c r="D12" i="34" s="1"/>
  <c r="C5" i="34"/>
  <c r="C12" i="34" s="1"/>
  <c r="D4" i="34"/>
  <c r="D34" i="34" s="1"/>
  <c r="P41" i="25"/>
  <c r="P40" i="25"/>
  <c r="P39" i="25"/>
  <c r="P38" i="25"/>
  <c r="P37" i="25"/>
  <c r="P36" i="25"/>
  <c r="P35" i="25"/>
  <c r="P34" i="25"/>
  <c r="P33" i="25"/>
  <c r="P31" i="25"/>
  <c r="P30" i="25"/>
  <c r="P29" i="25"/>
  <c r="P28" i="25"/>
  <c r="P26" i="25"/>
  <c r="P25" i="25"/>
  <c r="P24" i="25"/>
  <c r="P23" i="25"/>
  <c r="P21" i="25"/>
  <c r="P20" i="25"/>
  <c r="P19" i="25"/>
  <c r="P18" i="25"/>
  <c r="P15" i="25"/>
  <c r="P7" i="25"/>
  <c r="P6" i="25"/>
  <c r="P5" i="25"/>
  <c r="C51" i="29"/>
  <c r="C50" i="29"/>
  <c r="H46" i="29"/>
  <c r="J45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H38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E29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N21" i="29"/>
  <c r="M21" i="29"/>
  <c r="L21" i="29"/>
  <c r="K21" i="29"/>
  <c r="J21" i="29"/>
  <c r="I21" i="29"/>
  <c r="H21" i="29"/>
  <c r="G21" i="29"/>
  <c r="F21" i="29"/>
  <c r="E21" i="29"/>
  <c r="D21" i="29"/>
  <c r="C21" i="29"/>
  <c r="N20" i="29"/>
  <c r="M20" i="29"/>
  <c r="L20" i="29"/>
  <c r="K20" i="29"/>
  <c r="J20" i="29"/>
  <c r="I20" i="29"/>
  <c r="H20" i="29"/>
  <c r="G20" i="29"/>
  <c r="F20" i="29"/>
  <c r="E20" i="29"/>
  <c r="D20" i="29"/>
  <c r="C20" i="29"/>
  <c r="N19" i="29"/>
  <c r="M19" i="29"/>
  <c r="L19" i="29"/>
  <c r="K19" i="29"/>
  <c r="J19" i="29"/>
  <c r="I19" i="29"/>
  <c r="H19" i="29"/>
  <c r="G19" i="29"/>
  <c r="F19" i="29"/>
  <c r="E19" i="29"/>
  <c r="D19" i="29"/>
  <c r="C19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N9" i="29"/>
  <c r="M9" i="29"/>
  <c r="L9" i="29"/>
  <c r="K9" i="29"/>
  <c r="J9" i="29"/>
  <c r="I9" i="29"/>
  <c r="H9" i="29"/>
  <c r="G9" i="29"/>
  <c r="F9" i="29"/>
  <c r="E9" i="29"/>
  <c r="D9" i="29"/>
  <c r="C9" i="29"/>
  <c r="N7" i="29"/>
  <c r="M7" i="29"/>
  <c r="L7" i="29"/>
  <c r="K7" i="29"/>
  <c r="J7" i="29"/>
  <c r="I7" i="29"/>
  <c r="H7" i="29"/>
  <c r="G7" i="29"/>
  <c r="F7" i="29"/>
  <c r="E7" i="29"/>
  <c r="D7" i="29"/>
  <c r="C7" i="29"/>
  <c r="N6" i="29"/>
  <c r="M6" i="29"/>
  <c r="L6" i="29"/>
  <c r="K6" i="29"/>
  <c r="J6" i="29"/>
  <c r="I6" i="29"/>
  <c r="H6" i="29"/>
  <c r="G6" i="29"/>
  <c r="F6" i="29"/>
  <c r="E6" i="29"/>
  <c r="D6" i="29"/>
  <c r="C6" i="29"/>
  <c r="N46" i="25"/>
  <c r="M46" i="25"/>
  <c r="L46" i="25"/>
  <c r="K46" i="25"/>
  <c r="J46" i="25"/>
  <c r="J46" i="29" s="1"/>
  <c r="I46" i="25"/>
  <c r="H46" i="25"/>
  <c r="G46" i="25"/>
  <c r="F46" i="25"/>
  <c r="N45" i="25"/>
  <c r="N45" i="29" s="1"/>
  <c r="M45" i="25"/>
  <c r="L45" i="25"/>
  <c r="K45" i="25"/>
  <c r="K45" i="29" s="1"/>
  <c r="J45" i="25"/>
  <c r="I45" i="25"/>
  <c r="H45" i="25"/>
  <c r="G45" i="25"/>
  <c r="F45" i="25"/>
  <c r="F45" i="29" s="1"/>
  <c r="N40" i="25"/>
  <c r="M40" i="25"/>
  <c r="L40" i="25"/>
  <c r="K40" i="25"/>
  <c r="K40" i="29" s="1"/>
  <c r="J40" i="25"/>
  <c r="J40" i="29" s="1"/>
  <c r="I40" i="25"/>
  <c r="H40" i="25"/>
  <c r="G40" i="25"/>
  <c r="F40" i="25"/>
  <c r="F40" i="29" s="1"/>
  <c r="C40" i="29"/>
  <c r="N39" i="25"/>
  <c r="N39" i="29" s="1"/>
  <c r="M39" i="25"/>
  <c r="L39" i="25"/>
  <c r="K39" i="25"/>
  <c r="J39" i="25"/>
  <c r="I39" i="25"/>
  <c r="H39" i="25"/>
  <c r="G39" i="25"/>
  <c r="G39" i="29" s="1"/>
  <c r="F39" i="25"/>
  <c r="F39" i="29" s="1"/>
  <c r="N38" i="25"/>
  <c r="M38" i="25"/>
  <c r="L38" i="25"/>
  <c r="K38" i="25"/>
  <c r="K38" i="29" s="1"/>
  <c r="J38" i="25"/>
  <c r="J38" i="29" s="1"/>
  <c r="I38" i="25"/>
  <c r="I38" i="29" s="1"/>
  <c r="H38" i="25"/>
  <c r="G38" i="25"/>
  <c r="F38" i="25"/>
  <c r="C38" i="29"/>
  <c r="N31" i="25"/>
  <c r="N31" i="29" s="1"/>
  <c r="M31" i="25"/>
  <c r="M31" i="29" s="1"/>
  <c r="L31" i="25"/>
  <c r="K31" i="25"/>
  <c r="J31" i="25"/>
  <c r="I31" i="25"/>
  <c r="H31" i="25"/>
  <c r="G31" i="25"/>
  <c r="G31" i="29" s="1"/>
  <c r="F31" i="25"/>
  <c r="F31" i="29" s="1"/>
  <c r="E31" i="29"/>
  <c r="N30" i="25"/>
  <c r="N28" i="25" s="1"/>
  <c r="M30" i="25"/>
  <c r="L30" i="25"/>
  <c r="K30" i="25"/>
  <c r="K30" i="29" s="1"/>
  <c r="J30" i="25"/>
  <c r="J30" i="29" s="1"/>
  <c r="I30" i="25"/>
  <c r="I30" i="29" s="1"/>
  <c r="H30" i="25"/>
  <c r="H30" i="29" s="1"/>
  <c r="G30" i="25"/>
  <c r="F30" i="25"/>
  <c r="C30" i="29"/>
  <c r="N29" i="25"/>
  <c r="N29" i="29" s="1"/>
  <c r="M29" i="25"/>
  <c r="M29" i="29" s="1"/>
  <c r="L29" i="25"/>
  <c r="L29" i="29" s="1"/>
  <c r="K29" i="25"/>
  <c r="J29" i="25"/>
  <c r="I29" i="25"/>
  <c r="H29" i="25"/>
  <c r="G29" i="25"/>
  <c r="G29" i="29" s="1"/>
  <c r="F29" i="25"/>
  <c r="F29" i="29" s="1"/>
  <c r="N27" i="25"/>
  <c r="N27" i="29" s="1"/>
  <c r="M27" i="25"/>
  <c r="M27" i="29" s="1"/>
  <c r="L27" i="25"/>
  <c r="L27" i="29" s="1"/>
  <c r="K27" i="25"/>
  <c r="J27" i="25"/>
  <c r="I27" i="25"/>
  <c r="H27" i="25"/>
  <c r="G27" i="25"/>
  <c r="F27" i="25"/>
  <c r="F27" i="29" s="1"/>
  <c r="E27" i="29"/>
  <c r="N26" i="25"/>
  <c r="M26" i="25"/>
  <c r="L26" i="25"/>
  <c r="K26" i="25"/>
  <c r="J26" i="25"/>
  <c r="J26" i="29" s="1"/>
  <c r="I26" i="25"/>
  <c r="I26" i="29" s="1"/>
  <c r="H26" i="25"/>
  <c r="H26" i="29" s="1"/>
  <c r="G26" i="25"/>
  <c r="F26" i="25"/>
  <c r="N8" i="25"/>
  <c r="M8" i="25"/>
  <c r="L8" i="25"/>
  <c r="K8" i="25"/>
  <c r="J8" i="25"/>
  <c r="J8" i="29" s="1"/>
  <c r="I8" i="25"/>
  <c r="I8" i="29" s="1"/>
  <c r="H8" i="25"/>
  <c r="G8" i="25"/>
  <c r="F8" i="25"/>
  <c r="N5" i="25"/>
  <c r="N5" i="29" s="1"/>
  <c r="M5" i="25"/>
  <c r="M5" i="29" s="1"/>
  <c r="L5" i="25"/>
  <c r="K5" i="25"/>
  <c r="J5" i="25"/>
  <c r="I5" i="25"/>
  <c r="H5" i="25"/>
  <c r="G5" i="25"/>
  <c r="F5" i="25"/>
  <c r="F5" i="29" s="1"/>
  <c r="E5" i="29"/>
  <c r="D4" i="25"/>
  <c r="E4" i="25" s="1"/>
  <c r="D3" i="29"/>
  <c r="E3" i="29" s="1"/>
  <c r="F3" i="29" s="1"/>
  <c r="G3" i="29" s="1"/>
  <c r="H3" i="29" s="1"/>
  <c r="I3" i="29" s="1"/>
  <c r="J3" i="29" s="1"/>
  <c r="K3" i="29" s="1"/>
  <c r="L3" i="29" s="1"/>
  <c r="M3" i="29" s="1"/>
  <c r="N3" i="29" s="1"/>
  <c r="D15" i="3"/>
  <c r="E15" i="3"/>
  <c r="F15" i="3"/>
  <c r="G15" i="3"/>
  <c r="H15" i="3"/>
  <c r="I15" i="3"/>
  <c r="J15" i="3"/>
  <c r="K15" i="3"/>
  <c r="L15" i="3"/>
  <c r="M15" i="3"/>
  <c r="N15" i="3"/>
  <c r="D16" i="3"/>
  <c r="E16" i="3"/>
  <c r="F16" i="3"/>
  <c r="G16" i="3"/>
  <c r="H16" i="3"/>
  <c r="I16" i="3"/>
  <c r="J16" i="3"/>
  <c r="K16" i="3"/>
  <c r="L16" i="3"/>
  <c r="M16" i="3"/>
  <c r="N16" i="3"/>
  <c r="D17" i="3"/>
  <c r="E17" i="3"/>
  <c r="F17" i="3"/>
  <c r="G17" i="3"/>
  <c r="H17" i="3"/>
  <c r="I17" i="3"/>
  <c r="J17" i="3"/>
  <c r="K17" i="3"/>
  <c r="L17" i="3"/>
  <c r="M17" i="3"/>
  <c r="N17" i="3"/>
  <c r="D18" i="3"/>
  <c r="E18" i="3"/>
  <c r="F18" i="3"/>
  <c r="G18" i="3"/>
  <c r="H18" i="3"/>
  <c r="I18" i="3"/>
  <c r="J18" i="3"/>
  <c r="K18" i="3"/>
  <c r="L18" i="3"/>
  <c r="M18" i="3"/>
  <c r="N18" i="3"/>
  <c r="D19" i="3"/>
  <c r="E19" i="3"/>
  <c r="F19" i="3"/>
  <c r="G19" i="3"/>
  <c r="H19" i="3"/>
  <c r="I19" i="3"/>
  <c r="J19" i="3"/>
  <c r="K19" i="3"/>
  <c r="L19" i="3"/>
  <c r="M19" i="3"/>
  <c r="N19" i="3"/>
  <c r="D20" i="3"/>
  <c r="E20" i="3"/>
  <c r="F20" i="3"/>
  <c r="G20" i="3"/>
  <c r="H20" i="3"/>
  <c r="I20" i="3"/>
  <c r="J20" i="3"/>
  <c r="K20" i="3"/>
  <c r="L20" i="3"/>
  <c r="M20" i="3"/>
  <c r="N20" i="3"/>
  <c r="D21" i="3"/>
  <c r="E21" i="3"/>
  <c r="F21" i="3"/>
  <c r="G21" i="3"/>
  <c r="H21" i="3"/>
  <c r="I21" i="3"/>
  <c r="J21" i="3"/>
  <c r="K21" i="3"/>
  <c r="L21" i="3"/>
  <c r="M21" i="3"/>
  <c r="N21" i="3"/>
  <c r="D22" i="3"/>
  <c r="E22" i="3"/>
  <c r="F22" i="3"/>
  <c r="G22" i="3"/>
  <c r="H22" i="3"/>
  <c r="I22" i="3"/>
  <c r="J22" i="3"/>
  <c r="K22" i="3"/>
  <c r="L22" i="3"/>
  <c r="M22" i="3"/>
  <c r="N22" i="3"/>
  <c r="D6" i="3"/>
  <c r="E6" i="3"/>
  <c r="F6" i="3"/>
  <c r="G6" i="3"/>
  <c r="H6" i="3"/>
  <c r="I6" i="3"/>
  <c r="R6" i="3" s="1"/>
  <c r="J6" i="3"/>
  <c r="K6" i="3"/>
  <c r="L6" i="3"/>
  <c r="M6" i="3"/>
  <c r="N6" i="3"/>
  <c r="D7" i="3"/>
  <c r="E7" i="3"/>
  <c r="F7" i="3"/>
  <c r="Q7" i="3" s="1"/>
  <c r="G7" i="3"/>
  <c r="H7" i="3"/>
  <c r="I7" i="3"/>
  <c r="J7" i="3"/>
  <c r="K7" i="3"/>
  <c r="L7" i="3"/>
  <c r="M7" i="3"/>
  <c r="N7" i="3"/>
  <c r="D9" i="3"/>
  <c r="E9" i="3"/>
  <c r="F9" i="3"/>
  <c r="G9" i="3"/>
  <c r="H9" i="3"/>
  <c r="I9" i="3"/>
  <c r="J9" i="3"/>
  <c r="K9" i="3"/>
  <c r="L9" i="3"/>
  <c r="M9" i="3"/>
  <c r="N9" i="3"/>
  <c r="D10" i="3"/>
  <c r="E10" i="3"/>
  <c r="F10" i="3"/>
  <c r="G10" i="3"/>
  <c r="H10" i="3"/>
  <c r="Q10" i="3" s="1"/>
  <c r="I10" i="3"/>
  <c r="J10" i="3"/>
  <c r="K10" i="3"/>
  <c r="L10" i="3"/>
  <c r="M10" i="3"/>
  <c r="N10" i="3"/>
  <c r="D11" i="3"/>
  <c r="E11" i="3"/>
  <c r="F11" i="3"/>
  <c r="G11" i="3"/>
  <c r="H11" i="3"/>
  <c r="I11" i="3"/>
  <c r="J11" i="3"/>
  <c r="K11" i="3"/>
  <c r="L11" i="3"/>
  <c r="M11" i="3"/>
  <c r="N11" i="3"/>
  <c r="D43" i="3"/>
  <c r="E43" i="3"/>
  <c r="F43" i="3"/>
  <c r="G43" i="3"/>
  <c r="H43" i="3"/>
  <c r="I43" i="3"/>
  <c r="J43" i="3"/>
  <c r="K43" i="3"/>
  <c r="L43" i="3"/>
  <c r="M43" i="3"/>
  <c r="N43" i="3"/>
  <c r="D44" i="3"/>
  <c r="E44" i="3"/>
  <c r="F44" i="3"/>
  <c r="G44" i="3"/>
  <c r="H44" i="3"/>
  <c r="I44" i="3"/>
  <c r="J44" i="3"/>
  <c r="K44" i="3"/>
  <c r="L44" i="3"/>
  <c r="M44" i="3"/>
  <c r="N44" i="3"/>
  <c r="D36" i="3"/>
  <c r="E36" i="3"/>
  <c r="F36" i="3"/>
  <c r="G36" i="3"/>
  <c r="H36" i="3"/>
  <c r="I36" i="3"/>
  <c r="J36" i="3"/>
  <c r="K36" i="3"/>
  <c r="L36" i="3"/>
  <c r="M36" i="3"/>
  <c r="N36" i="3"/>
  <c r="D37" i="3"/>
  <c r="E37" i="3"/>
  <c r="F37" i="3"/>
  <c r="G37" i="3"/>
  <c r="H37" i="3"/>
  <c r="I37" i="3"/>
  <c r="J37" i="3"/>
  <c r="K37" i="3"/>
  <c r="L37" i="3"/>
  <c r="M37" i="3"/>
  <c r="N37" i="3"/>
  <c r="C51" i="3"/>
  <c r="C50" i="3"/>
  <c r="C44" i="3"/>
  <c r="C43" i="3"/>
  <c r="C37" i="3"/>
  <c r="C36" i="3"/>
  <c r="C22" i="3"/>
  <c r="C21" i="3"/>
  <c r="C20" i="3"/>
  <c r="C19" i="3"/>
  <c r="C18" i="3"/>
  <c r="C17" i="3"/>
  <c r="C16" i="3"/>
  <c r="C15" i="3"/>
  <c r="C11" i="3"/>
  <c r="C10" i="3"/>
  <c r="C9" i="3"/>
  <c r="P9" i="3" s="1"/>
  <c r="C7" i="3"/>
  <c r="P7" i="3" s="1"/>
  <c r="C6" i="3"/>
  <c r="C52" i="3"/>
  <c r="E13" i="38" l="1"/>
  <c r="G13" i="38" s="1"/>
  <c r="D13" i="38"/>
  <c r="F13" i="38" s="1"/>
  <c r="E15" i="38"/>
  <c r="G15" i="38" s="1"/>
  <c r="D15" i="38"/>
  <c r="F15" i="38" s="1"/>
  <c r="D17" i="38"/>
  <c r="F17" i="38" s="1"/>
  <c r="E17" i="38"/>
  <c r="G17" i="38" s="1"/>
  <c r="E19" i="38"/>
  <c r="G19" i="38" s="1"/>
  <c r="D19" i="38"/>
  <c r="F19" i="38" s="1"/>
  <c r="J25" i="25"/>
  <c r="E14" i="38"/>
  <c r="G14" i="38" s="1"/>
  <c r="D14" i="38"/>
  <c r="F14" i="38" s="1"/>
  <c r="D16" i="38"/>
  <c r="F16" i="38" s="1"/>
  <c r="E16" i="38"/>
  <c r="G16" i="38" s="1"/>
  <c r="D18" i="38"/>
  <c r="F18" i="38" s="1"/>
  <c r="E18" i="38"/>
  <c r="G18" i="38" s="1"/>
  <c r="E20" i="38"/>
  <c r="G20" i="38" s="1"/>
  <c r="D20" i="38"/>
  <c r="F20" i="38" s="1"/>
  <c r="D8" i="38"/>
  <c r="F8" i="38" s="1"/>
  <c r="E8" i="38"/>
  <c r="G8" i="38" s="1"/>
  <c r="E29" i="38"/>
  <c r="G29" i="38" s="1"/>
  <c r="D29" i="38"/>
  <c r="F29" i="38" s="1"/>
  <c r="D7" i="38"/>
  <c r="F7" i="38" s="1"/>
  <c r="E7" i="38"/>
  <c r="G7" i="38" s="1"/>
  <c r="E9" i="38"/>
  <c r="G9" i="38" s="1"/>
  <c r="D9" i="38"/>
  <c r="F9" i="38" s="1"/>
  <c r="D27" i="38"/>
  <c r="F27" i="38" s="1"/>
  <c r="E27" i="38"/>
  <c r="G27" i="38" s="1"/>
  <c r="E5" i="38"/>
  <c r="G5" i="38" s="1"/>
  <c r="D5" i="38"/>
  <c r="F5" i="38" s="1"/>
  <c r="E25" i="38"/>
  <c r="G25" i="38" s="1"/>
  <c r="D25" i="38"/>
  <c r="F25" i="38" s="1"/>
  <c r="E4" i="38"/>
  <c r="G4" i="38" s="1"/>
  <c r="D4" i="38"/>
  <c r="F4" i="38" s="1"/>
  <c r="E3" i="38"/>
  <c r="G3" i="38" s="1"/>
  <c r="D3" i="38"/>
  <c r="F3" i="38" s="1"/>
  <c r="P6" i="29"/>
  <c r="R15" i="37"/>
  <c r="S19" i="37"/>
  <c r="S21" i="37"/>
  <c r="Q17" i="37"/>
  <c r="Q16" i="37"/>
  <c r="R18" i="37"/>
  <c r="R20" i="37"/>
  <c r="R22" i="37"/>
  <c r="R36" i="37"/>
  <c r="P41" i="37"/>
  <c r="U8" i="37"/>
  <c r="S20" i="37"/>
  <c r="Q44" i="37"/>
  <c r="U45" i="37"/>
  <c r="P40" i="37"/>
  <c r="U43" i="37"/>
  <c r="U25" i="36"/>
  <c r="Q16" i="36"/>
  <c r="Q22" i="36"/>
  <c r="R20" i="36"/>
  <c r="R22" i="36"/>
  <c r="R15" i="36"/>
  <c r="S16" i="36"/>
  <c r="S18" i="36"/>
  <c r="R17" i="36"/>
  <c r="R19" i="36"/>
  <c r="S21" i="36"/>
  <c r="U70" i="36"/>
  <c r="U12" i="36"/>
  <c r="Q21" i="36"/>
  <c r="Q17" i="36"/>
  <c r="Q19" i="36"/>
  <c r="U10" i="37"/>
  <c r="U28" i="37"/>
  <c r="U18" i="37" s="1"/>
  <c r="Q20" i="37"/>
  <c r="Q22" i="37"/>
  <c r="U50" i="37"/>
  <c r="U71" i="37"/>
  <c r="Q15" i="37"/>
  <c r="P16" i="37"/>
  <c r="U26" i="37"/>
  <c r="U16" i="37" s="1"/>
  <c r="P21" i="37"/>
  <c r="U31" i="37"/>
  <c r="U21" i="37" s="1"/>
  <c r="U40" i="37"/>
  <c r="U69" i="37"/>
  <c r="U27" i="37"/>
  <c r="U17" i="37" s="1"/>
  <c r="U29" i="37"/>
  <c r="U19" i="37" s="1"/>
  <c r="P19" i="37"/>
  <c r="U46" i="37"/>
  <c r="U57" i="37"/>
  <c r="U7" i="37"/>
  <c r="P15" i="37"/>
  <c r="U25" i="37"/>
  <c r="R17" i="37"/>
  <c r="Q19" i="37"/>
  <c r="Q21" i="37"/>
  <c r="U38" i="37"/>
  <c r="U58" i="37"/>
  <c r="U70" i="37"/>
  <c r="S18" i="37"/>
  <c r="P22" i="37"/>
  <c r="U32" i="37"/>
  <c r="U39" i="37"/>
  <c r="U41" i="37"/>
  <c r="U5" i="37"/>
  <c r="U30" i="37"/>
  <c r="U20" i="37" s="1"/>
  <c r="P20" i="37"/>
  <c r="U56" i="37"/>
  <c r="U12" i="37"/>
  <c r="R16" i="37"/>
  <c r="Q18" i="37"/>
  <c r="R19" i="37"/>
  <c r="R21" i="37"/>
  <c r="U47" i="37"/>
  <c r="U68" i="37"/>
  <c r="P17" i="37"/>
  <c r="P18" i="37"/>
  <c r="S44" i="37"/>
  <c r="U44" i="37" s="1"/>
  <c r="S36" i="37"/>
  <c r="U36" i="37" s="1"/>
  <c r="S37" i="37"/>
  <c r="U37" i="37" s="1"/>
  <c r="U26" i="36"/>
  <c r="P16" i="36"/>
  <c r="P18" i="36"/>
  <c r="U28" i="36"/>
  <c r="U5" i="36"/>
  <c r="U15" i="36" s="1"/>
  <c r="U6" i="36"/>
  <c r="U8" i="36"/>
  <c r="U31" i="36"/>
  <c r="S15" i="36"/>
  <c r="P17" i="36"/>
  <c r="U27" i="36"/>
  <c r="U17" i="36" s="1"/>
  <c r="P19" i="36"/>
  <c r="U29" i="36"/>
  <c r="U19" i="36" s="1"/>
  <c r="S17" i="36"/>
  <c r="Q18" i="36"/>
  <c r="Q20" i="36"/>
  <c r="U30" i="36"/>
  <c r="R21" i="36"/>
  <c r="S22" i="36"/>
  <c r="U11" i="36"/>
  <c r="Q15" i="36"/>
  <c r="R16" i="36"/>
  <c r="R18" i="36"/>
  <c r="U32" i="36"/>
  <c r="U22" i="36" s="1"/>
  <c r="P22" i="36"/>
  <c r="U50" i="36"/>
  <c r="P21" i="36"/>
  <c r="P15" i="36"/>
  <c r="U10" i="36"/>
  <c r="C91" i="35"/>
  <c r="C89" i="35"/>
  <c r="C87" i="35"/>
  <c r="C85" i="35"/>
  <c r="C83" i="35"/>
  <c r="C80" i="35"/>
  <c r="C78" i="35"/>
  <c r="C64" i="35"/>
  <c r="C64" i="37" s="1"/>
  <c r="C62" i="35"/>
  <c r="C62" i="37" s="1"/>
  <c r="C86" i="35"/>
  <c r="C77" i="35"/>
  <c r="C65" i="35"/>
  <c r="C65" i="37" s="1"/>
  <c r="C88" i="35"/>
  <c r="C79" i="35"/>
  <c r="C90" i="35"/>
  <c r="C84" i="35"/>
  <c r="C63" i="35"/>
  <c r="C63" i="37" s="1"/>
  <c r="M70" i="35"/>
  <c r="F34" i="35"/>
  <c r="G4" i="35"/>
  <c r="I32" i="35"/>
  <c r="C70" i="35"/>
  <c r="E34" i="35"/>
  <c r="E70" i="35"/>
  <c r="F32" i="35"/>
  <c r="K70" i="35"/>
  <c r="D41" i="35"/>
  <c r="D57" i="35" s="1"/>
  <c r="D69" i="35"/>
  <c r="D47" i="35"/>
  <c r="D58" i="35" s="1"/>
  <c r="D68" i="35"/>
  <c r="D71" i="35" s="1"/>
  <c r="J70" i="35"/>
  <c r="I70" i="35"/>
  <c r="H70" i="35"/>
  <c r="G70" i="35"/>
  <c r="N70" i="35"/>
  <c r="F70" i="35"/>
  <c r="L70" i="35"/>
  <c r="D70" i="35"/>
  <c r="C69" i="35"/>
  <c r="C71" i="35" s="1"/>
  <c r="I50" i="34"/>
  <c r="H70" i="34"/>
  <c r="E51" i="34"/>
  <c r="D55" i="34"/>
  <c r="D53" i="34"/>
  <c r="D54" i="34"/>
  <c r="D52" i="34"/>
  <c r="I70" i="34"/>
  <c r="J50" i="34"/>
  <c r="C32" i="34"/>
  <c r="D47" i="34"/>
  <c r="D58" i="34" s="1"/>
  <c r="D68" i="34"/>
  <c r="D41" i="34"/>
  <c r="D57" i="34" s="1"/>
  <c r="D56" i="34" s="1"/>
  <c r="D69" i="34"/>
  <c r="J70" i="34"/>
  <c r="K50" i="34"/>
  <c r="C70" i="34"/>
  <c r="D50" i="34"/>
  <c r="D59" i="34" s="1"/>
  <c r="K70" i="34"/>
  <c r="L50" i="34"/>
  <c r="D70" i="34"/>
  <c r="E50" i="34"/>
  <c r="L70" i="34"/>
  <c r="M50" i="34"/>
  <c r="E70" i="34"/>
  <c r="F50" i="34"/>
  <c r="M70" i="34"/>
  <c r="N50" i="34"/>
  <c r="J32" i="34"/>
  <c r="K32" i="34"/>
  <c r="E4" i="34"/>
  <c r="C41" i="34"/>
  <c r="C57" i="34" s="1"/>
  <c r="C56" i="34" s="1"/>
  <c r="C59" i="34" s="1"/>
  <c r="C68" i="34"/>
  <c r="C71" i="34" s="1"/>
  <c r="G50" i="34"/>
  <c r="D29" i="29"/>
  <c r="L31" i="29"/>
  <c r="D5" i="29"/>
  <c r="L5" i="29"/>
  <c r="I46" i="29"/>
  <c r="H8" i="29"/>
  <c r="D27" i="29"/>
  <c r="D31" i="29"/>
  <c r="E40" i="29"/>
  <c r="H45" i="29"/>
  <c r="D46" i="29"/>
  <c r="L46" i="29"/>
  <c r="J28" i="25"/>
  <c r="J32" i="25" s="1"/>
  <c r="F28" i="25"/>
  <c r="I45" i="29"/>
  <c r="E46" i="29"/>
  <c r="M46" i="29"/>
  <c r="I12" i="25"/>
  <c r="I70" i="25" s="1"/>
  <c r="K28" i="25"/>
  <c r="G28" i="25"/>
  <c r="H39" i="29"/>
  <c r="L28" i="25"/>
  <c r="H28" i="25"/>
  <c r="C39" i="29"/>
  <c r="K39" i="29"/>
  <c r="G40" i="29"/>
  <c r="G5" i="29"/>
  <c r="C8" i="29"/>
  <c r="K8" i="29"/>
  <c r="C26" i="29"/>
  <c r="K26" i="29"/>
  <c r="G27" i="29"/>
  <c r="I39" i="29"/>
  <c r="L45" i="29"/>
  <c r="N46" i="29"/>
  <c r="G12" i="25"/>
  <c r="M28" i="25"/>
  <c r="L39" i="29"/>
  <c r="H40" i="29"/>
  <c r="H5" i="29"/>
  <c r="D8" i="29"/>
  <c r="L8" i="29"/>
  <c r="D26" i="29"/>
  <c r="L26" i="29"/>
  <c r="H27" i="29"/>
  <c r="H29" i="29"/>
  <c r="D30" i="29"/>
  <c r="L30" i="29"/>
  <c r="H31" i="29"/>
  <c r="D38" i="29"/>
  <c r="L38" i="29"/>
  <c r="J39" i="29"/>
  <c r="L40" i="29"/>
  <c r="M45" i="29"/>
  <c r="H12" i="25"/>
  <c r="H70" i="25" s="1"/>
  <c r="H25" i="25"/>
  <c r="L25" i="25"/>
  <c r="E39" i="29"/>
  <c r="M39" i="29"/>
  <c r="I40" i="29"/>
  <c r="I5" i="29"/>
  <c r="E8" i="29"/>
  <c r="M8" i="29"/>
  <c r="E26" i="29"/>
  <c r="M26" i="29"/>
  <c r="I27" i="29"/>
  <c r="E28" i="29"/>
  <c r="I29" i="29"/>
  <c r="E30" i="29"/>
  <c r="M30" i="29"/>
  <c r="I31" i="29"/>
  <c r="E38" i="29"/>
  <c r="M38" i="29"/>
  <c r="M40" i="29"/>
  <c r="C45" i="29"/>
  <c r="I25" i="25"/>
  <c r="J5" i="29"/>
  <c r="F8" i="29"/>
  <c r="N8" i="29"/>
  <c r="J25" i="29"/>
  <c r="F26" i="29"/>
  <c r="N26" i="29"/>
  <c r="J27" i="29"/>
  <c r="N28" i="29"/>
  <c r="J29" i="29"/>
  <c r="F30" i="29"/>
  <c r="N30" i="29"/>
  <c r="J31" i="29"/>
  <c r="F38" i="29"/>
  <c r="N38" i="29"/>
  <c r="N40" i="29"/>
  <c r="D45" i="29"/>
  <c r="F46" i="29"/>
  <c r="F12" i="25"/>
  <c r="F70" i="25" s="1"/>
  <c r="N12" i="25"/>
  <c r="J12" i="25"/>
  <c r="J70" i="25" s="1"/>
  <c r="K25" i="25"/>
  <c r="G45" i="29"/>
  <c r="C46" i="29"/>
  <c r="K46" i="29"/>
  <c r="C5" i="29"/>
  <c r="K5" i="29"/>
  <c r="G8" i="29"/>
  <c r="G26" i="29"/>
  <c r="C27" i="29"/>
  <c r="K27" i="29"/>
  <c r="C29" i="29"/>
  <c r="K29" i="29"/>
  <c r="G30" i="29"/>
  <c r="C31" i="29"/>
  <c r="K31" i="29"/>
  <c r="C34" i="29"/>
  <c r="G38" i="29"/>
  <c r="D39" i="29"/>
  <c r="D40" i="29"/>
  <c r="E45" i="29"/>
  <c r="G46" i="29"/>
  <c r="C52" i="29"/>
  <c r="C53" i="29"/>
  <c r="C54" i="29"/>
  <c r="C55" i="29"/>
  <c r="K12" i="25"/>
  <c r="M25" i="25"/>
  <c r="L12" i="25"/>
  <c r="L70" i="25" s="1"/>
  <c r="F25" i="25"/>
  <c r="N25" i="25"/>
  <c r="M12" i="25"/>
  <c r="G25" i="25"/>
  <c r="I28" i="25"/>
  <c r="I32" i="25" s="1"/>
  <c r="S10" i="29"/>
  <c r="P6" i="3"/>
  <c r="Q11" i="3"/>
  <c r="R10" i="3"/>
  <c r="S9" i="3"/>
  <c r="P11" i="3"/>
  <c r="S6" i="29"/>
  <c r="P10" i="3"/>
  <c r="U10" i="3" s="1"/>
  <c r="S10" i="3"/>
  <c r="S11" i="3"/>
  <c r="R9" i="3"/>
  <c r="P7" i="29"/>
  <c r="S7" i="3"/>
  <c r="Q6" i="3"/>
  <c r="R11" i="3"/>
  <c r="Q10" i="29"/>
  <c r="Q9" i="3"/>
  <c r="U9" i="3" s="1"/>
  <c r="R7" i="3"/>
  <c r="U7" i="3" s="1"/>
  <c r="S6" i="3"/>
  <c r="R7" i="29"/>
  <c r="Q11" i="29"/>
  <c r="C53" i="3"/>
  <c r="C54" i="3"/>
  <c r="S11" i="29"/>
  <c r="C55" i="3"/>
  <c r="S7" i="29"/>
  <c r="Q9" i="29"/>
  <c r="P10" i="29"/>
  <c r="Q6" i="29"/>
  <c r="R9" i="29"/>
  <c r="R11" i="29"/>
  <c r="R6" i="29"/>
  <c r="P11" i="29"/>
  <c r="M50" i="25"/>
  <c r="F4" i="25"/>
  <c r="G70" i="25"/>
  <c r="P9" i="29"/>
  <c r="S9" i="29"/>
  <c r="Q7" i="29"/>
  <c r="R10" i="29"/>
  <c r="C34" i="3"/>
  <c r="G50" i="25" l="1"/>
  <c r="J9" i="38"/>
  <c r="L9" i="38" s="1"/>
  <c r="K9" i="38"/>
  <c r="M9" i="38" s="1"/>
  <c r="D28" i="38"/>
  <c r="F28" i="38" s="1"/>
  <c r="E28" i="38"/>
  <c r="G28" i="38" s="1"/>
  <c r="J7" i="38"/>
  <c r="L7" i="38" s="1"/>
  <c r="K7" i="38"/>
  <c r="M7" i="38" s="1"/>
  <c r="K8" i="38"/>
  <c r="M8" i="38" s="1"/>
  <c r="J8" i="38"/>
  <c r="L8" i="38" s="1"/>
  <c r="D6" i="38"/>
  <c r="F6" i="38" s="1"/>
  <c r="E6" i="38"/>
  <c r="G6" i="38" s="1"/>
  <c r="H32" i="25"/>
  <c r="K4" i="38"/>
  <c r="M4" i="38" s="1"/>
  <c r="J4" i="38"/>
  <c r="L4" i="38" s="1"/>
  <c r="E24" i="38"/>
  <c r="G24" i="38" s="1"/>
  <c r="D24" i="38"/>
  <c r="F24" i="38" s="1"/>
  <c r="J5" i="38"/>
  <c r="L5" i="38" s="1"/>
  <c r="K5" i="38"/>
  <c r="M5" i="38" s="1"/>
  <c r="J50" i="25"/>
  <c r="J50" i="29" s="1"/>
  <c r="U6" i="3"/>
  <c r="U11" i="3"/>
  <c r="U22" i="37"/>
  <c r="U15" i="37"/>
  <c r="U18" i="36"/>
  <c r="U16" i="36"/>
  <c r="U20" i="36"/>
  <c r="U21" i="36"/>
  <c r="E41" i="35"/>
  <c r="E57" i="35" s="1"/>
  <c r="E69" i="35"/>
  <c r="E47" i="35"/>
  <c r="E58" i="35" s="1"/>
  <c r="E68" i="35"/>
  <c r="E71" i="35" s="1"/>
  <c r="G34" i="35"/>
  <c r="H4" i="35"/>
  <c r="F69" i="35"/>
  <c r="F47" i="35"/>
  <c r="F58" i="35" s="1"/>
  <c r="F68" i="35"/>
  <c r="F41" i="35"/>
  <c r="F57" i="35" s="1"/>
  <c r="F56" i="35" s="1"/>
  <c r="C98" i="35"/>
  <c r="C77" i="37" s="1"/>
  <c r="D56" i="35"/>
  <c r="C100" i="35"/>
  <c r="C92" i="35"/>
  <c r="C99" i="35"/>
  <c r="C78" i="37" s="1"/>
  <c r="C81" i="35"/>
  <c r="C66" i="35"/>
  <c r="E34" i="34"/>
  <c r="F4" i="34"/>
  <c r="D71" i="34"/>
  <c r="F51" i="34"/>
  <c r="E55" i="34"/>
  <c r="E53" i="34"/>
  <c r="E54" i="34"/>
  <c r="E52" i="34"/>
  <c r="D90" i="34"/>
  <c r="D88" i="34"/>
  <c r="D86" i="34"/>
  <c r="D84" i="34"/>
  <c r="D79" i="34"/>
  <c r="D77" i="34"/>
  <c r="D65" i="34"/>
  <c r="D63" i="34"/>
  <c r="D91" i="34"/>
  <c r="D89" i="34"/>
  <c r="D87" i="34"/>
  <c r="D85" i="34"/>
  <c r="D83" i="34"/>
  <c r="D80" i="34"/>
  <c r="D78" i="34"/>
  <c r="D64" i="34"/>
  <c r="D62" i="34"/>
  <c r="D66" i="34" s="1"/>
  <c r="D73" i="34" s="1"/>
  <c r="C90" i="34"/>
  <c r="C88" i="34"/>
  <c r="C86" i="34"/>
  <c r="C84" i="34"/>
  <c r="C79" i="34"/>
  <c r="C77" i="34"/>
  <c r="C65" i="34"/>
  <c r="C63" i="34"/>
  <c r="C91" i="34"/>
  <c r="C89" i="34"/>
  <c r="C87" i="34"/>
  <c r="C85" i="34"/>
  <c r="C83" i="34"/>
  <c r="C92" i="34" s="1"/>
  <c r="C80" i="34"/>
  <c r="C78" i="34"/>
  <c r="C64" i="34"/>
  <c r="C62" i="34"/>
  <c r="K50" i="25"/>
  <c r="K50" i="29" s="1"/>
  <c r="F50" i="25"/>
  <c r="C41" i="29"/>
  <c r="N32" i="25"/>
  <c r="N25" i="29"/>
  <c r="H32" i="29"/>
  <c r="J12" i="29"/>
  <c r="I50" i="25"/>
  <c r="H12" i="29"/>
  <c r="C28" i="29"/>
  <c r="G50" i="29"/>
  <c r="F32" i="25"/>
  <c r="F25" i="29"/>
  <c r="I32" i="29"/>
  <c r="H50" i="25"/>
  <c r="G12" i="29"/>
  <c r="C25" i="29"/>
  <c r="L12" i="29"/>
  <c r="H28" i="29"/>
  <c r="I12" i="29"/>
  <c r="D34" i="29"/>
  <c r="D12" i="29"/>
  <c r="N70" i="25"/>
  <c r="N12" i="29"/>
  <c r="D25" i="29"/>
  <c r="F50" i="29"/>
  <c r="I28" i="29"/>
  <c r="M32" i="25"/>
  <c r="M25" i="29"/>
  <c r="I25" i="29"/>
  <c r="L28" i="29"/>
  <c r="G28" i="29"/>
  <c r="F28" i="29"/>
  <c r="E34" i="29"/>
  <c r="M50" i="29"/>
  <c r="G32" i="25"/>
  <c r="G25" i="29"/>
  <c r="E25" i="29"/>
  <c r="K32" i="25"/>
  <c r="K25" i="29"/>
  <c r="C47" i="29"/>
  <c r="L32" i="25"/>
  <c r="L25" i="29"/>
  <c r="M70" i="25"/>
  <c r="M12" i="29"/>
  <c r="K70" i="25"/>
  <c r="K70" i="29" s="1"/>
  <c r="K12" i="29"/>
  <c r="F12" i="29"/>
  <c r="M28" i="29"/>
  <c r="D28" i="29"/>
  <c r="K28" i="29"/>
  <c r="D50" i="29"/>
  <c r="E50" i="29"/>
  <c r="U6" i="29"/>
  <c r="E12" i="29"/>
  <c r="C12" i="29"/>
  <c r="J32" i="29"/>
  <c r="H25" i="29"/>
  <c r="J28" i="29"/>
  <c r="H70" i="29"/>
  <c r="C70" i="29"/>
  <c r="F70" i="29"/>
  <c r="L70" i="29"/>
  <c r="G70" i="29"/>
  <c r="E70" i="29"/>
  <c r="I70" i="29"/>
  <c r="D70" i="29"/>
  <c r="C69" i="29"/>
  <c r="J70" i="29"/>
  <c r="C68" i="29"/>
  <c r="L50" i="25"/>
  <c r="N50" i="25"/>
  <c r="U7" i="29"/>
  <c r="U10" i="29"/>
  <c r="U11" i="29"/>
  <c r="F34" i="25"/>
  <c r="G4" i="25"/>
  <c r="U9" i="29"/>
  <c r="D26" i="38" l="1"/>
  <c r="F26" i="38" s="1"/>
  <c r="E26" i="38"/>
  <c r="G26" i="38" s="1"/>
  <c r="Q7" i="38"/>
  <c r="S7" i="38" s="1"/>
  <c r="P7" i="38"/>
  <c r="R7" i="38" s="1"/>
  <c r="Q9" i="38"/>
  <c r="S9" i="38" s="1"/>
  <c r="P9" i="38"/>
  <c r="R9" i="38" s="1"/>
  <c r="Q8" i="38"/>
  <c r="S8" i="38" s="1"/>
  <c r="P8" i="38"/>
  <c r="R8" i="38" s="1"/>
  <c r="E23" i="38"/>
  <c r="G23" i="38" s="1"/>
  <c r="D23" i="38"/>
  <c r="F23" i="38" s="1"/>
  <c r="P5" i="38"/>
  <c r="R5" i="38" s="1"/>
  <c r="Q5" i="38"/>
  <c r="S5" i="38" s="1"/>
  <c r="E10" i="38"/>
  <c r="G10" i="38" s="1"/>
  <c r="D10" i="38"/>
  <c r="F10" i="38" s="1"/>
  <c r="P4" i="38"/>
  <c r="R4" i="38" s="1"/>
  <c r="Q4" i="38"/>
  <c r="S4" i="38" s="1"/>
  <c r="D68" i="38"/>
  <c r="F68" i="38" s="1"/>
  <c r="E68" i="38"/>
  <c r="G68" i="38" s="1"/>
  <c r="C73" i="35"/>
  <c r="C73" i="37" s="1"/>
  <c r="C66" i="37"/>
  <c r="H34" i="35"/>
  <c r="I4" i="35"/>
  <c r="G47" i="35"/>
  <c r="G58" i="35" s="1"/>
  <c r="G68" i="35"/>
  <c r="G41" i="35"/>
  <c r="G57" i="35" s="1"/>
  <c r="G56" i="35" s="1"/>
  <c r="G69" i="35"/>
  <c r="C101" i="35"/>
  <c r="C80" i="37" s="1"/>
  <c r="C74" i="35"/>
  <c r="C74" i="37" s="1"/>
  <c r="F71" i="35"/>
  <c r="E56" i="35"/>
  <c r="C110" i="35"/>
  <c r="C89" i="37" s="1"/>
  <c r="D74" i="34"/>
  <c r="C81" i="34"/>
  <c r="D92" i="34"/>
  <c r="D81" i="34"/>
  <c r="D94" i="34" s="1"/>
  <c r="D95" i="34" s="1"/>
  <c r="C66" i="34"/>
  <c r="C73" i="34" s="1"/>
  <c r="F55" i="34"/>
  <c r="F53" i="34"/>
  <c r="F54" i="34"/>
  <c r="F52" i="34"/>
  <c r="G51" i="34"/>
  <c r="F34" i="34"/>
  <c r="G4" i="34"/>
  <c r="E68" i="34"/>
  <c r="E41" i="34"/>
  <c r="E57" i="34" s="1"/>
  <c r="E56" i="34" s="1"/>
  <c r="E59" i="34" s="1"/>
  <c r="E69" i="34"/>
  <c r="E47" i="34"/>
  <c r="E58" i="34" s="1"/>
  <c r="M70" i="29"/>
  <c r="C58" i="29"/>
  <c r="E32" i="29"/>
  <c r="I50" i="29"/>
  <c r="D47" i="29"/>
  <c r="H50" i="29"/>
  <c r="D32" i="29"/>
  <c r="E41" i="29"/>
  <c r="D41" i="29"/>
  <c r="C32" i="29"/>
  <c r="N32" i="29"/>
  <c r="C57" i="29"/>
  <c r="N50" i="29"/>
  <c r="N70" i="29"/>
  <c r="L50" i="29"/>
  <c r="L32" i="29"/>
  <c r="K32" i="29"/>
  <c r="G32" i="29"/>
  <c r="E47" i="29"/>
  <c r="F34" i="29"/>
  <c r="M32" i="29"/>
  <c r="F32" i="29"/>
  <c r="E69" i="29"/>
  <c r="D69" i="29"/>
  <c r="D68" i="29"/>
  <c r="E68" i="29"/>
  <c r="C71" i="29"/>
  <c r="G34" i="25"/>
  <c r="H4" i="25"/>
  <c r="F68" i="25"/>
  <c r="F41" i="25"/>
  <c r="F69" i="25"/>
  <c r="F47" i="25"/>
  <c r="D30" i="38" l="1"/>
  <c r="F30" i="38" s="1"/>
  <c r="E30" i="38"/>
  <c r="G30" i="38" s="1"/>
  <c r="C94" i="35"/>
  <c r="C95" i="35" s="1"/>
  <c r="C103" i="35"/>
  <c r="C82" i="37" s="1"/>
  <c r="C108" i="35"/>
  <c r="C87" i="37" s="1"/>
  <c r="C106" i="35"/>
  <c r="C85" i="37" s="1"/>
  <c r="C107" i="35"/>
  <c r="C86" i="37" s="1"/>
  <c r="C109" i="35"/>
  <c r="C88" i="37" s="1"/>
  <c r="G71" i="35"/>
  <c r="I34" i="35"/>
  <c r="J4" i="35"/>
  <c r="H47" i="35"/>
  <c r="H58" i="35" s="1"/>
  <c r="H68" i="35"/>
  <c r="H69" i="35"/>
  <c r="H41" i="35"/>
  <c r="H57" i="35" s="1"/>
  <c r="H56" i="35" s="1"/>
  <c r="C94" i="34"/>
  <c r="C95" i="34" s="1"/>
  <c r="C74" i="34"/>
  <c r="G34" i="34"/>
  <c r="H4" i="34"/>
  <c r="F68" i="34"/>
  <c r="F41" i="34"/>
  <c r="F57" i="34" s="1"/>
  <c r="F69" i="34"/>
  <c r="F47" i="34"/>
  <c r="F58" i="34" s="1"/>
  <c r="E71" i="34"/>
  <c r="G54" i="34"/>
  <c r="G52" i="34"/>
  <c r="H51" i="34"/>
  <c r="G55" i="34"/>
  <c r="G53" i="34"/>
  <c r="E90" i="34"/>
  <c r="E88" i="34"/>
  <c r="E86" i="34"/>
  <c r="E84" i="34"/>
  <c r="E79" i="34"/>
  <c r="E77" i="34"/>
  <c r="E65" i="34"/>
  <c r="E63" i="34"/>
  <c r="E91" i="34"/>
  <c r="E89" i="34"/>
  <c r="E87" i="34"/>
  <c r="E85" i="34"/>
  <c r="E83" i="34"/>
  <c r="E80" i="34"/>
  <c r="E78" i="34"/>
  <c r="E64" i="34"/>
  <c r="E62" i="34"/>
  <c r="G34" i="29"/>
  <c r="E56" i="29"/>
  <c r="E57" i="29"/>
  <c r="F58" i="25"/>
  <c r="F47" i="29"/>
  <c r="C56" i="29"/>
  <c r="D58" i="29"/>
  <c r="F57" i="25"/>
  <c r="F56" i="25" s="1"/>
  <c r="F41" i="29"/>
  <c r="E58" i="29"/>
  <c r="D57" i="29"/>
  <c r="F69" i="29"/>
  <c r="D71" i="29"/>
  <c r="F68" i="29"/>
  <c r="E71" i="29"/>
  <c r="F71" i="25"/>
  <c r="H34" i="25"/>
  <c r="I4" i="25"/>
  <c r="G41" i="25"/>
  <c r="G69" i="25"/>
  <c r="G47" i="25"/>
  <c r="G68" i="25"/>
  <c r="C112" i="35" l="1"/>
  <c r="C104" i="35"/>
  <c r="C83" i="37" s="1"/>
  <c r="C113" i="35"/>
  <c r="C92" i="37" s="1"/>
  <c r="C91" i="37"/>
  <c r="I68" i="35"/>
  <c r="I41" i="35"/>
  <c r="I57" i="35" s="1"/>
  <c r="I47" i="35"/>
  <c r="I58" i="35" s="1"/>
  <c r="I69" i="35"/>
  <c r="H71" i="35"/>
  <c r="J34" i="35"/>
  <c r="K4" i="35"/>
  <c r="F56" i="34"/>
  <c r="F59" i="34" s="1"/>
  <c r="F71" i="34"/>
  <c r="H34" i="34"/>
  <c r="I4" i="34"/>
  <c r="G41" i="34"/>
  <c r="G57" i="34" s="1"/>
  <c r="G69" i="34"/>
  <c r="G47" i="34"/>
  <c r="G58" i="34" s="1"/>
  <c r="G68" i="34"/>
  <c r="G71" i="34" s="1"/>
  <c r="E81" i="34"/>
  <c r="H54" i="34"/>
  <c r="H52" i="34"/>
  <c r="I51" i="34"/>
  <c r="H55" i="34"/>
  <c r="H53" i="34"/>
  <c r="E92" i="34"/>
  <c r="E66" i="34"/>
  <c r="E73" i="34" s="1"/>
  <c r="H34" i="29"/>
  <c r="F56" i="29"/>
  <c r="C59" i="29"/>
  <c r="F57" i="29"/>
  <c r="G58" i="25"/>
  <c r="G47" i="29"/>
  <c r="G57" i="25"/>
  <c r="G56" i="25" s="1"/>
  <c r="G41" i="29"/>
  <c r="D56" i="29"/>
  <c r="F58" i="29"/>
  <c r="G69" i="29"/>
  <c r="G68" i="29"/>
  <c r="F71" i="29"/>
  <c r="G71" i="25"/>
  <c r="H41" i="25"/>
  <c r="H69" i="25"/>
  <c r="H47" i="25"/>
  <c r="H68" i="25"/>
  <c r="J4" i="25"/>
  <c r="I34" i="25"/>
  <c r="E69" i="38" l="1"/>
  <c r="G69" i="38" s="1"/>
  <c r="D69" i="38"/>
  <c r="F69" i="38" s="1"/>
  <c r="K34" i="35"/>
  <c r="L4" i="35"/>
  <c r="I56" i="35"/>
  <c r="J68" i="35"/>
  <c r="J41" i="35"/>
  <c r="J57" i="35" s="1"/>
  <c r="J56" i="35" s="1"/>
  <c r="J69" i="35"/>
  <c r="J47" i="35"/>
  <c r="J58" i="35" s="1"/>
  <c r="I71" i="35"/>
  <c r="G56" i="34"/>
  <c r="G59" i="34" s="1"/>
  <c r="I54" i="34"/>
  <c r="I52" i="34"/>
  <c r="J51" i="34"/>
  <c r="I55" i="34"/>
  <c r="I53" i="34"/>
  <c r="J4" i="34"/>
  <c r="I34" i="34"/>
  <c r="H41" i="34"/>
  <c r="H57" i="34" s="1"/>
  <c r="H56" i="34" s="1"/>
  <c r="H59" i="34" s="1"/>
  <c r="H69" i="34"/>
  <c r="H47" i="34"/>
  <c r="H58" i="34" s="1"/>
  <c r="H68" i="34"/>
  <c r="H71" i="34" s="1"/>
  <c r="E94" i="34"/>
  <c r="E95" i="34" s="1"/>
  <c r="E74" i="34"/>
  <c r="F90" i="34"/>
  <c r="F88" i="34"/>
  <c r="F86" i="34"/>
  <c r="F84" i="34"/>
  <c r="F79" i="34"/>
  <c r="F77" i="34"/>
  <c r="F65" i="34"/>
  <c r="F63" i="34"/>
  <c r="F91" i="34"/>
  <c r="F89" i="34"/>
  <c r="F87" i="34"/>
  <c r="F85" i="34"/>
  <c r="F83" i="34"/>
  <c r="F80" i="34"/>
  <c r="F78" i="34"/>
  <c r="F64" i="34"/>
  <c r="F62" i="34"/>
  <c r="C79" i="29"/>
  <c r="C77" i="29"/>
  <c r="C78" i="29"/>
  <c r="G58" i="29"/>
  <c r="H58" i="25"/>
  <c r="H47" i="29"/>
  <c r="C64" i="29"/>
  <c r="C63" i="29"/>
  <c r="H57" i="25"/>
  <c r="H41" i="29"/>
  <c r="G56" i="29"/>
  <c r="G57" i="29"/>
  <c r="C65" i="29"/>
  <c r="I34" i="29"/>
  <c r="C62" i="29"/>
  <c r="H69" i="29"/>
  <c r="H68" i="29"/>
  <c r="G71" i="29"/>
  <c r="H71" i="25"/>
  <c r="I69" i="25"/>
  <c r="I47" i="25"/>
  <c r="I68" i="25"/>
  <c r="I41" i="25"/>
  <c r="K4" i="25"/>
  <c r="J34" i="25"/>
  <c r="H56" i="25"/>
  <c r="L34" i="35" l="1"/>
  <c r="M4" i="35"/>
  <c r="K41" i="35"/>
  <c r="K57" i="35" s="1"/>
  <c r="K69" i="35"/>
  <c r="K47" i="35"/>
  <c r="K58" i="35" s="1"/>
  <c r="K68" i="35"/>
  <c r="J71" i="35"/>
  <c r="F81" i="34"/>
  <c r="K4" i="34"/>
  <c r="J34" i="34"/>
  <c r="J54" i="34"/>
  <c r="J52" i="34"/>
  <c r="K51" i="34"/>
  <c r="J55" i="34"/>
  <c r="J53" i="34"/>
  <c r="F92" i="34"/>
  <c r="H91" i="34"/>
  <c r="H89" i="34"/>
  <c r="H87" i="34"/>
  <c r="H85" i="34"/>
  <c r="H83" i="34"/>
  <c r="H92" i="34" s="1"/>
  <c r="H80" i="34"/>
  <c r="H78" i="34"/>
  <c r="H64" i="34"/>
  <c r="H62" i="34"/>
  <c r="H90" i="34"/>
  <c r="H88" i="34"/>
  <c r="H86" i="34"/>
  <c r="H84" i="34"/>
  <c r="H79" i="34"/>
  <c r="H77" i="34"/>
  <c r="H81" i="34" s="1"/>
  <c r="H65" i="34"/>
  <c r="H63" i="34"/>
  <c r="F66" i="34"/>
  <c r="F73" i="34" s="1"/>
  <c r="I69" i="34"/>
  <c r="I47" i="34"/>
  <c r="I58" i="34" s="1"/>
  <c r="I68" i="34"/>
  <c r="I71" i="34" s="1"/>
  <c r="I41" i="34"/>
  <c r="I57" i="34" s="1"/>
  <c r="I56" i="34" s="1"/>
  <c r="I59" i="34" s="1"/>
  <c r="G91" i="34"/>
  <c r="G89" i="34"/>
  <c r="G87" i="34"/>
  <c r="G85" i="34"/>
  <c r="G83" i="34"/>
  <c r="G80" i="34"/>
  <c r="G78" i="34"/>
  <c r="G64" i="34"/>
  <c r="G62" i="34"/>
  <c r="G90" i="34"/>
  <c r="G88" i="34"/>
  <c r="G86" i="34"/>
  <c r="G84" i="34"/>
  <c r="G79" i="34"/>
  <c r="G77" i="34"/>
  <c r="G81" i="34" s="1"/>
  <c r="G65" i="34"/>
  <c r="G63" i="34"/>
  <c r="C80" i="29"/>
  <c r="H58" i="29"/>
  <c r="C66" i="29"/>
  <c r="I58" i="25"/>
  <c r="I47" i="29"/>
  <c r="I57" i="25"/>
  <c r="I41" i="29"/>
  <c r="H56" i="29"/>
  <c r="J34" i="29"/>
  <c r="H57" i="29"/>
  <c r="I69" i="29"/>
  <c r="H71" i="29"/>
  <c r="I71" i="25"/>
  <c r="I68" i="29"/>
  <c r="L4" i="25"/>
  <c r="K34" i="25"/>
  <c r="J69" i="25"/>
  <c r="J47" i="25"/>
  <c r="J68" i="25"/>
  <c r="J41" i="25"/>
  <c r="K56" i="35" l="1"/>
  <c r="N4" i="35"/>
  <c r="N34" i="35" s="1"/>
  <c r="M34" i="35"/>
  <c r="K71" i="35"/>
  <c r="L41" i="35"/>
  <c r="L57" i="35" s="1"/>
  <c r="L69" i="35"/>
  <c r="L47" i="35"/>
  <c r="L58" i="35" s="1"/>
  <c r="L68" i="35"/>
  <c r="L71" i="35" s="1"/>
  <c r="I91" i="34"/>
  <c r="I89" i="34"/>
  <c r="I87" i="34"/>
  <c r="I85" i="34"/>
  <c r="I83" i="34"/>
  <c r="I80" i="34"/>
  <c r="I78" i="34"/>
  <c r="I64" i="34"/>
  <c r="I62" i="34"/>
  <c r="I90" i="34"/>
  <c r="I88" i="34"/>
  <c r="I86" i="34"/>
  <c r="I84" i="34"/>
  <c r="I79" i="34"/>
  <c r="I77" i="34"/>
  <c r="I81" i="34" s="1"/>
  <c r="I65" i="34"/>
  <c r="I63" i="34"/>
  <c r="L51" i="34"/>
  <c r="K55" i="34"/>
  <c r="K53" i="34"/>
  <c r="K54" i="34"/>
  <c r="K52" i="34"/>
  <c r="F94" i="34"/>
  <c r="F95" i="34" s="1"/>
  <c r="F74" i="34"/>
  <c r="G92" i="34"/>
  <c r="J69" i="34"/>
  <c r="J47" i="34"/>
  <c r="J58" i="34" s="1"/>
  <c r="J68" i="34"/>
  <c r="J71" i="34" s="1"/>
  <c r="J41" i="34"/>
  <c r="J57" i="34" s="1"/>
  <c r="J56" i="34" s="1"/>
  <c r="J59" i="34" s="1"/>
  <c r="H66" i="34"/>
  <c r="H73" i="34" s="1"/>
  <c r="G66" i="34"/>
  <c r="G73" i="34" s="1"/>
  <c r="K34" i="34"/>
  <c r="L4" i="34"/>
  <c r="C87" i="29"/>
  <c r="C89" i="29"/>
  <c r="C85" i="29"/>
  <c r="I56" i="25"/>
  <c r="I58" i="29"/>
  <c r="C73" i="29"/>
  <c r="J57" i="25"/>
  <c r="J41" i="29"/>
  <c r="I56" i="29"/>
  <c r="J58" i="25"/>
  <c r="J47" i="29"/>
  <c r="I57" i="29"/>
  <c r="K34" i="29"/>
  <c r="J69" i="29"/>
  <c r="J68" i="29"/>
  <c r="I71" i="29"/>
  <c r="K47" i="25"/>
  <c r="K68" i="25"/>
  <c r="K41" i="25"/>
  <c r="K69" i="25"/>
  <c r="M4" i="25"/>
  <c r="L34" i="25"/>
  <c r="J71" i="25"/>
  <c r="M41" i="35" l="1"/>
  <c r="M57" i="35" s="1"/>
  <c r="M69" i="35"/>
  <c r="M47" i="35"/>
  <c r="M58" i="35" s="1"/>
  <c r="M68" i="35"/>
  <c r="M71" i="35" s="1"/>
  <c r="N69" i="35"/>
  <c r="N47" i="35"/>
  <c r="N58" i="35" s="1"/>
  <c r="N68" i="35"/>
  <c r="N41" i="35"/>
  <c r="N57" i="35" s="1"/>
  <c r="N56" i="35" s="1"/>
  <c r="L56" i="35"/>
  <c r="J91" i="34"/>
  <c r="J89" i="34"/>
  <c r="J87" i="34"/>
  <c r="J85" i="34"/>
  <c r="J83" i="34"/>
  <c r="J80" i="34"/>
  <c r="J78" i="34"/>
  <c r="J64" i="34"/>
  <c r="J62" i="34"/>
  <c r="J90" i="34"/>
  <c r="J88" i="34"/>
  <c r="J86" i="34"/>
  <c r="J84" i="34"/>
  <c r="J79" i="34"/>
  <c r="J77" i="34"/>
  <c r="J81" i="34" s="1"/>
  <c r="J65" i="34"/>
  <c r="J63" i="34"/>
  <c r="I92" i="34"/>
  <c r="H94" i="34"/>
  <c r="H95" i="34" s="1"/>
  <c r="H74" i="34"/>
  <c r="L34" i="34"/>
  <c r="M4" i="34"/>
  <c r="M51" i="34"/>
  <c r="L55" i="34"/>
  <c r="L53" i="34"/>
  <c r="L54" i="34"/>
  <c r="L52" i="34"/>
  <c r="K47" i="34"/>
  <c r="K58" i="34" s="1"/>
  <c r="K68" i="34"/>
  <c r="K71" i="34" s="1"/>
  <c r="K41" i="34"/>
  <c r="K57" i="34" s="1"/>
  <c r="K56" i="34" s="1"/>
  <c r="K59" i="34" s="1"/>
  <c r="K69" i="34"/>
  <c r="G94" i="34"/>
  <c r="G95" i="34" s="1"/>
  <c r="G74" i="34"/>
  <c r="I66" i="34"/>
  <c r="I73" i="34" s="1"/>
  <c r="C86" i="29"/>
  <c r="C88" i="29"/>
  <c r="C82" i="29"/>
  <c r="C91" i="29"/>
  <c r="C83" i="29"/>
  <c r="J58" i="29"/>
  <c r="J56" i="25"/>
  <c r="K58" i="25"/>
  <c r="K47" i="29"/>
  <c r="C74" i="29"/>
  <c r="K57" i="25"/>
  <c r="K56" i="25" s="1"/>
  <c r="K41" i="29"/>
  <c r="L34" i="29"/>
  <c r="J57" i="29"/>
  <c r="K69" i="29"/>
  <c r="K68" i="29"/>
  <c r="J71" i="29"/>
  <c r="N4" i="25"/>
  <c r="N34" i="25" s="1"/>
  <c r="M34" i="25"/>
  <c r="L47" i="25"/>
  <c r="L68" i="25"/>
  <c r="L41" i="25"/>
  <c r="L69" i="25"/>
  <c r="K71" i="25"/>
  <c r="M56" i="35" l="1"/>
  <c r="N71" i="35"/>
  <c r="K90" i="34"/>
  <c r="K88" i="34"/>
  <c r="K86" i="34"/>
  <c r="K84" i="34"/>
  <c r="K79" i="34"/>
  <c r="K77" i="34"/>
  <c r="K65" i="34"/>
  <c r="K63" i="34"/>
  <c r="K91" i="34"/>
  <c r="K89" i="34"/>
  <c r="K87" i="34"/>
  <c r="K85" i="34"/>
  <c r="K83" i="34"/>
  <c r="K92" i="34" s="1"/>
  <c r="K80" i="34"/>
  <c r="K78" i="34"/>
  <c r="K64" i="34"/>
  <c r="K62" i="34"/>
  <c r="L47" i="34"/>
  <c r="L58" i="34" s="1"/>
  <c r="L68" i="34"/>
  <c r="L41" i="34"/>
  <c r="L57" i="34" s="1"/>
  <c r="L56" i="34" s="1"/>
  <c r="L59" i="34" s="1"/>
  <c r="L69" i="34"/>
  <c r="J92" i="34"/>
  <c r="N51" i="34"/>
  <c r="M55" i="34"/>
  <c r="M53" i="34"/>
  <c r="M54" i="34"/>
  <c r="M52" i="34"/>
  <c r="I94" i="34"/>
  <c r="I95" i="34" s="1"/>
  <c r="I74" i="34"/>
  <c r="M34" i="34"/>
  <c r="N4" i="34"/>
  <c r="N34" i="34" s="1"/>
  <c r="J66" i="34"/>
  <c r="J73" i="34" s="1"/>
  <c r="C92" i="29"/>
  <c r="K57" i="29"/>
  <c r="J56" i="29"/>
  <c r="L58" i="25"/>
  <c r="L47" i="29"/>
  <c r="L57" i="25"/>
  <c r="L41" i="29"/>
  <c r="K56" i="29"/>
  <c r="M34" i="29"/>
  <c r="N34" i="29"/>
  <c r="K58" i="29"/>
  <c r="L69" i="29"/>
  <c r="L68" i="29"/>
  <c r="K71" i="29"/>
  <c r="L71" i="25"/>
  <c r="M68" i="25"/>
  <c r="M41" i="25"/>
  <c r="M69" i="25"/>
  <c r="M47" i="25"/>
  <c r="N68" i="25"/>
  <c r="N41" i="25"/>
  <c r="N69" i="25"/>
  <c r="N47" i="25"/>
  <c r="N55" i="34" l="1"/>
  <c r="N53" i="34"/>
  <c r="N54" i="34"/>
  <c r="N52" i="34"/>
  <c r="L90" i="34"/>
  <c r="L88" i="34"/>
  <c r="L86" i="34"/>
  <c r="L84" i="34"/>
  <c r="L79" i="34"/>
  <c r="L77" i="34"/>
  <c r="L65" i="34"/>
  <c r="L63" i="34"/>
  <c r="L91" i="34"/>
  <c r="L89" i="34"/>
  <c r="L87" i="34"/>
  <c r="L85" i="34"/>
  <c r="L83" i="34"/>
  <c r="L80" i="34"/>
  <c r="L78" i="34"/>
  <c r="L64" i="34"/>
  <c r="L62" i="34"/>
  <c r="L66" i="34" s="1"/>
  <c r="L73" i="34" s="1"/>
  <c r="L71" i="34"/>
  <c r="M68" i="34"/>
  <c r="M41" i="34"/>
  <c r="M57" i="34" s="1"/>
  <c r="M69" i="34"/>
  <c r="M47" i="34"/>
  <c r="M58" i="34" s="1"/>
  <c r="K81" i="34"/>
  <c r="J94" i="34"/>
  <c r="J95" i="34" s="1"/>
  <c r="J74" i="34"/>
  <c r="K66" i="34"/>
  <c r="K73" i="34" s="1"/>
  <c r="N68" i="34"/>
  <c r="N41" i="34"/>
  <c r="N57" i="34" s="1"/>
  <c r="N69" i="34"/>
  <c r="N47" i="34"/>
  <c r="N58" i="34" s="1"/>
  <c r="N57" i="25"/>
  <c r="N41" i="29"/>
  <c r="M58" i="25"/>
  <c r="M47" i="29"/>
  <c r="L56" i="25"/>
  <c r="L57" i="29"/>
  <c r="N58" i="25"/>
  <c r="N56" i="25" s="1"/>
  <c r="N47" i="29"/>
  <c r="L58" i="29"/>
  <c r="M57" i="25"/>
  <c r="M41" i="29"/>
  <c r="N69" i="29"/>
  <c r="M69" i="29"/>
  <c r="M68" i="29"/>
  <c r="N68" i="29"/>
  <c r="L71" i="29"/>
  <c r="N71" i="25"/>
  <c r="M56" i="25"/>
  <c r="M71" i="25"/>
  <c r="L74" i="34" l="1"/>
  <c r="K94" i="34"/>
  <c r="K95" i="34" s="1"/>
  <c r="K74" i="34"/>
  <c r="L92" i="34"/>
  <c r="L81" i="34"/>
  <c r="L94" i="34" s="1"/>
  <c r="L95" i="34" s="1"/>
  <c r="M56" i="34"/>
  <c r="M59" i="34" s="1"/>
  <c r="N56" i="34"/>
  <c r="N59" i="34" s="1"/>
  <c r="N71" i="34"/>
  <c r="M71" i="34"/>
  <c r="L56" i="29"/>
  <c r="N57" i="29"/>
  <c r="M58" i="29"/>
  <c r="N58" i="29"/>
  <c r="M57" i="29"/>
  <c r="N56" i="29"/>
  <c r="M56" i="29"/>
  <c r="N71" i="29"/>
  <c r="M71" i="29"/>
  <c r="N90" i="34" l="1"/>
  <c r="N88" i="34"/>
  <c r="N86" i="34"/>
  <c r="N84" i="34"/>
  <c r="N79" i="34"/>
  <c r="N77" i="34"/>
  <c r="N65" i="34"/>
  <c r="N63" i="34"/>
  <c r="N91" i="34"/>
  <c r="N89" i="34"/>
  <c r="N87" i="34"/>
  <c r="N85" i="34"/>
  <c r="N83" i="34"/>
  <c r="N92" i="34" s="1"/>
  <c r="N80" i="34"/>
  <c r="N78" i="34"/>
  <c r="N64" i="34"/>
  <c r="N62" i="34"/>
  <c r="N66" i="34" s="1"/>
  <c r="N73" i="34" s="1"/>
  <c r="M90" i="34"/>
  <c r="M88" i="34"/>
  <c r="M86" i="34"/>
  <c r="M84" i="34"/>
  <c r="M79" i="34"/>
  <c r="M77" i="34"/>
  <c r="M81" i="34" s="1"/>
  <c r="M65" i="34"/>
  <c r="M63" i="34"/>
  <c r="M91" i="34"/>
  <c r="M89" i="34"/>
  <c r="M87" i="34"/>
  <c r="M85" i="34"/>
  <c r="M83" i="34"/>
  <c r="M92" i="34" s="1"/>
  <c r="M80" i="34"/>
  <c r="M78" i="34"/>
  <c r="M64" i="34"/>
  <c r="M62" i="34"/>
  <c r="M66" i="34" s="1"/>
  <c r="M73" i="34" s="1"/>
  <c r="M94" i="34" l="1"/>
  <c r="M95" i="34" s="1"/>
  <c r="M74" i="34"/>
  <c r="N74" i="34"/>
  <c r="N81" i="34"/>
  <c r="N94" i="34" s="1"/>
  <c r="N95" i="34" s="1"/>
  <c r="P16" i="1" l="1"/>
  <c r="P16" i="35" s="1"/>
  <c r="D51" i="35" s="1"/>
  <c r="D51" i="37" s="1"/>
  <c r="E51" i="35" l="1"/>
  <c r="E51" i="37" s="1"/>
  <c r="P51" i="37" s="1"/>
  <c r="D54" i="35"/>
  <c r="D54" i="37" s="1"/>
  <c r="D52" i="35"/>
  <c r="D52" i="37" s="1"/>
  <c r="D55" i="35"/>
  <c r="D55" i="37" s="1"/>
  <c r="D53" i="35"/>
  <c r="D53" i="37" s="1"/>
  <c r="D59" i="35"/>
  <c r="D59" i="37" s="1"/>
  <c r="P16" i="25"/>
  <c r="D87" i="35" l="1"/>
  <c r="D88" i="35"/>
  <c r="D77" i="35"/>
  <c r="D85" i="35"/>
  <c r="D86" i="35"/>
  <c r="D80" i="35"/>
  <c r="D65" i="35"/>
  <c r="D65" i="37" s="1"/>
  <c r="D89" i="35"/>
  <c r="D83" i="35"/>
  <c r="D84" i="35"/>
  <c r="D79" i="35"/>
  <c r="D64" i="35"/>
  <c r="D64" i="37" s="1"/>
  <c r="D90" i="35"/>
  <c r="D78" i="35"/>
  <c r="D91" i="35"/>
  <c r="D62" i="35"/>
  <c r="D63" i="35"/>
  <c r="D63" i="37" s="1"/>
  <c r="E54" i="35"/>
  <c r="E54" i="37" s="1"/>
  <c r="P54" i="37" s="1"/>
  <c r="E52" i="35"/>
  <c r="E52" i="37" s="1"/>
  <c r="P52" i="37" s="1"/>
  <c r="F51" i="35"/>
  <c r="F51" i="37" s="1"/>
  <c r="E55" i="35"/>
  <c r="E55" i="37" s="1"/>
  <c r="P55" i="37" s="1"/>
  <c r="E53" i="35"/>
  <c r="E53" i="37" s="1"/>
  <c r="P53" i="37" s="1"/>
  <c r="E59" i="35"/>
  <c r="E59" i="37" s="1"/>
  <c r="P59" i="37" s="1"/>
  <c r="D55" i="3"/>
  <c r="D51" i="3"/>
  <c r="D51" i="29"/>
  <c r="D52" i="3"/>
  <c r="D54" i="3"/>
  <c r="D53" i="3"/>
  <c r="D66" i="35" l="1"/>
  <c r="D62" i="37"/>
  <c r="P51" i="36"/>
  <c r="P53" i="36"/>
  <c r="E78" i="35"/>
  <c r="E90" i="35"/>
  <c r="E64" i="35"/>
  <c r="E64" i="37" s="1"/>
  <c r="P64" i="37" s="1"/>
  <c r="E84" i="35"/>
  <c r="E91" i="35"/>
  <c r="E62" i="35"/>
  <c r="E62" i="37" s="1"/>
  <c r="E63" i="35"/>
  <c r="E63" i="37" s="1"/>
  <c r="P63" i="37" s="1"/>
  <c r="E89" i="35"/>
  <c r="E86" i="35"/>
  <c r="E87" i="35"/>
  <c r="E77" i="35"/>
  <c r="E85" i="35"/>
  <c r="E65" i="35"/>
  <c r="E65" i="37" s="1"/>
  <c r="P65" i="37" s="1"/>
  <c r="E83" i="35"/>
  <c r="E88" i="35"/>
  <c r="E80" i="35"/>
  <c r="E79" i="35"/>
  <c r="F51" i="1"/>
  <c r="F53" i="1" s="1"/>
  <c r="E51" i="3"/>
  <c r="P51" i="3" s="1"/>
  <c r="F52" i="35"/>
  <c r="F52" i="37" s="1"/>
  <c r="G51" i="35"/>
  <c r="G51" i="37" s="1"/>
  <c r="F53" i="35"/>
  <c r="F53" i="37" s="1"/>
  <c r="F55" i="35"/>
  <c r="F55" i="37" s="1"/>
  <c r="F59" i="35"/>
  <c r="F59" i="37" s="1"/>
  <c r="F54" i="35"/>
  <c r="F54" i="37" s="1"/>
  <c r="D98" i="35"/>
  <c r="D77" i="37" s="1"/>
  <c r="D99" i="35"/>
  <c r="D78" i="37" s="1"/>
  <c r="D81" i="35"/>
  <c r="P54" i="36"/>
  <c r="D100" i="35"/>
  <c r="D79" i="37" s="1"/>
  <c r="D92" i="35"/>
  <c r="F51" i="25"/>
  <c r="E51" i="29"/>
  <c r="P51" i="29" s="1"/>
  <c r="D55" i="29"/>
  <c r="D52" i="29"/>
  <c r="D53" i="29"/>
  <c r="D59" i="29"/>
  <c r="D54" i="29"/>
  <c r="E54" i="3"/>
  <c r="P54" i="3" s="1"/>
  <c r="E53" i="3"/>
  <c r="P53" i="3" s="1"/>
  <c r="G51" i="1" l="1"/>
  <c r="F54" i="1"/>
  <c r="P62" i="37"/>
  <c r="F52" i="1"/>
  <c r="D73" i="35"/>
  <c r="D94" i="35" s="1"/>
  <c r="D95" i="35" s="1"/>
  <c r="D66" i="37"/>
  <c r="E52" i="3"/>
  <c r="P52" i="3" s="1"/>
  <c r="P52" i="36"/>
  <c r="E55" i="3"/>
  <c r="P55" i="3" s="1"/>
  <c r="P55" i="36"/>
  <c r="F51" i="3"/>
  <c r="C49" i="13" s="1"/>
  <c r="D101" i="35"/>
  <c r="E99" i="35"/>
  <c r="E78" i="37" s="1"/>
  <c r="P78" i="37" s="1"/>
  <c r="E81" i="35"/>
  <c r="F85" i="35"/>
  <c r="F86" i="35"/>
  <c r="F83" i="35"/>
  <c r="F84" i="35"/>
  <c r="F80" i="35"/>
  <c r="F79" i="35"/>
  <c r="F89" i="35"/>
  <c r="F78" i="35"/>
  <c r="F77" i="35"/>
  <c r="F64" i="35"/>
  <c r="F64" i="37" s="1"/>
  <c r="F65" i="35"/>
  <c r="F65" i="37" s="1"/>
  <c r="F90" i="35"/>
  <c r="F91" i="35"/>
  <c r="F62" i="35"/>
  <c r="F62" i="37" s="1"/>
  <c r="F63" i="35"/>
  <c r="F63" i="37" s="1"/>
  <c r="F87" i="35"/>
  <c r="F88" i="35"/>
  <c r="E98" i="35"/>
  <c r="E77" i="37" s="1"/>
  <c r="P77" i="37" s="1"/>
  <c r="F55" i="1"/>
  <c r="D110" i="35"/>
  <c r="D89" i="37" s="1"/>
  <c r="G52" i="35"/>
  <c r="G52" i="37" s="1"/>
  <c r="G54" i="35"/>
  <c r="G54" i="37" s="1"/>
  <c r="G59" i="35"/>
  <c r="G59" i="37" s="1"/>
  <c r="H51" i="35"/>
  <c r="H51" i="37" s="1"/>
  <c r="Q51" i="37" s="1"/>
  <c r="G55" i="35"/>
  <c r="G55" i="37" s="1"/>
  <c r="G53" i="35"/>
  <c r="G53" i="37" s="1"/>
  <c r="E92" i="35"/>
  <c r="E100" i="35"/>
  <c r="E79" i="37" s="1"/>
  <c r="P79" i="37" s="1"/>
  <c r="E66" i="35"/>
  <c r="D63" i="29"/>
  <c r="E54" i="29"/>
  <c r="P54" i="29" s="1"/>
  <c r="D65" i="29"/>
  <c r="E55" i="29"/>
  <c r="P55" i="29" s="1"/>
  <c r="E53" i="29"/>
  <c r="P53" i="29" s="1"/>
  <c r="D64" i="29"/>
  <c r="F55" i="25"/>
  <c r="F53" i="25"/>
  <c r="F54" i="25"/>
  <c r="F52" i="25"/>
  <c r="F51" i="29"/>
  <c r="C49" i="38" s="1"/>
  <c r="G51" i="25"/>
  <c r="F59" i="25"/>
  <c r="D62" i="29"/>
  <c r="E59" i="29"/>
  <c r="E52" i="29"/>
  <c r="P52" i="29" s="1"/>
  <c r="F54" i="3"/>
  <c r="C52" i="13" s="1"/>
  <c r="F53" i="3"/>
  <c r="C51" i="13" s="1"/>
  <c r="G51" i="3"/>
  <c r="F52" i="3"/>
  <c r="C50" i="13" s="1"/>
  <c r="G55" i="1"/>
  <c r="G52" i="1"/>
  <c r="G53" i="1"/>
  <c r="G54" i="1"/>
  <c r="H51" i="1"/>
  <c r="Q51" i="36" s="1"/>
  <c r="E52" i="13" l="1"/>
  <c r="G52" i="13" s="1"/>
  <c r="D52" i="13"/>
  <c r="F52" i="13" s="1"/>
  <c r="D49" i="38"/>
  <c r="F49" i="38" s="1"/>
  <c r="E49" i="38"/>
  <c r="G49" i="38" s="1"/>
  <c r="E49" i="13"/>
  <c r="G49" i="13" s="1"/>
  <c r="D49" i="13"/>
  <c r="F49" i="13" s="1"/>
  <c r="D51" i="13"/>
  <c r="F51" i="13" s="1"/>
  <c r="E51" i="13"/>
  <c r="G51" i="13" s="1"/>
  <c r="D50" i="13"/>
  <c r="F50" i="13" s="1"/>
  <c r="E50" i="13"/>
  <c r="G50" i="13" s="1"/>
  <c r="D73" i="37"/>
  <c r="D74" i="35"/>
  <c r="D74" i="37" s="1"/>
  <c r="D103" i="35"/>
  <c r="D80" i="37"/>
  <c r="E73" i="35"/>
  <c r="E73" i="37" s="1"/>
  <c r="E66" i="37"/>
  <c r="P66" i="37" s="1"/>
  <c r="F55" i="3"/>
  <c r="C53" i="13" s="1"/>
  <c r="D107" i="35"/>
  <c r="D86" i="37" s="1"/>
  <c r="D108" i="35"/>
  <c r="D87" i="37" s="1"/>
  <c r="D109" i="35"/>
  <c r="D88" i="37" s="1"/>
  <c r="D106" i="35"/>
  <c r="D85" i="37" s="1"/>
  <c r="F100" i="35"/>
  <c r="F79" i="37" s="1"/>
  <c r="F92" i="35"/>
  <c r="E101" i="35"/>
  <c r="F99" i="35"/>
  <c r="F78" i="37" s="1"/>
  <c r="F81" i="35"/>
  <c r="I51" i="35"/>
  <c r="I51" i="37" s="1"/>
  <c r="H55" i="35"/>
  <c r="H55" i="37" s="1"/>
  <c r="Q55" i="37" s="1"/>
  <c r="H53" i="35"/>
  <c r="H53" i="37" s="1"/>
  <c r="Q53" i="37" s="1"/>
  <c r="H54" i="35"/>
  <c r="H54" i="37" s="1"/>
  <c r="Q54" i="37" s="1"/>
  <c r="H52" i="35"/>
  <c r="H52" i="37" s="1"/>
  <c r="Q52" i="37" s="1"/>
  <c r="H59" i="35"/>
  <c r="H59" i="37" s="1"/>
  <c r="Q59" i="37" s="1"/>
  <c r="E110" i="35"/>
  <c r="E89" i="37" s="1"/>
  <c r="P89" i="37" s="1"/>
  <c r="G79" i="35"/>
  <c r="G64" i="35"/>
  <c r="G64" i="37" s="1"/>
  <c r="G65" i="35"/>
  <c r="G65" i="37" s="1"/>
  <c r="G77" i="35"/>
  <c r="G87" i="35"/>
  <c r="G78" i="35"/>
  <c r="G89" i="35"/>
  <c r="G63" i="35"/>
  <c r="G63" i="37" s="1"/>
  <c r="G90" i="35"/>
  <c r="G91" i="35"/>
  <c r="G80" i="35"/>
  <c r="G88" i="35"/>
  <c r="G83" i="35"/>
  <c r="G86" i="35"/>
  <c r="G62" i="35"/>
  <c r="G84" i="35"/>
  <c r="G85" i="35"/>
  <c r="F66" i="35"/>
  <c r="F98" i="35"/>
  <c r="F77" i="37" s="1"/>
  <c r="D89" i="29"/>
  <c r="D77" i="29"/>
  <c r="D79" i="29"/>
  <c r="D78" i="29"/>
  <c r="G52" i="25"/>
  <c r="H51" i="25"/>
  <c r="G55" i="25"/>
  <c r="G53" i="25"/>
  <c r="G54" i="25"/>
  <c r="G51" i="29"/>
  <c r="G59" i="25"/>
  <c r="F53" i="29"/>
  <c r="C51" i="38" s="1"/>
  <c r="E62" i="29"/>
  <c r="F87" i="25"/>
  <c r="F78" i="25"/>
  <c r="F64" i="25"/>
  <c r="F62" i="25"/>
  <c r="F80" i="25"/>
  <c r="F77" i="25"/>
  <c r="F90" i="25"/>
  <c r="F88" i="25"/>
  <c r="F63" i="25"/>
  <c r="F91" i="25"/>
  <c r="F89" i="25"/>
  <c r="F84" i="25"/>
  <c r="F59" i="29"/>
  <c r="C57" i="38" s="1"/>
  <c r="F85" i="25"/>
  <c r="F79" i="25"/>
  <c r="F86" i="25"/>
  <c r="F65" i="25"/>
  <c r="F83" i="25"/>
  <c r="F52" i="29"/>
  <c r="C50" i="38" s="1"/>
  <c r="E64" i="29"/>
  <c r="F55" i="29"/>
  <c r="C53" i="38" s="1"/>
  <c r="E65" i="29"/>
  <c r="F54" i="29"/>
  <c r="C52" i="38" s="1"/>
  <c r="E63" i="29"/>
  <c r="D66" i="29"/>
  <c r="H51" i="3"/>
  <c r="Q51" i="3" s="1"/>
  <c r="I49" i="13" s="1"/>
  <c r="G54" i="3"/>
  <c r="G53" i="3"/>
  <c r="G55" i="3"/>
  <c r="G52" i="3"/>
  <c r="H52" i="1"/>
  <c r="Q52" i="36" s="1"/>
  <c r="H55" i="1"/>
  <c r="H53" i="1"/>
  <c r="Q53" i="36" s="1"/>
  <c r="H54" i="1"/>
  <c r="Q54" i="36" s="1"/>
  <c r="I51" i="1"/>
  <c r="D57" i="38" l="1"/>
  <c r="F57" i="38" s="1"/>
  <c r="E57" i="38"/>
  <c r="G57" i="38" s="1"/>
  <c r="E53" i="38"/>
  <c r="G53" i="38" s="1"/>
  <c r="D53" i="38"/>
  <c r="F53" i="38" s="1"/>
  <c r="E52" i="38"/>
  <c r="G52" i="38" s="1"/>
  <c r="D52" i="38"/>
  <c r="F52" i="38" s="1"/>
  <c r="D50" i="38"/>
  <c r="F50" i="38" s="1"/>
  <c r="E50" i="38"/>
  <c r="G50" i="38" s="1"/>
  <c r="E51" i="38"/>
  <c r="G51" i="38" s="1"/>
  <c r="D51" i="38"/>
  <c r="F51" i="38" s="1"/>
  <c r="J49" i="13"/>
  <c r="L49" i="13" s="1"/>
  <c r="K49" i="13"/>
  <c r="M49" i="13" s="1"/>
  <c r="E53" i="13"/>
  <c r="G53" i="13" s="1"/>
  <c r="D53" i="13"/>
  <c r="F53" i="13" s="1"/>
  <c r="E74" i="35"/>
  <c r="E74" i="37" s="1"/>
  <c r="E94" i="35"/>
  <c r="E95" i="35" s="1"/>
  <c r="P73" i="37"/>
  <c r="D104" i="35"/>
  <c r="D83" i="37" s="1"/>
  <c r="D82" i="37"/>
  <c r="F73" i="35"/>
  <c r="F73" i="37" s="1"/>
  <c r="F66" i="37"/>
  <c r="G66" i="35"/>
  <c r="G62" i="37"/>
  <c r="E103" i="35"/>
  <c r="E82" i="37" s="1"/>
  <c r="E80" i="37"/>
  <c r="P80" i="37" s="1"/>
  <c r="D112" i="35"/>
  <c r="Q55" i="36"/>
  <c r="D86" i="29"/>
  <c r="E108" i="35"/>
  <c r="E87" i="37" s="1"/>
  <c r="P87" i="37" s="1"/>
  <c r="E109" i="35"/>
  <c r="E88" i="37" s="1"/>
  <c r="P88" i="37" s="1"/>
  <c r="E106" i="35"/>
  <c r="E85" i="37" s="1"/>
  <c r="P85" i="37" s="1"/>
  <c r="E107" i="35"/>
  <c r="E86" i="37" s="1"/>
  <c r="P86" i="37" s="1"/>
  <c r="H88" i="35"/>
  <c r="H89" i="35"/>
  <c r="H79" i="35"/>
  <c r="H86" i="35"/>
  <c r="H87" i="35"/>
  <c r="H83" i="35"/>
  <c r="H84" i="35"/>
  <c r="H85" i="35"/>
  <c r="H77" i="35"/>
  <c r="H80" i="35"/>
  <c r="H90" i="35"/>
  <c r="H65" i="35"/>
  <c r="H65" i="37" s="1"/>
  <c r="Q65" i="37" s="1"/>
  <c r="H78" i="35"/>
  <c r="H62" i="35"/>
  <c r="H62" i="37" s="1"/>
  <c r="H63" i="35"/>
  <c r="H63" i="37" s="1"/>
  <c r="Q63" i="37" s="1"/>
  <c r="H64" i="35"/>
  <c r="H64" i="37" s="1"/>
  <c r="Q64" i="37" s="1"/>
  <c r="H91" i="35"/>
  <c r="D88" i="29"/>
  <c r="D87" i="29"/>
  <c r="G100" i="35"/>
  <c r="G79" i="37" s="1"/>
  <c r="G92" i="35"/>
  <c r="D85" i="29"/>
  <c r="G99" i="35"/>
  <c r="G78" i="37" s="1"/>
  <c r="G81" i="35"/>
  <c r="F101" i="35"/>
  <c r="I55" i="35"/>
  <c r="I55" i="37" s="1"/>
  <c r="I53" i="35"/>
  <c r="I53" i="37" s="1"/>
  <c r="I54" i="35"/>
  <c r="I54" i="37" s="1"/>
  <c r="I52" i="35"/>
  <c r="I52" i="37" s="1"/>
  <c r="J51" i="35"/>
  <c r="J51" i="37" s="1"/>
  <c r="I59" i="35"/>
  <c r="I59" i="37" s="1"/>
  <c r="G98" i="35"/>
  <c r="G77" i="37" s="1"/>
  <c r="F110" i="35"/>
  <c r="F89" i="37" s="1"/>
  <c r="E77" i="29"/>
  <c r="P77" i="29" s="1"/>
  <c r="D80" i="29"/>
  <c r="E79" i="29"/>
  <c r="P79" i="29" s="1"/>
  <c r="E78" i="29"/>
  <c r="P78" i="29" s="1"/>
  <c r="F100" i="25"/>
  <c r="F98" i="25"/>
  <c r="F99" i="25"/>
  <c r="F66" i="25"/>
  <c r="F65" i="29"/>
  <c r="C63" i="38" s="1"/>
  <c r="F64" i="29"/>
  <c r="C62" i="38" s="1"/>
  <c r="E66" i="29"/>
  <c r="G54" i="29"/>
  <c r="F63" i="29"/>
  <c r="C61" i="38" s="1"/>
  <c r="G53" i="29"/>
  <c r="G55" i="29"/>
  <c r="F92" i="25"/>
  <c r="F62" i="29"/>
  <c r="C60" i="38" s="1"/>
  <c r="D73" i="29"/>
  <c r="H51" i="29"/>
  <c r="Q51" i="29" s="1"/>
  <c r="I49" i="38" s="1"/>
  <c r="H53" i="25"/>
  <c r="H54" i="25"/>
  <c r="H52" i="25"/>
  <c r="I51" i="25"/>
  <c r="H55" i="25"/>
  <c r="H59" i="25"/>
  <c r="F81" i="25"/>
  <c r="G85" i="25"/>
  <c r="G80" i="25"/>
  <c r="G84" i="25"/>
  <c r="G79" i="25"/>
  <c r="G62" i="25"/>
  <c r="G90" i="25"/>
  <c r="G89" i="25"/>
  <c r="G59" i="29"/>
  <c r="G83" i="25"/>
  <c r="G65" i="25"/>
  <c r="G86" i="25"/>
  <c r="G64" i="25"/>
  <c r="G77" i="25"/>
  <c r="G87" i="25"/>
  <c r="G91" i="25"/>
  <c r="G88" i="25"/>
  <c r="G78" i="25"/>
  <c r="G63" i="25"/>
  <c r="G52" i="29"/>
  <c r="I51" i="3"/>
  <c r="H52" i="3"/>
  <c r="Q52" i="3" s="1"/>
  <c r="I50" i="13" s="1"/>
  <c r="H54" i="3"/>
  <c r="Q54" i="3" s="1"/>
  <c r="I52" i="13" s="1"/>
  <c r="H53" i="3"/>
  <c r="Q53" i="3" s="1"/>
  <c r="I51" i="13" s="1"/>
  <c r="H55" i="3"/>
  <c r="Q55" i="3" s="1"/>
  <c r="I53" i="13" s="1"/>
  <c r="I52" i="1"/>
  <c r="I55" i="1"/>
  <c r="I53" i="1"/>
  <c r="I54" i="1"/>
  <c r="J51" i="1"/>
  <c r="D61" i="38" l="1"/>
  <c r="F61" i="38" s="1"/>
  <c r="E61" i="38"/>
  <c r="G61" i="38" s="1"/>
  <c r="K49" i="38"/>
  <c r="M49" i="38" s="1"/>
  <c r="J49" i="38"/>
  <c r="L49" i="38" s="1"/>
  <c r="E112" i="35"/>
  <c r="E113" i="35" s="1"/>
  <c r="E92" i="37" s="1"/>
  <c r="K53" i="13"/>
  <c r="M53" i="13" s="1"/>
  <c r="J53" i="13"/>
  <c r="L53" i="13" s="1"/>
  <c r="E62" i="38"/>
  <c r="G62" i="38" s="1"/>
  <c r="D62" i="38"/>
  <c r="F62" i="38" s="1"/>
  <c r="J51" i="13"/>
  <c r="L51" i="13" s="1"/>
  <c r="K51" i="13"/>
  <c r="M51" i="13" s="1"/>
  <c r="D60" i="38"/>
  <c r="F60" i="38" s="1"/>
  <c r="E60" i="38"/>
  <c r="G60" i="38" s="1"/>
  <c r="E63" i="38"/>
  <c r="G63" i="38" s="1"/>
  <c r="D63" i="38"/>
  <c r="F63" i="38" s="1"/>
  <c r="J52" i="13"/>
  <c r="L52" i="13" s="1"/>
  <c r="K52" i="13"/>
  <c r="M52" i="13" s="1"/>
  <c r="J50" i="13"/>
  <c r="L50" i="13" s="1"/>
  <c r="K50" i="13"/>
  <c r="M50" i="13" s="1"/>
  <c r="F74" i="35"/>
  <c r="F74" i="37" s="1"/>
  <c r="F94" i="35"/>
  <c r="F95" i="35" s="1"/>
  <c r="E104" i="35"/>
  <c r="E83" i="37" s="1"/>
  <c r="G73" i="35"/>
  <c r="G94" i="35" s="1"/>
  <c r="G95" i="35" s="1"/>
  <c r="G66" i="37"/>
  <c r="F103" i="35"/>
  <c r="F82" i="37" s="1"/>
  <c r="F80" i="37"/>
  <c r="D113" i="35"/>
  <c r="D92" i="37" s="1"/>
  <c r="D91" i="37"/>
  <c r="Q62" i="37"/>
  <c r="P74" i="37"/>
  <c r="P82" i="37"/>
  <c r="H66" i="35"/>
  <c r="H100" i="35"/>
  <c r="H79" i="37" s="1"/>
  <c r="Q79" i="37" s="1"/>
  <c r="H92" i="35"/>
  <c r="F106" i="35"/>
  <c r="F85" i="37" s="1"/>
  <c r="F109" i="35"/>
  <c r="F88" i="37" s="1"/>
  <c r="F107" i="35"/>
  <c r="F86" i="37" s="1"/>
  <c r="F108" i="35"/>
  <c r="F87" i="37" s="1"/>
  <c r="G101" i="35"/>
  <c r="H98" i="35"/>
  <c r="H77" i="37" s="1"/>
  <c r="Q77" i="37" s="1"/>
  <c r="I63" i="35"/>
  <c r="I63" i="37" s="1"/>
  <c r="I89" i="35"/>
  <c r="I90" i="35"/>
  <c r="I91" i="35"/>
  <c r="I80" i="35"/>
  <c r="I85" i="35"/>
  <c r="I65" i="35"/>
  <c r="I65" i="37" s="1"/>
  <c r="I88" i="35"/>
  <c r="I83" i="35"/>
  <c r="I84" i="35"/>
  <c r="I86" i="35"/>
  <c r="I62" i="35"/>
  <c r="I62" i="37" s="1"/>
  <c r="I79" i="35"/>
  <c r="I64" i="35"/>
  <c r="I64" i="37" s="1"/>
  <c r="I77" i="35"/>
  <c r="I87" i="35"/>
  <c r="I78" i="35"/>
  <c r="J52" i="35"/>
  <c r="J52" i="37" s="1"/>
  <c r="K51" i="35"/>
  <c r="K51" i="37" s="1"/>
  <c r="R51" i="37" s="1"/>
  <c r="J59" i="35"/>
  <c r="J59" i="37" s="1"/>
  <c r="J54" i="35"/>
  <c r="J54" i="37" s="1"/>
  <c r="J55" i="35"/>
  <c r="J55" i="37" s="1"/>
  <c r="J53" i="35"/>
  <c r="J53" i="37" s="1"/>
  <c r="H99" i="35"/>
  <c r="H78" i="37" s="1"/>
  <c r="Q78" i="37" s="1"/>
  <c r="H81" i="35"/>
  <c r="G110" i="35"/>
  <c r="G89" i="37" s="1"/>
  <c r="G100" i="25"/>
  <c r="G79" i="29" s="1"/>
  <c r="F78" i="29"/>
  <c r="C75" i="38" s="1"/>
  <c r="D82" i="29"/>
  <c r="F77" i="29"/>
  <c r="C74" i="38" s="1"/>
  <c r="E89" i="29"/>
  <c r="P89" i="29" s="1"/>
  <c r="E80" i="29"/>
  <c r="P80" i="29" s="1"/>
  <c r="F79" i="29"/>
  <c r="C76" i="38" s="1"/>
  <c r="G99" i="25"/>
  <c r="F101" i="25"/>
  <c r="G98" i="25"/>
  <c r="F110" i="25"/>
  <c r="G62" i="29"/>
  <c r="G66" i="25"/>
  <c r="I55" i="25"/>
  <c r="I53" i="25"/>
  <c r="J51" i="25"/>
  <c r="I51" i="29"/>
  <c r="I54" i="25"/>
  <c r="I52" i="25"/>
  <c r="I59" i="25"/>
  <c r="G63" i="29"/>
  <c r="G65" i="29"/>
  <c r="H52" i="29"/>
  <c r="Q52" i="29" s="1"/>
  <c r="I50" i="38" s="1"/>
  <c r="H55" i="29"/>
  <c r="Q55" i="29" s="1"/>
  <c r="I53" i="38" s="1"/>
  <c r="G92" i="25"/>
  <c r="G81" i="25"/>
  <c r="D74" i="29"/>
  <c r="F66" i="29"/>
  <c r="C64" i="38" s="1"/>
  <c r="F73" i="25"/>
  <c r="H54" i="29"/>
  <c r="Q54" i="29" s="1"/>
  <c r="I52" i="38" s="1"/>
  <c r="H53" i="29"/>
  <c r="Q53" i="29" s="1"/>
  <c r="I51" i="38" s="1"/>
  <c r="H59" i="29"/>
  <c r="H80" i="25"/>
  <c r="H79" i="25"/>
  <c r="H77" i="25"/>
  <c r="H91" i="25"/>
  <c r="H90" i="25"/>
  <c r="H86" i="25"/>
  <c r="H78" i="25"/>
  <c r="H62" i="25"/>
  <c r="H64" i="25"/>
  <c r="H65" i="25"/>
  <c r="H63" i="25"/>
  <c r="H89" i="25"/>
  <c r="H87" i="25"/>
  <c r="H84" i="25"/>
  <c r="H88" i="25"/>
  <c r="H85" i="25"/>
  <c r="H83" i="25"/>
  <c r="G64" i="29"/>
  <c r="E73" i="29"/>
  <c r="J51" i="3"/>
  <c r="I53" i="3"/>
  <c r="I54" i="3"/>
  <c r="I55" i="3"/>
  <c r="I52" i="3"/>
  <c r="J54" i="1"/>
  <c r="J52" i="1"/>
  <c r="J55" i="1"/>
  <c r="J53" i="1"/>
  <c r="K51" i="1"/>
  <c r="R51" i="36" s="1"/>
  <c r="E91" i="37" l="1"/>
  <c r="D75" i="38"/>
  <c r="F75" i="38" s="1"/>
  <c r="E75" i="38"/>
  <c r="G75" i="38" s="1"/>
  <c r="J53" i="38"/>
  <c r="L53" i="38" s="1"/>
  <c r="K53" i="38"/>
  <c r="M53" i="38" s="1"/>
  <c r="J51" i="38"/>
  <c r="L51" i="38" s="1"/>
  <c r="K51" i="38"/>
  <c r="M51" i="38" s="1"/>
  <c r="J50" i="38"/>
  <c r="L50" i="38" s="1"/>
  <c r="K50" i="38"/>
  <c r="M50" i="38" s="1"/>
  <c r="D76" i="38"/>
  <c r="F76" i="38" s="1"/>
  <c r="E76" i="38"/>
  <c r="G76" i="38" s="1"/>
  <c r="J52" i="38"/>
  <c r="L52" i="38" s="1"/>
  <c r="K52" i="38"/>
  <c r="M52" i="38" s="1"/>
  <c r="D64" i="38"/>
  <c r="F64" i="38" s="1"/>
  <c r="E64" i="38"/>
  <c r="G64" i="38" s="1"/>
  <c r="D74" i="38"/>
  <c r="F74" i="38" s="1"/>
  <c r="E74" i="38"/>
  <c r="G74" i="38" s="1"/>
  <c r="H110" i="35"/>
  <c r="H89" i="37" s="1"/>
  <c r="Q89" i="37" s="1"/>
  <c r="F112" i="35"/>
  <c r="F113" i="35" s="1"/>
  <c r="F92" i="37" s="1"/>
  <c r="F104" i="35"/>
  <c r="F83" i="37" s="1"/>
  <c r="H73" i="35"/>
  <c r="H66" i="37"/>
  <c r="Q66" i="37" s="1"/>
  <c r="G103" i="35"/>
  <c r="G82" i="37" s="1"/>
  <c r="G80" i="37"/>
  <c r="P91" i="37"/>
  <c r="P92" i="37" s="1"/>
  <c r="P83" i="37"/>
  <c r="G73" i="37"/>
  <c r="G74" i="35"/>
  <c r="G74" i="37" s="1"/>
  <c r="R54" i="36"/>
  <c r="I98" i="35"/>
  <c r="I77" i="37" s="1"/>
  <c r="J86" i="35"/>
  <c r="J89" i="35"/>
  <c r="J77" i="35"/>
  <c r="J84" i="35"/>
  <c r="J87" i="35"/>
  <c r="J91" i="35"/>
  <c r="J79" i="35"/>
  <c r="J85" i="35"/>
  <c r="J83" i="35"/>
  <c r="J80" i="35"/>
  <c r="J62" i="35"/>
  <c r="J62" i="37" s="1"/>
  <c r="J65" i="35"/>
  <c r="J65" i="37" s="1"/>
  <c r="J78" i="35"/>
  <c r="J90" i="35"/>
  <c r="J63" i="35"/>
  <c r="J63" i="37" s="1"/>
  <c r="J64" i="35"/>
  <c r="J64" i="37" s="1"/>
  <c r="J88" i="35"/>
  <c r="K55" i="35"/>
  <c r="K55" i="37" s="1"/>
  <c r="R55" i="37" s="1"/>
  <c r="K53" i="35"/>
  <c r="K53" i="37" s="1"/>
  <c r="R53" i="37" s="1"/>
  <c r="K59" i="35"/>
  <c r="K59" i="37" s="1"/>
  <c r="R59" i="37" s="1"/>
  <c r="K54" i="35"/>
  <c r="K54" i="37" s="1"/>
  <c r="R54" i="37" s="1"/>
  <c r="K52" i="35"/>
  <c r="K52" i="37" s="1"/>
  <c r="R52" i="37" s="1"/>
  <c r="L51" i="35"/>
  <c r="L51" i="37" s="1"/>
  <c r="G109" i="35"/>
  <c r="G88" i="37" s="1"/>
  <c r="G107" i="35"/>
  <c r="G86" i="37" s="1"/>
  <c r="G106" i="35"/>
  <c r="G85" i="37" s="1"/>
  <c r="G108" i="35"/>
  <c r="G87" i="37" s="1"/>
  <c r="I66" i="35"/>
  <c r="H109" i="35"/>
  <c r="H88" i="37" s="1"/>
  <c r="H108" i="35"/>
  <c r="H87" i="37" s="1"/>
  <c r="H106" i="35"/>
  <c r="H85" i="37" s="1"/>
  <c r="H107" i="35"/>
  <c r="H86" i="37" s="1"/>
  <c r="I92" i="35"/>
  <c r="I100" i="35"/>
  <c r="I79" i="37" s="1"/>
  <c r="H101" i="35"/>
  <c r="I99" i="35"/>
  <c r="I78" i="37" s="1"/>
  <c r="I81" i="35"/>
  <c r="G110" i="25"/>
  <c r="G109" i="25" s="1"/>
  <c r="G101" i="25"/>
  <c r="G80" i="29" s="1"/>
  <c r="F89" i="29"/>
  <c r="C86" i="38" s="1"/>
  <c r="E85" i="29"/>
  <c r="P85" i="29" s="1"/>
  <c r="E87" i="29"/>
  <c r="P87" i="29" s="1"/>
  <c r="F80" i="29"/>
  <c r="C77" i="38" s="1"/>
  <c r="D83" i="29"/>
  <c r="G78" i="29"/>
  <c r="D91" i="29"/>
  <c r="E82" i="29"/>
  <c r="G77" i="29"/>
  <c r="E86" i="29"/>
  <c r="P86" i="29" s="1"/>
  <c r="E88" i="29"/>
  <c r="P88" i="29" s="1"/>
  <c r="H99" i="25"/>
  <c r="H98" i="25"/>
  <c r="H100" i="25"/>
  <c r="G106" i="25"/>
  <c r="F108" i="25"/>
  <c r="F106" i="25"/>
  <c r="F109" i="25"/>
  <c r="F107" i="25"/>
  <c r="F103" i="25"/>
  <c r="H65" i="29"/>
  <c r="H92" i="25"/>
  <c r="H64" i="29"/>
  <c r="I85" i="25"/>
  <c r="I79" i="25"/>
  <c r="I65" i="25"/>
  <c r="I90" i="25"/>
  <c r="I88" i="25"/>
  <c r="I84" i="25"/>
  <c r="I83" i="25"/>
  <c r="I62" i="25"/>
  <c r="I91" i="25"/>
  <c r="I89" i="25"/>
  <c r="I64" i="25"/>
  <c r="I63" i="25"/>
  <c r="I86" i="25"/>
  <c r="I87" i="25"/>
  <c r="I59" i="29"/>
  <c r="I77" i="25"/>
  <c r="I80" i="25"/>
  <c r="I78" i="25"/>
  <c r="I55" i="29"/>
  <c r="H81" i="25"/>
  <c r="H66" i="25"/>
  <c r="H62" i="29"/>
  <c r="I52" i="29"/>
  <c r="I54" i="29"/>
  <c r="H63" i="29"/>
  <c r="F74" i="25"/>
  <c r="F94" i="25"/>
  <c r="F73" i="29"/>
  <c r="C71" i="38" s="1"/>
  <c r="G66" i="29"/>
  <c r="G73" i="25"/>
  <c r="I53" i="29"/>
  <c r="J53" i="25"/>
  <c r="J52" i="25"/>
  <c r="K51" i="25"/>
  <c r="J51" i="29"/>
  <c r="J54" i="25"/>
  <c r="J55" i="25"/>
  <c r="J59" i="25"/>
  <c r="E74" i="29"/>
  <c r="J52" i="3"/>
  <c r="K51" i="3"/>
  <c r="R51" i="3" s="1"/>
  <c r="J53" i="3"/>
  <c r="J54" i="3"/>
  <c r="J55" i="3"/>
  <c r="K54" i="1"/>
  <c r="K52" i="1"/>
  <c r="R52" i="36" s="1"/>
  <c r="K55" i="1"/>
  <c r="R55" i="36" s="1"/>
  <c r="K53" i="1"/>
  <c r="R53" i="36" s="1"/>
  <c r="L51" i="1"/>
  <c r="D77" i="38" l="1"/>
  <c r="F77" i="38" s="1"/>
  <c r="E77" i="38"/>
  <c r="G77" i="38" s="1"/>
  <c r="D86" i="38"/>
  <c r="F86" i="38" s="1"/>
  <c r="E86" i="38"/>
  <c r="G86" i="38" s="1"/>
  <c r="E71" i="38"/>
  <c r="D71" i="38"/>
  <c r="F91" i="37"/>
  <c r="I110" i="35"/>
  <c r="I89" i="37" s="1"/>
  <c r="Q86" i="37"/>
  <c r="Q88" i="37"/>
  <c r="Q85" i="37"/>
  <c r="G104" i="35"/>
  <c r="G83" i="37" s="1"/>
  <c r="G112" i="35"/>
  <c r="G91" i="37" s="1"/>
  <c r="Q73" i="37"/>
  <c r="I73" i="35"/>
  <c r="I73" i="37" s="1"/>
  <c r="I66" i="37"/>
  <c r="H74" i="35"/>
  <c r="H74" i="37" s="1"/>
  <c r="H73" i="37"/>
  <c r="H103" i="35"/>
  <c r="H82" i="37" s="1"/>
  <c r="H80" i="37"/>
  <c r="Q80" i="37" s="1"/>
  <c r="Q87" i="37"/>
  <c r="H94" i="35"/>
  <c r="H95" i="35" s="1"/>
  <c r="J98" i="35"/>
  <c r="J77" i="37" s="1"/>
  <c r="G103" i="25"/>
  <c r="G112" i="25" s="1"/>
  <c r="M51" i="35"/>
  <c r="M51" i="37" s="1"/>
  <c r="L52" i="35"/>
  <c r="L52" i="37" s="1"/>
  <c r="L54" i="35"/>
  <c r="L54" i="37" s="1"/>
  <c r="L55" i="35"/>
  <c r="L55" i="37" s="1"/>
  <c r="L53" i="35"/>
  <c r="L53" i="37" s="1"/>
  <c r="L59" i="35"/>
  <c r="L59" i="37" s="1"/>
  <c r="K78" i="35"/>
  <c r="K86" i="35"/>
  <c r="K64" i="35"/>
  <c r="K64" i="37" s="1"/>
  <c r="R64" i="37" s="1"/>
  <c r="K77" i="35"/>
  <c r="K91" i="35"/>
  <c r="K65" i="35"/>
  <c r="K65" i="37" s="1"/>
  <c r="R65" i="37" s="1"/>
  <c r="K89" i="35"/>
  <c r="K88" i="35"/>
  <c r="K84" i="35"/>
  <c r="K87" i="35"/>
  <c r="K79" i="35"/>
  <c r="K85" i="35"/>
  <c r="K90" i="35"/>
  <c r="K83" i="35"/>
  <c r="K80" i="35"/>
  <c r="K63" i="35"/>
  <c r="K63" i="37" s="1"/>
  <c r="R63" i="37" s="1"/>
  <c r="K62" i="35"/>
  <c r="K62" i="37" s="1"/>
  <c r="R62" i="37" s="1"/>
  <c r="H104" i="35"/>
  <c r="H83" i="37" s="1"/>
  <c r="J66" i="35"/>
  <c r="I101" i="35"/>
  <c r="J99" i="35"/>
  <c r="J78" i="37" s="1"/>
  <c r="J81" i="35"/>
  <c r="J92" i="35"/>
  <c r="J100" i="35"/>
  <c r="J79" i="37" s="1"/>
  <c r="G89" i="29"/>
  <c r="G108" i="25"/>
  <c r="G87" i="29" s="1"/>
  <c r="G107" i="25"/>
  <c r="G86" i="29" s="1"/>
  <c r="H101" i="25"/>
  <c r="H80" i="29" s="1"/>
  <c r="Q80" i="29" s="1"/>
  <c r="I77" i="38" s="1"/>
  <c r="E91" i="29"/>
  <c r="E83" i="29"/>
  <c r="G88" i="29"/>
  <c r="F86" i="29"/>
  <c r="C83" i="38" s="1"/>
  <c r="F88" i="29"/>
  <c r="C85" i="38" s="1"/>
  <c r="F85" i="29"/>
  <c r="C82" i="38" s="1"/>
  <c r="H79" i="29"/>
  <c r="Q79" i="29" s="1"/>
  <c r="I76" i="38" s="1"/>
  <c r="F87" i="29"/>
  <c r="C84" i="38" s="1"/>
  <c r="H77" i="29"/>
  <c r="Q77" i="29" s="1"/>
  <c r="I74" i="38" s="1"/>
  <c r="D92" i="29"/>
  <c r="H78" i="29"/>
  <c r="Q78" i="29" s="1"/>
  <c r="I75" i="38" s="1"/>
  <c r="F82" i="29"/>
  <c r="C79" i="38" s="1"/>
  <c r="G85" i="29"/>
  <c r="I98" i="25"/>
  <c r="H110" i="25"/>
  <c r="I99" i="25"/>
  <c r="F104" i="25"/>
  <c r="F112" i="25"/>
  <c r="I100" i="25"/>
  <c r="F74" i="29"/>
  <c r="C72" i="38" s="1"/>
  <c r="I65" i="29"/>
  <c r="H66" i="29"/>
  <c r="H73" i="25"/>
  <c r="I81" i="25"/>
  <c r="I62" i="29"/>
  <c r="I66" i="25"/>
  <c r="F95" i="25"/>
  <c r="J52" i="29"/>
  <c r="I92" i="25"/>
  <c r="I64" i="29"/>
  <c r="K53" i="25"/>
  <c r="L51" i="25"/>
  <c r="K54" i="25"/>
  <c r="K51" i="29"/>
  <c r="R51" i="29" s="1"/>
  <c r="K52" i="25"/>
  <c r="K55" i="25"/>
  <c r="K59" i="25"/>
  <c r="J53" i="29"/>
  <c r="J55" i="29"/>
  <c r="J78" i="25"/>
  <c r="J77" i="25"/>
  <c r="J62" i="25"/>
  <c r="J86" i="25"/>
  <c r="J59" i="29"/>
  <c r="J64" i="25"/>
  <c r="J65" i="25"/>
  <c r="J85" i="25"/>
  <c r="J91" i="25"/>
  <c r="J63" i="25"/>
  <c r="J88" i="25"/>
  <c r="J80" i="25"/>
  <c r="J89" i="25"/>
  <c r="J90" i="25"/>
  <c r="J87" i="25"/>
  <c r="J83" i="25"/>
  <c r="J84" i="25"/>
  <c r="J79" i="25"/>
  <c r="G73" i="29"/>
  <c r="G94" i="25"/>
  <c r="G74" i="25"/>
  <c r="J54" i="29"/>
  <c r="I63" i="29"/>
  <c r="K55" i="3"/>
  <c r="R55" i="3" s="1"/>
  <c r="K52" i="3"/>
  <c r="R52" i="3" s="1"/>
  <c r="K53" i="3"/>
  <c r="R53" i="3" s="1"/>
  <c r="K54" i="3"/>
  <c r="R54" i="3" s="1"/>
  <c r="L51" i="3"/>
  <c r="M51" i="1"/>
  <c r="L54" i="1"/>
  <c r="L53" i="1"/>
  <c r="L52" i="1"/>
  <c r="L55" i="1"/>
  <c r="I107" i="35" l="1"/>
  <c r="I86" i="37" s="1"/>
  <c r="K77" i="38"/>
  <c r="M77" i="38" s="1"/>
  <c r="J77" i="38"/>
  <c r="L77" i="38" s="1"/>
  <c r="J74" i="38"/>
  <c r="L74" i="38" s="1"/>
  <c r="K74" i="38"/>
  <c r="M74" i="38" s="1"/>
  <c r="K76" i="38"/>
  <c r="M76" i="38" s="1"/>
  <c r="J76" i="38"/>
  <c r="L76" i="38" s="1"/>
  <c r="I109" i="35"/>
  <c r="I88" i="37" s="1"/>
  <c r="E82" i="38"/>
  <c r="G82" i="38" s="1"/>
  <c r="D82" i="38"/>
  <c r="F82" i="38" s="1"/>
  <c r="E85" i="38"/>
  <c r="G85" i="38" s="1"/>
  <c r="D85" i="38"/>
  <c r="F85" i="38" s="1"/>
  <c r="E84" i="38"/>
  <c r="G84" i="38" s="1"/>
  <c r="D84" i="38"/>
  <c r="F84" i="38" s="1"/>
  <c r="E79" i="38"/>
  <c r="D79" i="38"/>
  <c r="E83" i="38"/>
  <c r="G83" i="38" s="1"/>
  <c r="D83" i="38"/>
  <c r="F83" i="38" s="1"/>
  <c r="I108" i="35"/>
  <c r="I87" i="37" s="1"/>
  <c r="K75" i="38"/>
  <c r="M75" i="38" s="1"/>
  <c r="J75" i="38"/>
  <c r="L75" i="38" s="1"/>
  <c r="I106" i="35"/>
  <c r="I85" i="37" s="1"/>
  <c r="E72" i="38"/>
  <c r="D72" i="38"/>
  <c r="G113" i="35"/>
  <c r="G92" i="37" s="1"/>
  <c r="H112" i="35"/>
  <c r="I74" i="35"/>
  <c r="I74" i="37" s="1"/>
  <c r="I94" i="35"/>
  <c r="I95" i="35" s="1"/>
  <c r="G104" i="25"/>
  <c r="G83" i="29" s="1"/>
  <c r="I103" i="35"/>
  <c r="I82" i="37" s="1"/>
  <c r="I80" i="37"/>
  <c r="J73" i="35"/>
  <c r="J73" i="37" s="1"/>
  <c r="J66" i="37"/>
  <c r="Q74" i="37"/>
  <c r="Q82" i="37"/>
  <c r="H113" i="35"/>
  <c r="H92" i="37" s="1"/>
  <c r="H91" i="37"/>
  <c r="G82" i="29"/>
  <c r="J101" i="35"/>
  <c r="J80" i="37" s="1"/>
  <c r="K66" i="35"/>
  <c r="L89" i="35"/>
  <c r="L90" i="35"/>
  <c r="L86" i="35"/>
  <c r="L84" i="35"/>
  <c r="L80" i="35"/>
  <c r="L87" i="35"/>
  <c r="L88" i="35"/>
  <c r="L85" i="35"/>
  <c r="L83" i="35"/>
  <c r="L79" i="35"/>
  <c r="L63" i="35"/>
  <c r="L63" i="37" s="1"/>
  <c r="L78" i="35"/>
  <c r="L77" i="35"/>
  <c r="L64" i="35"/>
  <c r="L64" i="37" s="1"/>
  <c r="L65" i="35"/>
  <c r="L65" i="37" s="1"/>
  <c r="L91" i="35"/>
  <c r="L62" i="35"/>
  <c r="L62" i="37" s="1"/>
  <c r="J110" i="35"/>
  <c r="J89" i="37" s="1"/>
  <c r="K100" i="35"/>
  <c r="K79" i="37" s="1"/>
  <c r="R79" i="37" s="1"/>
  <c r="K92" i="35"/>
  <c r="K99" i="35"/>
  <c r="K78" i="37" s="1"/>
  <c r="R78" i="37" s="1"/>
  <c r="K81" i="35"/>
  <c r="K98" i="35"/>
  <c r="K77" i="37" s="1"/>
  <c r="R77" i="37" s="1"/>
  <c r="M53" i="35"/>
  <c r="M53" i="37" s="1"/>
  <c r="M55" i="35"/>
  <c r="M55" i="37" s="1"/>
  <c r="N51" i="35"/>
  <c r="N51" i="37" s="1"/>
  <c r="S51" i="37" s="1"/>
  <c r="U51" i="37" s="1"/>
  <c r="M54" i="35"/>
  <c r="M54" i="37" s="1"/>
  <c r="M52" i="35"/>
  <c r="M52" i="37" s="1"/>
  <c r="M59" i="35"/>
  <c r="M59" i="37" s="1"/>
  <c r="H103" i="25"/>
  <c r="H82" i="29" s="1"/>
  <c r="I110" i="25"/>
  <c r="I109" i="25" s="1"/>
  <c r="I79" i="29"/>
  <c r="F91" i="29"/>
  <c r="C88" i="38" s="1"/>
  <c r="F83" i="29"/>
  <c r="C80" i="38" s="1"/>
  <c r="I78" i="29"/>
  <c r="H89" i="29"/>
  <c r="Q89" i="29" s="1"/>
  <c r="I86" i="38" s="1"/>
  <c r="E92" i="29"/>
  <c r="I77" i="29"/>
  <c r="G91" i="29"/>
  <c r="J98" i="25"/>
  <c r="I101" i="25"/>
  <c r="J99" i="25"/>
  <c r="H109" i="25"/>
  <c r="H107" i="25"/>
  <c r="H106" i="25"/>
  <c r="H108" i="25"/>
  <c r="J100" i="25"/>
  <c r="F113" i="25"/>
  <c r="G113" i="25"/>
  <c r="K52" i="29"/>
  <c r="R52" i="29" s="1"/>
  <c r="K54" i="29"/>
  <c r="R54" i="29" s="1"/>
  <c r="J64" i="29"/>
  <c r="J63" i="29"/>
  <c r="J62" i="29"/>
  <c r="J66" i="25"/>
  <c r="G95" i="25"/>
  <c r="L51" i="29"/>
  <c r="L52" i="25"/>
  <c r="L53" i="25"/>
  <c r="M51" i="25"/>
  <c r="L55" i="25"/>
  <c r="L54" i="25"/>
  <c r="L59" i="25"/>
  <c r="J81" i="25"/>
  <c r="G74" i="29"/>
  <c r="K53" i="29"/>
  <c r="R53" i="29" s="1"/>
  <c r="J92" i="25"/>
  <c r="K86" i="25"/>
  <c r="K87" i="25"/>
  <c r="K85" i="25"/>
  <c r="K84" i="25"/>
  <c r="K79" i="25"/>
  <c r="K83" i="25"/>
  <c r="K77" i="25"/>
  <c r="K80" i="25"/>
  <c r="K64" i="25"/>
  <c r="K65" i="25"/>
  <c r="K78" i="25"/>
  <c r="K90" i="25"/>
  <c r="K62" i="25"/>
  <c r="K63" i="25"/>
  <c r="K91" i="25"/>
  <c r="K59" i="29"/>
  <c r="K88" i="25"/>
  <c r="K89" i="25"/>
  <c r="J65" i="29"/>
  <c r="K55" i="29"/>
  <c r="R55" i="29" s="1"/>
  <c r="I66" i="29"/>
  <c r="I73" i="25"/>
  <c r="H74" i="25"/>
  <c r="H73" i="29"/>
  <c r="H94" i="25"/>
  <c r="L53" i="3"/>
  <c r="L55" i="3"/>
  <c r="L54" i="3"/>
  <c r="M51" i="3"/>
  <c r="L52" i="3"/>
  <c r="N51" i="1"/>
  <c r="S51" i="36" s="1"/>
  <c r="U51" i="36" s="1"/>
  <c r="M53" i="1"/>
  <c r="M54" i="1"/>
  <c r="M52" i="1"/>
  <c r="M55" i="1"/>
  <c r="E88" i="38" l="1"/>
  <c r="D88" i="38"/>
  <c r="K86" i="38"/>
  <c r="M86" i="38" s="1"/>
  <c r="J86" i="38"/>
  <c r="L86" i="38" s="1"/>
  <c r="D80" i="38"/>
  <c r="E80" i="38"/>
  <c r="I112" i="35"/>
  <c r="I113" i="35" s="1"/>
  <c r="I92" i="37" s="1"/>
  <c r="I104" i="35"/>
  <c r="I83" i="37" s="1"/>
  <c r="J74" i="35"/>
  <c r="J74" i="37" s="1"/>
  <c r="K73" i="35"/>
  <c r="K94" i="35" s="1"/>
  <c r="K95" i="35" s="1"/>
  <c r="K66" i="37"/>
  <c r="R66" i="37" s="1"/>
  <c r="J94" i="35"/>
  <c r="J95" i="35" s="1"/>
  <c r="J103" i="35"/>
  <c r="J112" i="35" s="1"/>
  <c r="Q83" i="37"/>
  <c r="Q91" i="37"/>
  <c r="Q92" i="37" s="1"/>
  <c r="S52" i="36"/>
  <c r="U52" i="36" s="1"/>
  <c r="K101" i="35"/>
  <c r="K110" i="35"/>
  <c r="L98" i="35"/>
  <c r="L77" i="37" s="1"/>
  <c r="I107" i="25"/>
  <c r="I86" i="29" s="1"/>
  <c r="J109" i="35"/>
  <c r="J88" i="37" s="1"/>
  <c r="J107" i="35"/>
  <c r="J86" i="37" s="1"/>
  <c r="J108" i="35"/>
  <c r="J87" i="37" s="1"/>
  <c r="J106" i="35"/>
  <c r="J85" i="37" s="1"/>
  <c r="M64" i="35"/>
  <c r="M64" i="37" s="1"/>
  <c r="M77" i="35"/>
  <c r="M62" i="35"/>
  <c r="M62" i="37" s="1"/>
  <c r="M65" i="35"/>
  <c r="M65" i="37" s="1"/>
  <c r="M91" i="35"/>
  <c r="M89" i="35"/>
  <c r="M88" i="35"/>
  <c r="M87" i="35"/>
  <c r="M79" i="35"/>
  <c r="M83" i="35"/>
  <c r="M63" i="35"/>
  <c r="M63" i="37" s="1"/>
  <c r="M85" i="35"/>
  <c r="M90" i="35"/>
  <c r="M84" i="35"/>
  <c r="M80" i="35"/>
  <c r="M78" i="35"/>
  <c r="M86" i="35"/>
  <c r="L66" i="35"/>
  <c r="L100" i="35"/>
  <c r="L79" i="37" s="1"/>
  <c r="L92" i="35"/>
  <c r="H112" i="25"/>
  <c r="H91" i="29" s="1"/>
  <c r="H104" i="25"/>
  <c r="H83" i="29" s="1"/>
  <c r="N59" i="35"/>
  <c r="N59" i="37" s="1"/>
  <c r="S59" i="37" s="1"/>
  <c r="N52" i="35"/>
  <c r="N52" i="37" s="1"/>
  <c r="S52" i="37" s="1"/>
  <c r="U52" i="37" s="1"/>
  <c r="N55" i="35"/>
  <c r="N55" i="37" s="1"/>
  <c r="S55" i="37" s="1"/>
  <c r="U55" i="37" s="1"/>
  <c r="N54" i="35"/>
  <c r="N54" i="37" s="1"/>
  <c r="S54" i="37" s="1"/>
  <c r="U54" i="37" s="1"/>
  <c r="N53" i="35"/>
  <c r="N53" i="37" s="1"/>
  <c r="S53" i="37" s="1"/>
  <c r="U53" i="37" s="1"/>
  <c r="L81" i="35"/>
  <c r="L110" i="35" s="1"/>
  <c r="L89" i="37" s="1"/>
  <c r="L99" i="35"/>
  <c r="L78" i="37" s="1"/>
  <c r="I106" i="25"/>
  <c r="I85" i="29" s="1"/>
  <c r="I108" i="25"/>
  <c r="I87" i="29" s="1"/>
  <c r="H88" i="29"/>
  <c r="Q88" i="29" s="1"/>
  <c r="I85" i="38" s="1"/>
  <c r="I88" i="29"/>
  <c r="J78" i="29"/>
  <c r="F92" i="29"/>
  <c r="C89" i="38" s="1"/>
  <c r="J79" i="29"/>
  <c r="I89" i="29"/>
  <c r="I80" i="29"/>
  <c r="H87" i="29"/>
  <c r="Q87" i="29" s="1"/>
  <c r="I84" i="38" s="1"/>
  <c r="J77" i="29"/>
  <c r="G92" i="29"/>
  <c r="H85" i="29"/>
  <c r="Q85" i="29" s="1"/>
  <c r="I82" i="38" s="1"/>
  <c r="H86" i="29"/>
  <c r="Q86" i="29" s="1"/>
  <c r="I83" i="38" s="1"/>
  <c r="J110" i="25"/>
  <c r="J109" i="25" s="1"/>
  <c r="I103" i="25"/>
  <c r="J101" i="25"/>
  <c r="K99" i="25"/>
  <c r="K100" i="25"/>
  <c r="K98" i="25"/>
  <c r="I94" i="25"/>
  <c r="I73" i="29"/>
  <c r="I74" i="25"/>
  <c r="L53" i="29"/>
  <c r="K63" i="29"/>
  <c r="K81" i="25"/>
  <c r="L52" i="29"/>
  <c r="K92" i="25"/>
  <c r="L90" i="25"/>
  <c r="L91" i="25"/>
  <c r="L62" i="25"/>
  <c r="L88" i="25"/>
  <c r="L89" i="25"/>
  <c r="L86" i="25"/>
  <c r="L87" i="25"/>
  <c r="L59" i="29"/>
  <c r="L84" i="25"/>
  <c r="L85" i="25"/>
  <c r="L78" i="25"/>
  <c r="L79" i="25"/>
  <c r="L83" i="25"/>
  <c r="L80" i="25"/>
  <c r="L77" i="25"/>
  <c r="L65" i="25"/>
  <c r="L63" i="25"/>
  <c r="L64" i="25"/>
  <c r="J66" i="29"/>
  <c r="J73" i="25"/>
  <c r="K65" i="29"/>
  <c r="L55" i="29"/>
  <c r="H95" i="25"/>
  <c r="K62" i="29"/>
  <c r="K66" i="25"/>
  <c r="H74" i="29"/>
  <c r="L54" i="29"/>
  <c r="K64" i="29"/>
  <c r="N51" i="25"/>
  <c r="M55" i="25"/>
  <c r="M52" i="25"/>
  <c r="M53" i="25"/>
  <c r="M54" i="25"/>
  <c r="M51" i="29"/>
  <c r="M59" i="25"/>
  <c r="M53" i="3"/>
  <c r="N51" i="3"/>
  <c r="S51" i="3" s="1"/>
  <c r="U51" i="3" s="1"/>
  <c r="O49" i="13" s="1"/>
  <c r="M55" i="3"/>
  <c r="M52" i="3"/>
  <c r="M54" i="3"/>
  <c r="N53" i="1"/>
  <c r="S53" i="36" s="1"/>
  <c r="U53" i="36" s="1"/>
  <c r="N54" i="1"/>
  <c r="S54" i="36" s="1"/>
  <c r="U54" i="36" s="1"/>
  <c r="N52" i="1"/>
  <c r="N55" i="1"/>
  <c r="S55" i="36" s="1"/>
  <c r="U55" i="36" s="1"/>
  <c r="K83" i="38" l="1"/>
  <c r="M83" i="38" s="1"/>
  <c r="J83" i="38"/>
  <c r="L83" i="38" s="1"/>
  <c r="E89" i="38"/>
  <c r="D89" i="38"/>
  <c r="K85" i="38"/>
  <c r="M85" i="38" s="1"/>
  <c r="J85" i="38"/>
  <c r="L85" i="38" s="1"/>
  <c r="P49" i="13"/>
  <c r="R49" i="13" s="1"/>
  <c r="Q49" i="13"/>
  <c r="S49" i="13" s="1"/>
  <c r="K82" i="38"/>
  <c r="M82" i="38" s="1"/>
  <c r="J82" i="38"/>
  <c r="L82" i="38" s="1"/>
  <c r="J84" i="38"/>
  <c r="L84" i="38" s="1"/>
  <c r="K84" i="38"/>
  <c r="M84" i="38" s="1"/>
  <c r="I91" i="37"/>
  <c r="U59" i="37"/>
  <c r="K109" i="35"/>
  <c r="K88" i="37" s="1"/>
  <c r="R88" i="37" s="1"/>
  <c r="K89" i="37"/>
  <c r="R89" i="37" s="1"/>
  <c r="K74" i="35"/>
  <c r="K74" i="37" s="1"/>
  <c r="K73" i="37"/>
  <c r="J113" i="35"/>
  <c r="J92" i="37" s="1"/>
  <c r="J91" i="37"/>
  <c r="R73" i="37"/>
  <c r="K106" i="35"/>
  <c r="K85" i="37" s="1"/>
  <c r="R85" i="37" s="1"/>
  <c r="K108" i="35"/>
  <c r="K87" i="37" s="1"/>
  <c r="R87" i="37" s="1"/>
  <c r="K103" i="35"/>
  <c r="K104" i="35" s="1"/>
  <c r="K83" i="37" s="1"/>
  <c r="K80" i="37"/>
  <c r="R80" i="37" s="1"/>
  <c r="L73" i="35"/>
  <c r="L73" i="37" s="1"/>
  <c r="L66" i="37"/>
  <c r="J104" i="35"/>
  <c r="J83" i="37" s="1"/>
  <c r="J82" i="37"/>
  <c r="K107" i="35"/>
  <c r="K86" i="37" s="1"/>
  <c r="R86" i="37" s="1"/>
  <c r="L101" i="35"/>
  <c r="J108" i="25"/>
  <c r="L109" i="35"/>
  <c r="L88" i="37" s="1"/>
  <c r="L107" i="35"/>
  <c r="L86" i="37" s="1"/>
  <c r="L108" i="35"/>
  <c r="L87" i="37" s="1"/>
  <c r="L106" i="35"/>
  <c r="L85" i="37" s="1"/>
  <c r="M66" i="35"/>
  <c r="M100" i="35"/>
  <c r="M79" i="37" s="1"/>
  <c r="M92" i="35"/>
  <c r="M99" i="35"/>
  <c r="M78" i="37" s="1"/>
  <c r="M81" i="35"/>
  <c r="M98" i="35"/>
  <c r="M77" i="37" s="1"/>
  <c r="H113" i="25"/>
  <c r="H92" i="29" s="1"/>
  <c r="N64" i="35"/>
  <c r="N64" i="37" s="1"/>
  <c r="S64" i="37" s="1"/>
  <c r="U64" i="37" s="1"/>
  <c r="N65" i="35"/>
  <c r="N65" i="37" s="1"/>
  <c r="S65" i="37" s="1"/>
  <c r="U65" i="37" s="1"/>
  <c r="N79" i="35"/>
  <c r="N91" i="35"/>
  <c r="N62" i="35"/>
  <c r="N62" i="37" s="1"/>
  <c r="S62" i="37" s="1"/>
  <c r="U62" i="37" s="1"/>
  <c r="N63" i="35"/>
  <c r="N63" i="37" s="1"/>
  <c r="S63" i="37" s="1"/>
  <c r="U63" i="37" s="1"/>
  <c r="N90" i="35"/>
  <c r="N77" i="35"/>
  <c r="N89" i="35"/>
  <c r="N84" i="35"/>
  <c r="N87" i="35"/>
  <c r="N88" i="35"/>
  <c r="N85" i="35"/>
  <c r="N86" i="35"/>
  <c r="N83" i="35"/>
  <c r="N80" i="35"/>
  <c r="N78" i="35"/>
  <c r="J106" i="25"/>
  <c r="J85" i="29" s="1"/>
  <c r="J107" i="25"/>
  <c r="J86" i="29" s="1"/>
  <c r="J88" i="29"/>
  <c r="J87" i="29"/>
  <c r="K77" i="29"/>
  <c r="R77" i="29" s="1"/>
  <c r="K79" i="29"/>
  <c r="R79" i="29" s="1"/>
  <c r="I82" i="29"/>
  <c r="J89" i="29"/>
  <c r="K78" i="29"/>
  <c r="R78" i="29" s="1"/>
  <c r="J80" i="29"/>
  <c r="L100" i="25"/>
  <c r="J103" i="25"/>
  <c r="L98" i="25"/>
  <c r="K101" i="25"/>
  <c r="K110" i="25"/>
  <c r="I104" i="25"/>
  <c r="I112" i="25"/>
  <c r="L99" i="25"/>
  <c r="M54" i="29"/>
  <c r="N52" i="25"/>
  <c r="N54" i="25"/>
  <c r="N55" i="25"/>
  <c r="N51" i="29"/>
  <c r="S51" i="29" s="1"/>
  <c r="U51" i="29" s="1"/>
  <c r="O49" i="38" s="1"/>
  <c r="N53" i="25"/>
  <c r="N59" i="25"/>
  <c r="I95" i="25"/>
  <c r="L92" i="25"/>
  <c r="M53" i="29"/>
  <c r="L64" i="29"/>
  <c r="L63" i="29"/>
  <c r="L66" i="25"/>
  <c r="L62" i="29"/>
  <c r="M79" i="25"/>
  <c r="M83" i="25"/>
  <c r="M77" i="25"/>
  <c r="M80" i="25"/>
  <c r="M78" i="25"/>
  <c r="M65" i="25"/>
  <c r="M89" i="25"/>
  <c r="M87" i="25"/>
  <c r="M59" i="29"/>
  <c r="M63" i="25"/>
  <c r="M62" i="25"/>
  <c r="M85" i="25"/>
  <c r="M64" i="25"/>
  <c r="M90" i="25"/>
  <c r="M86" i="25"/>
  <c r="M84" i="25"/>
  <c r="M91" i="25"/>
  <c r="M88" i="25"/>
  <c r="I74" i="29"/>
  <c r="M52" i="29"/>
  <c r="L65" i="29"/>
  <c r="K66" i="29"/>
  <c r="K73" i="25"/>
  <c r="M55" i="29"/>
  <c r="J94" i="25"/>
  <c r="J73" i="29"/>
  <c r="J74" i="25"/>
  <c r="L81" i="25"/>
  <c r="N52" i="3"/>
  <c r="S52" i="3" s="1"/>
  <c r="U52" i="3" s="1"/>
  <c r="O50" i="13" s="1"/>
  <c r="N54" i="3"/>
  <c r="S54" i="3" s="1"/>
  <c r="U54" i="3" s="1"/>
  <c r="O52" i="13" s="1"/>
  <c r="N53" i="3"/>
  <c r="S53" i="3" s="1"/>
  <c r="U53" i="3" s="1"/>
  <c r="O51" i="13" s="1"/>
  <c r="N55" i="3"/>
  <c r="S55" i="3" s="1"/>
  <c r="U55" i="3" s="1"/>
  <c r="O53" i="13" s="1"/>
  <c r="Q53" i="13" l="1"/>
  <c r="S53" i="13" s="1"/>
  <c r="P53" i="13"/>
  <c r="R53" i="13" s="1"/>
  <c r="Q51" i="13"/>
  <c r="S51" i="13" s="1"/>
  <c r="P51" i="13"/>
  <c r="R51" i="13" s="1"/>
  <c r="Q49" i="38"/>
  <c r="S49" i="38" s="1"/>
  <c r="P49" i="38"/>
  <c r="R49" i="38" s="1"/>
  <c r="Q52" i="13"/>
  <c r="S52" i="13" s="1"/>
  <c r="P52" i="13"/>
  <c r="R52" i="13" s="1"/>
  <c r="Q50" i="13"/>
  <c r="S50" i="13" s="1"/>
  <c r="P50" i="13"/>
  <c r="R50" i="13" s="1"/>
  <c r="L74" i="35"/>
  <c r="L74" i="37" s="1"/>
  <c r="L103" i="35"/>
  <c r="L82" i="37" s="1"/>
  <c r="L80" i="37"/>
  <c r="K112" i="35"/>
  <c r="K82" i="37"/>
  <c r="L94" i="35"/>
  <c r="L95" i="35" s="1"/>
  <c r="M73" i="35"/>
  <c r="M73" i="37" s="1"/>
  <c r="M66" i="37"/>
  <c r="M110" i="35"/>
  <c r="M89" i="37" s="1"/>
  <c r="R74" i="37"/>
  <c r="R82" i="37"/>
  <c r="M101" i="35"/>
  <c r="M80" i="37" s="1"/>
  <c r="N81" i="35"/>
  <c r="N99" i="35"/>
  <c r="N78" i="37" s="1"/>
  <c r="S78" i="37" s="1"/>
  <c r="U78" i="37" s="1"/>
  <c r="N100" i="35"/>
  <c r="N79" i="37" s="1"/>
  <c r="S79" i="37" s="1"/>
  <c r="U79" i="37" s="1"/>
  <c r="N92" i="35"/>
  <c r="M106" i="35"/>
  <c r="M85" i="37" s="1"/>
  <c r="M108" i="35"/>
  <c r="M87" i="37" s="1"/>
  <c r="N66" i="35"/>
  <c r="N98" i="35"/>
  <c r="J82" i="29"/>
  <c r="K80" i="29"/>
  <c r="R80" i="29" s="1"/>
  <c r="L77" i="29"/>
  <c r="L79" i="29"/>
  <c r="K89" i="29"/>
  <c r="R89" i="29" s="1"/>
  <c r="L78" i="29"/>
  <c r="L110" i="25"/>
  <c r="L107" i="25" s="1"/>
  <c r="I91" i="29"/>
  <c r="I83" i="29"/>
  <c r="K103" i="25"/>
  <c r="M99" i="25"/>
  <c r="M100" i="25"/>
  <c r="I113" i="25"/>
  <c r="J104" i="25"/>
  <c r="J112" i="25"/>
  <c r="M98" i="25"/>
  <c r="L101" i="25"/>
  <c r="K109" i="25"/>
  <c r="K108" i="25"/>
  <c r="K107" i="25"/>
  <c r="K106" i="25"/>
  <c r="K94" i="25"/>
  <c r="K73" i="29"/>
  <c r="K74" i="25"/>
  <c r="M65" i="29"/>
  <c r="N54" i="29"/>
  <c r="S54" i="29" s="1"/>
  <c r="U54" i="29" s="1"/>
  <c r="O52" i="38" s="1"/>
  <c r="J74" i="29"/>
  <c r="M64" i="29"/>
  <c r="N52" i="29"/>
  <c r="S52" i="29" s="1"/>
  <c r="U52" i="29" s="1"/>
  <c r="O50" i="38" s="1"/>
  <c r="J95" i="25"/>
  <c r="M66" i="25"/>
  <c r="M62" i="29"/>
  <c r="L66" i="29"/>
  <c r="L73" i="25"/>
  <c r="N53" i="29"/>
  <c r="S53" i="29" s="1"/>
  <c r="U53" i="29" s="1"/>
  <c r="O51" i="38" s="1"/>
  <c r="M63" i="29"/>
  <c r="M81" i="25"/>
  <c r="N63" i="25"/>
  <c r="N64" i="25"/>
  <c r="N90" i="25"/>
  <c r="N91" i="25"/>
  <c r="N88" i="25"/>
  <c r="N85" i="25"/>
  <c r="N65" i="25"/>
  <c r="N62" i="25"/>
  <c r="N87" i="25"/>
  <c r="N79" i="25"/>
  <c r="N89" i="25"/>
  <c r="N84" i="25"/>
  <c r="N80" i="25"/>
  <c r="N86" i="25"/>
  <c r="N59" i="29"/>
  <c r="N83" i="25"/>
  <c r="N77" i="25"/>
  <c r="N78" i="25"/>
  <c r="M92" i="25"/>
  <c r="N55" i="29"/>
  <c r="S55" i="29" s="1"/>
  <c r="U55" i="29" s="1"/>
  <c r="O53" i="38" s="1"/>
  <c r="M107" i="35" l="1"/>
  <c r="M86" i="37" s="1"/>
  <c r="L104" i="35"/>
  <c r="L83" i="37" s="1"/>
  <c r="L112" i="35"/>
  <c r="L113" i="35" s="1"/>
  <c r="L92" i="37" s="1"/>
  <c r="P50" i="38"/>
  <c r="R50" i="38" s="1"/>
  <c r="Q50" i="38"/>
  <c r="S50" i="38" s="1"/>
  <c r="Q51" i="38"/>
  <c r="S51" i="38" s="1"/>
  <c r="P51" i="38"/>
  <c r="R51" i="38" s="1"/>
  <c r="Q52" i="38"/>
  <c r="S52" i="38" s="1"/>
  <c r="P52" i="38"/>
  <c r="R52" i="38" s="1"/>
  <c r="P53" i="38"/>
  <c r="R53" i="38" s="1"/>
  <c r="Q53" i="38"/>
  <c r="S53" i="38" s="1"/>
  <c r="M74" i="35"/>
  <c r="M74" i="37" s="1"/>
  <c r="M103" i="35"/>
  <c r="M82" i="37" s="1"/>
  <c r="M94" i="35"/>
  <c r="M95" i="35" s="1"/>
  <c r="K113" i="35"/>
  <c r="K92" i="37" s="1"/>
  <c r="K91" i="37"/>
  <c r="M109" i="35"/>
  <c r="M88" i="37" s="1"/>
  <c r="N101" i="35"/>
  <c r="N80" i="37" s="1"/>
  <c r="S80" i="37" s="1"/>
  <c r="U80" i="37" s="1"/>
  <c r="N77" i="37"/>
  <c r="S77" i="37" s="1"/>
  <c r="U77" i="37" s="1"/>
  <c r="R91" i="37"/>
  <c r="R92" i="37" s="1"/>
  <c r="R83" i="37"/>
  <c r="N73" i="35"/>
  <c r="N73" i="37" s="1"/>
  <c r="N66" i="37"/>
  <c r="S66" i="37" s="1"/>
  <c r="N110" i="35"/>
  <c r="N89" i="37" s="1"/>
  <c r="S89" i="37" s="1"/>
  <c r="U89" i="37" s="1"/>
  <c r="L109" i="25"/>
  <c r="L88" i="29" s="1"/>
  <c r="L86" i="29"/>
  <c r="K88" i="29"/>
  <c r="R88" i="29" s="1"/>
  <c r="I92" i="29"/>
  <c r="M79" i="29"/>
  <c r="J83" i="29"/>
  <c r="L80" i="29"/>
  <c r="M77" i="29"/>
  <c r="M78" i="29"/>
  <c r="L89" i="29"/>
  <c r="K85" i="29"/>
  <c r="R85" i="29" s="1"/>
  <c r="L108" i="25"/>
  <c r="K86" i="29"/>
  <c r="R86" i="29" s="1"/>
  <c r="L106" i="25"/>
  <c r="K82" i="29"/>
  <c r="K87" i="29"/>
  <c r="R87" i="29" s="1"/>
  <c r="J91" i="29"/>
  <c r="N100" i="25"/>
  <c r="N98" i="25"/>
  <c r="M110" i="25"/>
  <c r="M106" i="25" s="1"/>
  <c r="M101" i="25"/>
  <c r="L103" i="25"/>
  <c r="J113" i="25"/>
  <c r="K104" i="25"/>
  <c r="K112" i="25"/>
  <c r="N99" i="25"/>
  <c r="N81" i="25"/>
  <c r="M66" i="29"/>
  <c r="M73" i="25"/>
  <c r="N92" i="25"/>
  <c r="N64" i="29"/>
  <c r="L94" i="25"/>
  <c r="L74" i="25"/>
  <c r="L73" i="29"/>
  <c r="N63" i="29"/>
  <c r="N66" i="25"/>
  <c r="N62" i="29"/>
  <c r="K95" i="25"/>
  <c r="K74" i="29"/>
  <c r="N65" i="29"/>
  <c r="L91" i="37" l="1"/>
  <c r="M112" i="35"/>
  <c r="M113" i="35" s="1"/>
  <c r="M92" i="37" s="1"/>
  <c r="M104" i="35"/>
  <c r="M83" i="37" s="1"/>
  <c r="S73" i="37"/>
  <c r="U66" i="37"/>
  <c r="U73" i="37" s="1"/>
  <c r="N74" i="35"/>
  <c r="N74" i="37" s="1"/>
  <c r="N94" i="35"/>
  <c r="N95" i="35" s="1"/>
  <c r="N103" i="35"/>
  <c r="N82" i="37" s="1"/>
  <c r="N107" i="35"/>
  <c r="N86" i="37" s="1"/>
  <c r="S86" i="37" s="1"/>
  <c r="U86" i="37" s="1"/>
  <c r="N108" i="35"/>
  <c r="N87" i="37" s="1"/>
  <c r="S87" i="37" s="1"/>
  <c r="U87" i="37" s="1"/>
  <c r="N106" i="35"/>
  <c r="N85" i="37" s="1"/>
  <c r="S85" i="37" s="1"/>
  <c r="U85" i="37" s="1"/>
  <c r="N109" i="35"/>
  <c r="N88" i="37" s="1"/>
  <c r="S88" i="37" s="1"/>
  <c r="U88" i="37" s="1"/>
  <c r="M85" i="29"/>
  <c r="K91" i="29"/>
  <c r="M80" i="29"/>
  <c r="L87" i="29"/>
  <c r="N77" i="29"/>
  <c r="S77" i="29" s="1"/>
  <c r="U77" i="29" s="1"/>
  <c r="O74" i="38" s="1"/>
  <c r="K83" i="29"/>
  <c r="M109" i="25"/>
  <c r="N79" i="29"/>
  <c r="S79" i="29" s="1"/>
  <c r="U79" i="29" s="1"/>
  <c r="O76" i="38" s="1"/>
  <c r="L82" i="29"/>
  <c r="N78" i="29"/>
  <c r="S78" i="29" s="1"/>
  <c r="U78" i="29" s="1"/>
  <c r="O75" i="38" s="1"/>
  <c r="M89" i="29"/>
  <c r="M107" i="25"/>
  <c r="M108" i="25"/>
  <c r="L85" i="29"/>
  <c r="N110" i="25"/>
  <c r="N109" i="25" s="1"/>
  <c r="J92" i="29"/>
  <c r="L104" i="25"/>
  <c r="L112" i="25"/>
  <c r="M103" i="25"/>
  <c r="N101" i="25"/>
  <c r="K113" i="25"/>
  <c r="N66" i="29"/>
  <c r="N73" i="25"/>
  <c r="L74" i="29"/>
  <c r="L95" i="25"/>
  <c r="M94" i="25"/>
  <c r="M73" i="29"/>
  <c r="M74" i="25"/>
  <c r="M91" i="37" l="1"/>
  <c r="P75" i="38"/>
  <c r="R75" i="38" s="1"/>
  <c r="Q75" i="38"/>
  <c r="S75" i="38" s="1"/>
  <c r="Q76" i="38"/>
  <c r="S76" i="38" s="1"/>
  <c r="P76" i="38"/>
  <c r="R76" i="38" s="1"/>
  <c r="Q74" i="38"/>
  <c r="S74" i="38" s="1"/>
  <c r="P74" i="38"/>
  <c r="R74" i="38" s="1"/>
  <c r="N112" i="35"/>
  <c r="N113" i="35" s="1"/>
  <c r="N92" i="37" s="1"/>
  <c r="N104" i="35"/>
  <c r="N83" i="37" s="1"/>
  <c r="U82" i="37"/>
  <c r="U74" i="37"/>
  <c r="S82" i="37"/>
  <c r="S74" i="37"/>
  <c r="N106" i="25"/>
  <c r="N85" i="29" s="1"/>
  <c r="S85" i="29" s="1"/>
  <c r="U85" i="29" s="1"/>
  <c r="O82" i="38" s="1"/>
  <c r="N108" i="25"/>
  <c r="N87" i="29" s="1"/>
  <c r="N88" i="29"/>
  <c r="L91" i="29"/>
  <c r="K92" i="29"/>
  <c r="L83" i="29"/>
  <c r="M87" i="29"/>
  <c r="M88" i="29"/>
  <c r="M86" i="29"/>
  <c r="M82" i="29"/>
  <c r="N80" i="29"/>
  <c r="S80" i="29" s="1"/>
  <c r="N107" i="25"/>
  <c r="N89" i="29"/>
  <c r="S89" i="29" s="1"/>
  <c r="U89" i="29" s="1"/>
  <c r="O86" i="38" s="1"/>
  <c r="L113" i="25"/>
  <c r="N103" i="25"/>
  <c r="M104" i="25"/>
  <c r="M112" i="25"/>
  <c r="M74" i="29"/>
  <c r="N94" i="25"/>
  <c r="N73" i="29"/>
  <c r="N74" i="25"/>
  <c r="M95" i="25"/>
  <c r="Q82" i="38" l="1"/>
  <c r="S82" i="38" s="1"/>
  <c r="P82" i="38"/>
  <c r="R82" i="38" s="1"/>
  <c r="Q86" i="38"/>
  <c r="S86" i="38" s="1"/>
  <c r="P86" i="38"/>
  <c r="R86" i="38" s="1"/>
  <c r="N91" i="37"/>
  <c r="S87" i="29"/>
  <c r="U87" i="29" s="1"/>
  <c r="O84" i="38" s="1"/>
  <c r="S83" i="37"/>
  <c r="S91" i="37"/>
  <c r="S92" i="37" s="1"/>
  <c r="U91" i="37"/>
  <c r="U92" i="37" s="1"/>
  <c r="U83" i="37"/>
  <c r="S88" i="29"/>
  <c r="U88" i="29" s="1"/>
  <c r="O85" i="38" s="1"/>
  <c r="N86" i="29"/>
  <c r="S86" i="29" s="1"/>
  <c r="U86" i="29" s="1"/>
  <c r="O83" i="38" s="1"/>
  <c r="U80" i="29"/>
  <c r="O77" i="38" s="1"/>
  <c r="N82" i="29"/>
  <c r="L92" i="29"/>
  <c r="M91" i="29"/>
  <c r="M83" i="29"/>
  <c r="M113" i="25"/>
  <c r="N104" i="25"/>
  <c r="N112" i="25"/>
  <c r="N95" i="25"/>
  <c r="N74" i="29"/>
  <c r="P77" i="38" l="1"/>
  <c r="R77" i="38" s="1"/>
  <c r="Q77" i="38"/>
  <c r="S77" i="38" s="1"/>
  <c r="P83" i="38"/>
  <c r="R83" i="38" s="1"/>
  <c r="Q83" i="38"/>
  <c r="S83" i="38" s="1"/>
  <c r="Q84" i="38"/>
  <c r="S84" i="38" s="1"/>
  <c r="P84" i="38"/>
  <c r="R84" i="38" s="1"/>
  <c r="Q85" i="38"/>
  <c r="S85" i="38" s="1"/>
  <c r="P85" i="38"/>
  <c r="R85" i="38" s="1"/>
  <c r="N91" i="29"/>
  <c r="N83" i="29"/>
  <c r="M92" i="29"/>
  <c r="N113" i="25"/>
  <c r="N92" i="29" l="1"/>
  <c r="D3" i="3" l="1"/>
  <c r="E3" i="3" s="1"/>
  <c r="F3" i="3" s="1"/>
  <c r="G3" i="3" s="1"/>
  <c r="H3" i="3" s="1"/>
  <c r="I3" i="3" s="1"/>
  <c r="J3" i="3" s="1"/>
  <c r="K3" i="3" s="1"/>
  <c r="L3" i="3" s="1"/>
  <c r="M3" i="3" s="1"/>
  <c r="N3" i="3" s="1"/>
  <c r="P12" i="25"/>
  <c r="P11" i="1"/>
  <c r="P10" i="1"/>
  <c r="P11" i="25" l="1"/>
  <c r="P11" i="35"/>
  <c r="P10" i="25"/>
  <c r="P10" i="35"/>
  <c r="F26" i="1"/>
  <c r="G26" i="1"/>
  <c r="H26" i="1"/>
  <c r="I26" i="1"/>
  <c r="J26" i="1"/>
  <c r="K26" i="1"/>
  <c r="L26" i="1"/>
  <c r="M26" i="1"/>
  <c r="N26" i="1"/>
  <c r="F27" i="1"/>
  <c r="G27" i="1"/>
  <c r="H27" i="1"/>
  <c r="I27" i="1"/>
  <c r="J27" i="1"/>
  <c r="K27" i="1"/>
  <c r="L27" i="1"/>
  <c r="M27" i="1"/>
  <c r="N27" i="1"/>
  <c r="F29" i="1"/>
  <c r="G29" i="1"/>
  <c r="H29" i="1"/>
  <c r="I29" i="1"/>
  <c r="J29" i="1"/>
  <c r="K29" i="1"/>
  <c r="L29" i="1"/>
  <c r="M29" i="1"/>
  <c r="N29" i="1"/>
  <c r="F30" i="1"/>
  <c r="G30" i="1"/>
  <c r="H30" i="1"/>
  <c r="I30" i="1"/>
  <c r="J30" i="1"/>
  <c r="K30" i="1"/>
  <c r="L30" i="1"/>
  <c r="M30" i="1"/>
  <c r="N30" i="1"/>
  <c r="F31" i="1"/>
  <c r="G31" i="1"/>
  <c r="H31" i="1"/>
  <c r="I31" i="1"/>
  <c r="J31" i="1"/>
  <c r="K31" i="1"/>
  <c r="L31" i="1"/>
  <c r="M31" i="1"/>
  <c r="N31" i="1"/>
  <c r="F8" i="1"/>
  <c r="G8" i="1"/>
  <c r="H8" i="1"/>
  <c r="I8" i="1"/>
  <c r="J8" i="1"/>
  <c r="K8" i="1"/>
  <c r="L8" i="1"/>
  <c r="M8" i="1"/>
  <c r="N8" i="1"/>
  <c r="F5" i="1"/>
  <c r="G5" i="1"/>
  <c r="H5" i="1"/>
  <c r="I5" i="1"/>
  <c r="J5" i="1"/>
  <c r="K5" i="1"/>
  <c r="L5" i="1"/>
  <c r="M5" i="1"/>
  <c r="N5" i="1"/>
  <c r="E8" i="3" l="1"/>
  <c r="K29" i="3"/>
  <c r="D31" i="3"/>
  <c r="G30" i="3"/>
  <c r="J29" i="3"/>
  <c r="M27" i="3"/>
  <c r="E27" i="3"/>
  <c r="H26" i="3"/>
  <c r="I5" i="3"/>
  <c r="E31" i="3"/>
  <c r="C5" i="3"/>
  <c r="K31" i="3"/>
  <c r="N30" i="3"/>
  <c r="F30" i="3"/>
  <c r="R29" i="29"/>
  <c r="R19" i="29" s="1"/>
  <c r="I29" i="3"/>
  <c r="R29" i="3" s="1"/>
  <c r="R19" i="3" s="1"/>
  <c r="L27" i="3"/>
  <c r="D27" i="3"/>
  <c r="G26" i="3"/>
  <c r="F5" i="3"/>
  <c r="F26" i="3"/>
  <c r="M31" i="3"/>
  <c r="Q30" i="29"/>
  <c r="H30" i="3"/>
  <c r="H5" i="3"/>
  <c r="K8" i="3"/>
  <c r="J31" i="3"/>
  <c r="N26" i="3"/>
  <c r="M5" i="3"/>
  <c r="E5" i="3"/>
  <c r="I8" i="3"/>
  <c r="C29" i="3"/>
  <c r="R31" i="29"/>
  <c r="R21" i="29" s="1"/>
  <c r="I31" i="3"/>
  <c r="R31" i="3" s="1"/>
  <c r="L30" i="3"/>
  <c r="D30" i="3"/>
  <c r="G29" i="3"/>
  <c r="J27" i="3"/>
  <c r="M26" i="3"/>
  <c r="E26" i="3"/>
  <c r="S27" i="29"/>
  <c r="S17" i="29" s="1"/>
  <c r="N27" i="3"/>
  <c r="D8" i="3"/>
  <c r="G5" i="3"/>
  <c r="J8" i="3"/>
  <c r="H29" i="3"/>
  <c r="L5" i="3"/>
  <c r="D5" i="3"/>
  <c r="H8" i="3"/>
  <c r="C30" i="3"/>
  <c r="H31" i="3"/>
  <c r="K30" i="3"/>
  <c r="N29" i="3"/>
  <c r="F29" i="3"/>
  <c r="I27" i="3"/>
  <c r="S26" i="29"/>
  <c r="S16" i="29" s="1"/>
  <c r="L26" i="3"/>
  <c r="S26" i="3" s="1"/>
  <c r="D26" i="3"/>
  <c r="M8" i="3"/>
  <c r="I26" i="3"/>
  <c r="L31" i="3"/>
  <c r="N5" i="3"/>
  <c r="K27" i="3"/>
  <c r="K5" i="3"/>
  <c r="P8" i="29"/>
  <c r="C8" i="3"/>
  <c r="P8" i="3" s="1"/>
  <c r="G8" i="3"/>
  <c r="P31" i="29"/>
  <c r="C31" i="3"/>
  <c r="P31" i="3" s="1"/>
  <c r="P21" i="3" s="1"/>
  <c r="G31" i="3"/>
  <c r="J30" i="3"/>
  <c r="M29" i="3"/>
  <c r="E29" i="3"/>
  <c r="H27" i="3"/>
  <c r="K26" i="3"/>
  <c r="F27" i="3"/>
  <c r="S8" i="29"/>
  <c r="L8" i="3"/>
  <c r="C26" i="3"/>
  <c r="P26" i="29"/>
  <c r="P27" i="29"/>
  <c r="C27" i="3"/>
  <c r="M30" i="3"/>
  <c r="E30" i="3"/>
  <c r="J5" i="3"/>
  <c r="N8" i="3"/>
  <c r="Q8" i="29"/>
  <c r="F8" i="3"/>
  <c r="N31" i="3"/>
  <c r="Q31" i="29"/>
  <c r="F31" i="3"/>
  <c r="R30" i="29"/>
  <c r="R20" i="29" s="1"/>
  <c r="I30" i="3"/>
  <c r="R30" i="3" s="1"/>
  <c r="R20" i="3" s="1"/>
  <c r="S29" i="29"/>
  <c r="S19" i="29" s="1"/>
  <c r="L29" i="3"/>
  <c r="D29" i="3"/>
  <c r="G27" i="3"/>
  <c r="J26" i="3"/>
  <c r="C69" i="3"/>
  <c r="C68" i="3"/>
  <c r="L28" i="1"/>
  <c r="H12" i="1"/>
  <c r="L12" i="1"/>
  <c r="I25" i="1"/>
  <c r="G12" i="1"/>
  <c r="J28" i="1"/>
  <c r="H25" i="1"/>
  <c r="M12" i="1"/>
  <c r="K25" i="1"/>
  <c r="M28" i="1"/>
  <c r="I28" i="1"/>
  <c r="G25" i="1"/>
  <c r="H28" i="1"/>
  <c r="N28" i="1"/>
  <c r="F28" i="1"/>
  <c r="K28" i="1"/>
  <c r="N25" i="1"/>
  <c r="F25" i="1"/>
  <c r="L25" i="1"/>
  <c r="F12" i="1"/>
  <c r="M25" i="1"/>
  <c r="G28" i="1"/>
  <c r="J25" i="1"/>
  <c r="J12" i="1"/>
  <c r="N12" i="1"/>
  <c r="K12" i="1"/>
  <c r="I12" i="1"/>
  <c r="J6" i="38" l="1"/>
  <c r="L6" i="38" s="1"/>
  <c r="K6" i="38"/>
  <c r="M6" i="38" s="1"/>
  <c r="Q20" i="29"/>
  <c r="Q21" i="29"/>
  <c r="S29" i="3"/>
  <c r="S19" i="3" s="1"/>
  <c r="Q29" i="3"/>
  <c r="Q19" i="3" s="1"/>
  <c r="Q26" i="3"/>
  <c r="Q16" i="3" s="1"/>
  <c r="Q8" i="3"/>
  <c r="Q31" i="3"/>
  <c r="Q21" i="3" s="1"/>
  <c r="P27" i="3"/>
  <c r="S5" i="29"/>
  <c r="S31" i="3"/>
  <c r="S21" i="3" s="1"/>
  <c r="P30" i="29"/>
  <c r="S27" i="3"/>
  <c r="S17" i="3" s="1"/>
  <c r="Q27" i="29"/>
  <c r="P5" i="3"/>
  <c r="I12" i="3"/>
  <c r="D25" i="3"/>
  <c r="N28" i="3"/>
  <c r="H25" i="3"/>
  <c r="D28" i="3"/>
  <c r="R26" i="29"/>
  <c r="R16" i="29" s="1"/>
  <c r="S30" i="29"/>
  <c r="S20" i="29" s="1"/>
  <c r="Q5" i="29"/>
  <c r="P5" i="29"/>
  <c r="H28" i="3"/>
  <c r="S30" i="3"/>
  <c r="S20" i="3" s="1"/>
  <c r="R8" i="3"/>
  <c r="R5" i="29"/>
  <c r="C12" i="3"/>
  <c r="C28" i="3"/>
  <c r="J28" i="3"/>
  <c r="N70" i="1"/>
  <c r="N12" i="3"/>
  <c r="E12" i="3"/>
  <c r="G25" i="3"/>
  <c r="C25" i="3"/>
  <c r="P12" i="29"/>
  <c r="D12" i="3"/>
  <c r="Q27" i="3"/>
  <c r="Q17" i="3" s="1"/>
  <c r="R8" i="29"/>
  <c r="U8" i="29" s="1"/>
  <c r="Q26" i="29"/>
  <c r="R5" i="3"/>
  <c r="L25" i="3"/>
  <c r="E25" i="3"/>
  <c r="I28" i="3"/>
  <c r="G12" i="3"/>
  <c r="S8" i="3"/>
  <c r="S31" i="29"/>
  <c r="S21" i="29" s="1"/>
  <c r="P30" i="3"/>
  <c r="Q29" i="29"/>
  <c r="P29" i="3"/>
  <c r="Q30" i="3"/>
  <c r="Q20" i="3" s="1"/>
  <c r="F28" i="3"/>
  <c r="P20" i="29"/>
  <c r="U30" i="29"/>
  <c r="K12" i="3"/>
  <c r="L28" i="3"/>
  <c r="J12" i="3"/>
  <c r="J25" i="3"/>
  <c r="Q25" i="29"/>
  <c r="F25" i="3"/>
  <c r="E28" i="3"/>
  <c r="I25" i="3"/>
  <c r="P17" i="29"/>
  <c r="M12" i="3"/>
  <c r="P16" i="29"/>
  <c r="P21" i="29"/>
  <c r="U31" i="29"/>
  <c r="R27" i="3"/>
  <c r="R17" i="3" s="1"/>
  <c r="S5" i="3"/>
  <c r="R21" i="3"/>
  <c r="F12" i="3"/>
  <c r="P17" i="3"/>
  <c r="S16" i="3"/>
  <c r="G28" i="3"/>
  <c r="N25" i="3"/>
  <c r="S28" i="29"/>
  <c r="S18" i="29" s="1"/>
  <c r="M28" i="3"/>
  <c r="S12" i="29"/>
  <c r="L12" i="3"/>
  <c r="M25" i="3"/>
  <c r="K28" i="3"/>
  <c r="K25" i="3"/>
  <c r="H12" i="3"/>
  <c r="P26" i="3"/>
  <c r="P16" i="3" s="1"/>
  <c r="R26" i="3"/>
  <c r="R16" i="3" s="1"/>
  <c r="R27" i="29"/>
  <c r="R17" i="29" s="1"/>
  <c r="P29" i="29"/>
  <c r="Q5" i="3"/>
  <c r="F50" i="1"/>
  <c r="J70" i="1"/>
  <c r="K50" i="1"/>
  <c r="G70" i="1"/>
  <c r="H50" i="1"/>
  <c r="I70" i="1"/>
  <c r="J50" i="1"/>
  <c r="K70" i="1"/>
  <c r="L50" i="1"/>
  <c r="L70" i="1"/>
  <c r="M50" i="1"/>
  <c r="H70" i="1"/>
  <c r="I50" i="1"/>
  <c r="F70" i="1"/>
  <c r="G50" i="1"/>
  <c r="M70" i="1"/>
  <c r="N50" i="1"/>
  <c r="M32" i="1"/>
  <c r="L32" i="1"/>
  <c r="K32" i="1"/>
  <c r="I32" i="1"/>
  <c r="H32" i="1"/>
  <c r="J32" i="1"/>
  <c r="G32" i="1"/>
  <c r="F32" i="1"/>
  <c r="N32" i="1"/>
  <c r="U21" i="29" l="1"/>
  <c r="J29" i="38"/>
  <c r="L29" i="38" s="1"/>
  <c r="K29" i="38"/>
  <c r="M29" i="38" s="1"/>
  <c r="Q19" i="29"/>
  <c r="K19" i="38"/>
  <c r="M19" i="38" s="1"/>
  <c r="J19" i="38"/>
  <c r="L19" i="38" s="1"/>
  <c r="K28" i="38"/>
  <c r="M28" i="38" s="1"/>
  <c r="J28" i="38"/>
  <c r="L28" i="38" s="1"/>
  <c r="P6" i="38"/>
  <c r="R6" i="38" s="1"/>
  <c r="Q6" i="38"/>
  <c r="S6" i="38" s="1"/>
  <c r="K18" i="38"/>
  <c r="M18" i="38" s="1"/>
  <c r="J18" i="38"/>
  <c r="L18" i="38" s="1"/>
  <c r="U20" i="29"/>
  <c r="Q16" i="29"/>
  <c r="Q17" i="29"/>
  <c r="K3" i="38"/>
  <c r="M3" i="38" s="1"/>
  <c r="J3" i="38"/>
  <c r="L3" i="38" s="1"/>
  <c r="Q15" i="29"/>
  <c r="U8" i="3"/>
  <c r="U31" i="3"/>
  <c r="U21" i="3" s="1"/>
  <c r="Q25" i="3"/>
  <c r="Q15" i="3" s="1"/>
  <c r="U26" i="29"/>
  <c r="U27" i="3"/>
  <c r="U17" i="3" s="1"/>
  <c r="S12" i="3"/>
  <c r="Q28" i="3"/>
  <c r="Q18" i="3" s="1"/>
  <c r="S28" i="3"/>
  <c r="S18" i="3" s="1"/>
  <c r="Q12" i="29"/>
  <c r="P12" i="3"/>
  <c r="F32" i="3"/>
  <c r="K32" i="3"/>
  <c r="C70" i="3"/>
  <c r="I70" i="3"/>
  <c r="E70" i="3"/>
  <c r="S25" i="29"/>
  <c r="S15" i="29" s="1"/>
  <c r="P28" i="3"/>
  <c r="P18" i="3" s="1"/>
  <c r="F50" i="3"/>
  <c r="G32" i="3"/>
  <c r="I50" i="3"/>
  <c r="H50" i="3"/>
  <c r="U26" i="3"/>
  <c r="U16" i="3" s="1"/>
  <c r="R25" i="29"/>
  <c r="R15" i="29" s="1"/>
  <c r="U29" i="3"/>
  <c r="U19" i="3" s="1"/>
  <c r="P19" i="3"/>
  <c r="S25" i="3"/>
  <c r="S15" i="3" s="1"/>
  <c r="U5" i="29"/>
  <c r="J50" i="3"/>
  <c r="L32" i="3"/>
  <c r="J32" i="3"/>
  <c r="M32" i="3"/>
  <c r="H70" i="3"/>
  <c r="G70" i="3"/>
  <c r="R28" i="3"/>
  <c r="R18" i="3" s="1"/>
  <c r="P25" i="29"/>
  <c r="E32" i="3"/>
  <c r="R28" i="29"/>
  <c r="R18" i="29" s="1"/>
  <c r="P28" i="29"/>
  <c r="U5" i="3"/>
  <c r="N32" i="3"/>
  <c r="H32" i="3"/>
  <c r="M70" i="3"/>
  <c r="L70" i="3"/>
  <c r="J70" i="3"/>
  <c r="Q12" i="3"/>
  <c r="U27" i="29"/>
  <c r="Q28" i="29"/>
  <c r="N70" i="3"/>
  <c r="D50" i="3"/>
  <c r="N50" i="3"/>
  <c r="K50" i="3"/>
  <c r="D32" i="3"/>
  <c r="E50" i="3"/>
  <c r="U30" i="3"/>
  <c r="U20" i="3" s="1"/>
  <c r="P20" i="3"/>
  <c r="R12" i="29"/>
  <c r="U12" i="29" s="1"/>
  <c r="C32" i="3"/>
  <c r="R25" i="3"/>
  <c r="R15" i="3" s="1"/>
  <c r="M50" i="3"/>
  <c r="G50" i="3"/>
  <c r="L50" i="3"/>
  <c r="U29" i="29"/>
  <c r="P19" i="29"/>
  <c r="R32" i="29"/>
  <c r="I32" i="3"/>
  <c r="Q70" i="29"/>
  <c r="F70" i="3"/>
  <c r="Q70" i="3" s="1"/>
  <c r="K70" i="3"/>
  <c r="D70" i="3"/>
  <c r="P25" i="3"/>
  <c r="R12" i="3"/>
  <c r="J27" i="38" l="1"/>
  <c r="L27" i="38" s="1"/>
  <c r="K27" i="38"/>
  <c r="M27" i="38" s="1"/>
  <c r="Q28" i="38"/>
  <c r="S28" i="38" s="1"/>
  <c r="P28" i="38"/>
  <c r="R28" i="38" s="1"/>
  <c r="J17" i="38"/>
  <c r="L17" i="38" s="1"/>
  <c r="K17" i="38"/>
  <c r="M17" i="38" s="1"/>
  <c r="P18" i="38"/>
  <c r="R18" i="38" s="1"/>
  <c r="Q18" i="38"/>
  <c r="S18" i="38" s="1"/>
  <c r="Q18" i="29"/>
  <c r="Q29" i="38"/>
  <c r="S29" i="38" s="1"/>
  <c r="P29" i="38"/>
  <c r="R29" i="38" s="1"/>
  <c r="R22" i="29"/>
  <c r="U19" i="29"/>
  <c r="Q19" i="38"/>
  <c r="S19" i="38" s="1"/>
  <c r="P19" i="38"/>
  <c r="R19" i="38" s="1"/>
  <c r="Q10" i="38"/>
  <c r="S10" i="38" s="1"/>
  <c r="P10" i="38"/>
  <c r="R10" i="38" s="1"/>
  <c r="K13" i="38"/>
  <c r="M13" i="38" s="1"/>
  <c r="J13" i="38"/>
  <c r="L13" i="38" s="1"/>
  <c r="J25" i="38"/>
  <c r="L25" i="38" s="1"/>
  <c r="K25" i="38"/>
  <c r="M25" i="38" s="1"/>
  <c r="K23" i="38"/>
  <c r="M23" i="38" s="1"/>
  <c r="J23" i="38"/>
  <c r="L23" i="38" s="1"/>
  <c r="U17" i="29"/>
  <c r="U16" i="29"/>
  <c r="Q3" i="38"/>
  <c r="S3" i="38" s="1"/>
  <c r="P3" i="38"/>
  <c r="R3" i="38" s="1"/>
  <c r="K68" i="38"/>
  <c r="M68" i="38" s="1"/>
  <c r="J68" i="38"/>
  <c r="L68" i="38" s="1"/>
  <c r="K24" i="38"/>
  <c r="M24" i="38" s="1"/>
  <c r="J24" i="38"/>
  <c r="L24" i="38" s="1"/>
  <c r="J15" i="38"/>
  <c r="L15" i="38" s="1"/>
  <c r="K15" i="38"/>
  <c r="M15" i="38" s="1"/>
  <c r="K10" i="38"/>
  <c r="M10" i="38" s="1"/>
  <c r="J10" i="38"/>
  <c r="L10" i="38" s="1"/>
  <c r="K14" i="38"/>
  <c r="M14" i="38" s="1"/>
  <c r="J14" i="38"/>
  <c r="L14" i="38" s="1"/>
  <c r="R32" i="3"/>
  <c r="R22" i="3" s="1"/>
  <c r="C71" i="3"/>
  <c r="S32" i="3"/>
  <c r="S22" i="3" s="1"/>
  <c r="U12" i="3"/>
  <c r="S50" i="3"/>
  <c r="R50" i="3"/>
  <c r="Q32" i="3"/>
  <c r="Q22" i="3" s="1"/>
  <c r="U25" i="3"/>
  <c r="U15" i="3" s="1"/>
  <c r="P15" i="3"/>
  <c r="P15" i="29"/>
  <c r="U25" i="29"/>
  <c r="Q32" i="29"/>
  <c r="P50" i="3"/>
  <c r="S70" i="3"/>
  <c r="P70" i="3"/>
  <c r="S50" i="29"/>
  <c r="R50" i="29"/>
  <c r="Q50" i="3"/>
  <c r="P32" i="3"/>
  <c r="U28" i="29"/>
  <c r="P18" i="29"/>
  <c r="P32" i="29"/>
  <c r="S32" i="29"/>
  <c r="S22" i="29" s="1"/>
  <c r="R70" i="3"/>
  <c r="Q50" i="29"/>
  <c r="R70" i="29"/>
  <c r="P50" i="29"/>
  <c r="S70" i="29"/>
  <c r="U28" i="3"/>
  <c r="U18" i="3" s="1"/>
  <c r="P70" i="29"/>
  <c r="F46" i="1"/>
  <c r="G46" i="1"/>
  <c r="H46" i="1"/>
  <c r="I46" i="1"/>
  <c r="J46" i="1"/>
  <c r="K46" i="1"/>
  <c r="L46" i="1"/>
  <c r="M46" i="1"/>
  <c r="N46" i="1"/>
  <c r="F39" i="1"/>
  <c r="G39" i="1"/>
  <c r="H39" i="1"/>
  <c r="I39" i="1"/>
  <c r="J39" i="1"/>
  <c r="K39" i="1"/>
  <c r="L39" i="1"/>
  <c r="M39" i="1"/>
  <c r="N39" i="1"/>
  <c r="N45" i="1"/>
  <c r="M45" i="1"/>
  <c r="L45" i="1"/>
  <c r="K45" i="1"/>
  <c r="J45" i="1"/>
  <c r="I45" i="1"/>
  <c r="H45" i="1"/>
  <c r="G45" i="1"/>
  <c r="F45" i="1"/>
  <c r="P45" i="36"/>
  <c r="U45" i="36" s="1"/>
  <c r="F40" i="1"/>
  <c r="G40" i="1"/>
  <c r="H40" i="1"/>
  <c r="I40" i="1"/>
  <c r="J40" i="1"/>
  <c r="K40" i="1"/>
  <c r="L40" i="1"/>
  <c r="M40" i="1"/>
  <c r="N40" i="1"/>
  <c r="F38" i="1"/>
  <c r="G38" i="1"/>
  <c r="H38" i="1"/>
  <c r="I38" i="1"/>
  <c r="J38" i="1"/>
  <c r="K38" i="1"/>
  <c r="L38" i="1"/>
  <c r="M38" i="1"/>
  <c r="N38" i="1"/>
  <c r="P38" i="36"/>
  <c r="U38" i="36" s="1"/>
  <c r="D4" i="1"/>
  <c r="Q27" i="38" l="1"/>
  <c r="S27" i="38" s="1"/>
  <c r="P27" i="38"/>
  <c r="R27" i="38" s="1"/>
  <c r="U18" i="29"/>
  <c r="Q17" i="38"/>
  <c r="S17" i="38" s="1"/>
  <c r="P17" i="38"/>
  <c r="R17" i="38" s="1"/>
  <c r="J26" i="38"/>
  <c r="L26" i="38" s="1"/>
  <c r="K26" i="38"/>
  <c r="M26" i="38" s="1"/>
  <c r="J16" i="38"/>
  <c r="L16" i="38" s="1"/>
  <c r="K16" i="38"/>
  <c r="M16" i="38" s="1"/>
  <c r="Q22" i="29"/>
  <c r="P24" i="38"/>
  <c r="R24" i="38" s="1"/>
  <c r="Q24" i="38"/>
  <c r="S24" i="38" s="1"/>
  <c r="U15" i="29"/>
  <c r="P14" i="38"/>
  <c r="R14" i="38" s="1"/>
  <c r="Q14" i="38"/>
  <c r="S14" i="38" s="1"/>
  <c r="P25" i="38"/>
  <c r="R25" i="38" s="1"/>
  <c r="Q25" i="38"/>
  <c r="S25" i="38" s="1"/>
  <c r="J48" i="38"/>
  <c r="L48" i="38" s="1"/>
  <c r="K48" i="38"/>
  <c r="M48" i="38" s="1"/>
  <c r="P15" i="38"/>
  <c r="R15" i="38" s="1"/>
  <c r="Q15" i="38"/>
  <c r="S15" i="38" s="1"/>
  <c r="U50" i="3"/>
  <c r="N45" i="3"/>
  <c r="U50" i="29"/>
  <c r="P22" i="29"/>
  <c r="U32" i="29"/>
  <c r="D38" i="3"/>
  <c r="D46" i="3"/>
  <c r="J38" i="3"/>
  <c r="U70" i="29"/>
  <c r="H40" i="3"/>
  <c r="L46" i="3"/>
  <c r="N40" i="3"/>
  <c r="E40" i="3"/>
  <c r="L40" i="3"/>
  <c r="D40" i="3"/>
  <c r="J45" i="3"/>
  <c r="L39" i="3"/>
  <c r="D39" i="3"/>
  <c r="H46" i="3"/>
  <c r="F45" i="3"/>
  <c r="K46" i="3"/>
  <c r="F40" i="3"/>
  <c r="J46" i="3"/>
  <c r="E39" i="3"/>
  <c r="H38" i="3"/>
  <c r="G38" i="3"/>
  <c r="K45" i="3"/>
  <c r="K39" i="3"/>
  <c r="G46" i="3"/>
  <c r="U70" i="3"/>
  <c r="L38" i="3"/>
  <c r="H39" i="3"/>
  <c r="K38" i="3"/>
  <c r="G40" i="3"/>
  <c r="F39" i="3"/>
  <c r="M40" i="3"/>
  <c r="R45" i="29"/>
  <c r="I45" i="3"/>
  <c r="I46" i="3"/>
  <c r="N38" i="3"/>
  <c r="J40" i="3"/>
  <c r="D45" i="3"/>
  <c r="L45" i="3"/>
  <c r="J39" i="3"/>
  <c r="N46" i="3"/>
  <c r="F46" i="3"/>
  <c r="U32" i="3"/>
  <c r="U22" i="3" s="1"/>
  <c r="P22" i="3"/>
  <c r="G45" i="3"/>
  <c r="G39" i="3"/>
  <c r="H45" i="3"/>
  <c r="N39" i="3"/>
  <c r="I38" i="3"/>
  <c r="R38" i="3" s="1"/>
  <c r="M39" i="3"/>
  <c r="K40" i="3"/>
  <c r="F38" i="3"/>
  <c r="Q38" i="3" s="1"/>
  <c r="S38" i="29"/>
  <c r="M38" i="3"/>
  <c r="E38" i="3"/>
  <c r="I40" i="3"/>
  <c r="E45" i="3"/>
  <c r="M45" i="3"/>
  <c r="I39" i="3"/>
  <c r="M46" i="3"/>
  <c r="E46" i="3"/>
  <c r="P38" i="29"/>
  <c r="C45" i="3"/>
  <c r="C38" i="3"/>
  <c r="C46" i="3"/>
  <c r="C39" i="3"/>
  <c r="C40" i="3"/>
  <c r="D34" i="3"/>
  <c r="E4" i="1"/>
  <c r="P34" i="36" s="1"/>
  <c r="P26" i="38" l="1"/>
  <c r="R26" i="38" s="1"/>
  <c r="Q26" i="38"/>
  <c r="S26" i="38" s="1"/>
  <c r="P16" i="38"/>
  <c r="R16" i="38" s="1"/>
  <c r="Q16" i="38"/>
  <c r="S16" i="38" s="1"/>
  <c r="P23" i="38"/>
  <c r="R23" i="38" s="1"/>
  <c r="Q23" i="38"/>
  <c r="S23" i="38" s="1"/>
  <c r="Q13" i="38"/>
  <c r="S13" i="38" s="1"/>
  <c r="P13" i="38"/>
  <c r="R13" i="38" s="1"/>
  <c r="Q68" i="38"/>
  <c r="S68" i="38" s="1"/>
  <c r="P68" i="38"/>
  <c r="R68" i="38" s="1"/>
  <c r="U22" i="29"/>
  <c r="K30" i="38"/>
  <c r="M30" i="38" s="1"/>
  <c r="J30" i="38"/>
  <c r="L30" i="38" s="1"/>
  <c r="Q48" i="38"/>
  <c r="S48" i="38" s="1"/>
  <c r="P48" i="38"/>
  <c r="R48" i="38" s="1"/>
  <c r="K20" i="38"/>
  <c r="M20" i="38" s="1"/>
  <c r="J20" i="38"/>
  <c r="L20" i="38" s="1"/>
  <c r="P45" i="3"/>
  <c r="R38" i="29"/>
  <c r="P45" i="29"/>
  <c r="R45" i="3"/>
  <c r="Q38" i="29"/>
  <c r="U38" i="29" s="1"/>
  <c r="S45" i="3"/>
  <c r="P38" i="3"/>
  <c r="Q45" i="29"/>
  <c r="Q45" i="3"/>
  <c r="U45" i="3" s="1"/>
  <c r="S38" i="3"/>
  <c r="S45" i="29"/>
  <c r="P34" i="29"/>
  <c r="E34" i="3"/>
  <c r="P34" i="3" s="1"/>
  <c r="C47" i="3"/>
  <c r="C41" i="3"/>
  <c r="F4" i="1"/>
  <c r="F34" i="1" s="1"/>
  <c r="P20" i="38" l="1"/>
  <c r="R20" i="38" s="1"/>
  <c r="Q20" i="38"/>
  <c r="S20" i="38" s="1"/>
  <c r="Q30" i="38"/>
  <c r="S30" i="38" s="1"/>
  <c r="P30" i="38"/>
  <c r="R30" i="38" s="1"/>
  <c r="U45" i="29"/>
  <c r="U38" i="3"/>
  <c r="D69" i="3"/>
  <c r="D68" i="3"/>
  <c r="C58" i="3"/>
  <c r="D47" i="3"/>
  <c r="F34" i="3"/>
  <c r="C32" i="13" s="1"/>
  <c r="D41" i="3"/>
  <c r="C57" i="3"/>
  <c r="P68" i="36"/>
  <c r="P69" i="36"/>
  <c r="G4" i="1"/>
  <c r="G34" i="1" s="1"/>
  <c r="P47" i="36"/>
  <c r="E32" i="13" l="1"/>
  <c r="D32" i="13"/>
  <c r="P44" i="36"/>
  <c r="P43" i="36"/>
  <c r="P46" i="36"/>
  <c r="P37" i="36"/>
  <c r="P41" i="36"/>
  <c r="P40" i="36"/>
  <c r="P39" i="36"/>
  <c r="P36" i="36"/>
  <c r="P71" i="36"/>
  <c r="P69" i="29"/>
  <c r="P68" i="29"/>
  <c r="P41" i="29"/>
  <c r="D56" i="3"/>
  <c r="G34" i="3"/>
  <c r="D71" i="3"/>
  <c r="D57" i="3"/>
  <c r="P57" i="36"/>
  <c r="E41" i="3"/>
  <c r="P39" i="3" s="1"/>
  <c r="C56" i="3"/>
  <c r="E69" i="3"/>
  <c r="P69" i="3" s="1"/>
  <c r="P58" i="36"/>
  <c r="E47" i="3"/>
  <c r="P47" i="3" s="1"/>
  <c r="E68" i="3"/>
  <c r="P68" i="3" s="1"/>
  <c r="D58" i="3"/>
  <c r="F68" i="1"/>
  <c r="F69" i="1"/>
  <c r="H4" i="1"/>
  <c r="H34" i="1" s="1"/>
  <c r="Q34" i="36" s="1"/>
  <c r="F47" i="1"/>
  <c r="F41" i="1"/>
  <c r="P40" i="29" l="1"/>
  <c r="P71" i="29"/>
  <c r="P58" i="29"/>
  <c r="Q34" i="29"/>
  <c r="P57" i="29"/>
  <c r="P46" i="29"/>
  <c r="P47" i="29"/>
  <c r="P43" i="29"/>
  <c r="P44" i="29"/>
  <c r="P43" i="3"/>
  <c r="P39" i="29"/>
  <c r="P37" i="29"/>
  <c r="P36" i="29"/>
  <c r="P37" i="3"/>
  <c r="P41" i="3"/>
  <c r="H34" i="3"/>
  <c r="Q34" i="3" s="1"/>
  <c r="I32" i="13" s="1"/>
  <c r="D59" i="3"/>
  <c r="D62" i="3"/>
  <c r="C59" i="3"/>
  <c r="F58" i="1"/>
  <c r="F47" i="3"/>
  <c r="C45" i="13" s="1"/>
  <c r="P36" i="3"/>
  <c r="E57" i="3"/>
  <c r="P57" i="3" s="1"/>
  <c r="F69" i="3"/>
  <c r="C67" i="13" s="1"/>
  <c r="F68" i="3"/>
  <c r="C66" i="13" s="1"/>
  <c r="P44" i="3"/>
  <c r="P46" i="3"/>
  <c r="P56" i="36"/>
  <c r="E58" i="3"/>
  <c r="P58" i="3" s="1"/>
  <c r="F57" i="1"/>
  <c r="F41" i="3"/>
  <c r="C39" i="13" s="1"/>
  <c r="E71" i="3"/>
  <c r="P71" i="3" s="1"/>
  <c r="P40" i="3"/>
  <c r="F71" i="1"/>
  <c r="G68" i="1"/>
  <c r="G69" i="1"/>
  <c r="G47" i="1"/>
  <c r="G41" i="1"/>
  <c r="I4" i="1"/>
  <c r="I34" i="1" s="1"/>
  <c r="E67" i="13" l="1"/>
  <c r="G67" i="13" s="1"/>
  <c r="D67" i="13"/>
  <c r="F67" i="13" s="1"/>
  <c r="J32" i="13"/>
  <c r="K32" i="13"/>
  <c r="E45" i="13"/>
  <c r="G45" i="13" s="1"/>
  <c r="D45" i="13"/>
  <c r="F45" i="13" s="1"/>
  <c r="D39" i="13"/>
  <c r="F39" i="13" s="1"/>
  <c r="E39" i="13"/>
  <c r="G39" i="13" s="1"/>
  <c r="E66" i="13"/>
  <c r="G66" i="13" s="1"/>
  <c r="D66" i="13"/>
  <c r="F66" i="13" s="1"/>
  <c r="D63" i="3"/>
  <c r="D64" i="3"/>
  <c r="D65" i="3"/>
  <c r="P56" i="29"/>
  <c r="C79" i="3"/>
  <c r="D90" i="3"/>
  <c r="D80" i="3"/>
  <c r="F58" i="3"/>
  <c r="C56" i="13" s="1"/>
  <c r="C91" i="3"/>
  <c r="C84" i="3"/>
  <c r="D84" i="3"/>
  <c r="D85" i="3"/>
  <c r="C78" i="3"/>
  <c r="C86" i="3"/>
  <c r="D87" i="3"/>
  <c r="D86" i="3"/>
  <c r="F56" i="1"/>
  <c r="F57" i="3"/>
  <c r="C55" i="13" s="1"/>
  <c r="C62" i="3"/>
  <c r="C80" i="3"/>
  <c r="C88" i="3"/>
  <c r="D77" i="3"/>
  <c r="D89" i="3"/>
  <c r="I34" i="3"/>
  <c r="G69" i="3"/>
  <c r="C64" i="3"/>
  <c r="C85" i="3"/>
  <c r="C90" i="3"/>
  <c r="D66" i="3"/>
  <c r="G57" i="1"/>
  <c r="G41" i="3"/>
  <c r="G68" i="3"/>
  <c r="C63" i="3"/>
  <c r="C89" i="3"/>
  <c r="D88" i="3"/>
  <c r="G58" i="1"/>
  <c r="G47" i="3"/>
  <c r="F71" i="3"/>
  <c r="C69" i="13" s="1"/>
  <c r="C65" i="3"/>
  <c r="C83" i="3"/>
  <c r="D79" i="3"/>
  <c r="D91" i="3"/>
  <c r="P59" i="36"/>
  <c r="E56" i="3"/>
  <c r="P56" i="3" s="1"/>
  <c r="C87" i="3"/>
  <c r="C77" i="3"/>
  <c r="D83" i="3"/>
  <c r="D78" i="3"/>
  <c r="G71" i="1"/>
  <c r="H69" i="1"/>
  <c r="Q69" i="36" s="1"/>
  <c r="H68" i="1"/>
  <c r="Q68" i="36" s="1"/>
  <c r="H47" i="1"/>
  <c r="Q47" i="36" s="1"/>
  <c r="H41" i="1"/>
  <c r="Q41" i="36" s="1"/>
  <c r="J4" i="1"/>
  <c r="J34" i="1" s="1"/>
  <c r="D69" i="13" l="1"/>
  <c r="F69" i="13" s="1"/>
  <c r="E69" i="13"/>
  <c r="G69" i="13" s="1"/>
  <c r="E55" i="13"/>
  <c r="G55" i="13" s="1"/>
  <c r="D55" i="13"/>
  <c r="F55" i="13" s="1"/>
  <c r="E56" i="13"/>
  <c r="G56" i="13" s="1"/>
  <c r="D56" i="13"/>
  <c r="F56" i="13" s="1"/>
  <c r="G56" i="1"/>
  <c r="G59" i="1" s="1"/>
  <c r="Q36" i="36"/>
  <c r="Q37" i="36"/>
  <c r="Q39" i="36"/>
  <c r="Q43" i="36"/>
  <c r="Q44" i="36"/>
  <c r="Q40" i="36"/>
  <c r="Q46" i="36"/>
  <c r="Q69" i="29"/>
  <c r="P59" i="29"/>
  <c r="Q68" i="29"/>
  <c r="C92" i="3"/>
  <c r="G71" i="3"/>
  <c r="F59" i="1"/>
  <c r="F56" i="3"/>
  <c r="C54" i="13" s="1"/>
  <c r="H58" i="1"/>
  <c r="Q58" i="36" s="1"/>
  <c r="H47" i="3"/>
  <c r="G58" i="3"/>
  <c r="D73" i="3"/>
  <c r="H57" i="1"/>
  <c r="Q57" i="36" s="1"/>
  <c r="H41" i="3"/>
  <c r="Q37" i="3" s="1"/>
  <c r="I35" i="13" s="1"/>
  <c r="C81" i="3"/>
  <c r="P89" i="36"/>
  <c r="P86" i="36"/>
  <c r="P83" i="36"/>
  <c r="P85" i="36"/>
  <c r="P80" i="36"/>
  <c r="P78" i="36"/>
  <c r="P91" i="36"/>
  <c r="P88" i="36"/>
  <c r="P87" i="36"/>
  <c r="P84" i="36"/>
  <c r="E59" i="3"/>
  <c r="P59" i="3" s="1"/>
  <c r="P90" i="36"/>
  <c r="P79" i="36"/>
  <c r="P77" i="36"/>
  <c r="P65" i="36"/>
  <c r="P63" i="36"/>
  <c r="P64" i="36"/>
  <c r="P62" i="36"/>
  <c r="C66" i="3"/>
  <c r="D74" i="3"/>
  <c r="H68" i="3"/>
  <c r="Q68" i="3" s="1"/>
  <c r="I66" i="13" s="1"/>
  <c r="G57" i="3"/>
  <c r="J34" i="3"/>
  <c r="H69" i="3"/>
  <c r="Q69" i="3" s="1"/>
  <c r="I67" i="13" s="1"/>
  <c r="D92" i="3"/>
  <c r="D81" i="3"/>
  <c r="H71" i="1"/>
  <c r="Q71" i="36" s="1"/>
  <c r="I69" i="1"/>
  <c r="I68" i="1"/>
  <c r="I47" i="1"/>
  <c r="I41" i="1"/>
  <c r="K4" i="1"/>
  <c r="K34" i="1" s="1"/>
  <c r="R34" i="36" s="1"/>
  <c r="E54" i="13" l="1"/>
  <c r="G54" i="13" s="1"/>
  <c r="D54" i="13"/>
  <c r="F54" i="13" s="1"/>
  <c r="G56" i="3"/>
  <c r="K35" i="13"/>
  <c r="M35" i="13" s="1"/>
  <c r="J35" i="13"/>
  <c r="L35" i="13" s="1"/>
  <c r="K67" i="13"/>
  <c r="M67" i="13" s="1"/>
  <c r="J67" i="13"/>
  <c r="L67" i="13" s="1"/>
  <c r="K66" i="13"/>
  <c r="M66" i="13" s="1"/>
  <c r="J66" i="13"/>
  <c r="L66" i="13" s="1"/>
  <c r="H56" i="1"/>
  <c r="Q56" i="36" s="1"/>
  <c r="Q56" i="29"/>
  <c r="P65" i="29"/>
  <c r="Q39" i="29"/>
  <c r="Q36" i="29"/>
  <c r="Q37" i="29"/>
  <c r="Q41" i="29"/>
  <c r="Q40" i="29"/>
  <c r="R34" i="29"/>
  <c r="Q43" i="29"/>
  <c r="Q46" i="29"/>
  <c r="Q47" i="29"/>
  <c r="Q44" i="29"/>
  <c r="Q71" i="29"/>
  <c r="Q58" i="29"/>
  <c r="P64" i="29"/>
  <c r="D94" i="3"/>
  <c r="P62" i="29"/>
  <c r="P63" i="29"/>
  <c r="Q57" i="29"/>
  <c r="Q40" i="3"/>
  <c r="I38" i="13" s="1"/>
  <c r="Q39" i="3"/>
  <c r="I37" i="13" s="1"/>
  <c r="K34" i="3"/>
  <c r="R34" i="3" s="1"/>
  <c r="C73" i="3"/>
  <c r="E79" i="3"/>
  <c r="P79" i="3" s="1"/>
  <c r="E80" i="3"/>
  <c r="P80" i="3" s="1"/>
  <c r="H58" i="3"/>
  <c r="Q58" i="3" s="1"/>
  <c r="I56" i="13" s="1"/>
  <c r="E90" i="3"/>
  <c r="P90" i="3" s="1"/>
  <c r="E85" i="3"/>
  <c r="P85" i="3" s="1"/>
  <c r="E83" i="3"/>
  <c r="P83" i="3" s="1"/>
  <c r="P92" i="36"/>
  <c r="F85" i="1"/>
  <c r="F83" i="1"/>
  <c r="F80" i="1"/>
  <c r="F78" i="1"/>
  <c r="F91" i="1"/>
  <c r="F88" i="1"/>
  <c r="F87" i="1"/>
  <c r="F84" i="1"/>
  <c r="F90" i="1"/>
  <c r="F79" i="1"/>
  <c r="F59" i="3"/>
  <c r="C57" i="13" s="1"/>
  <c r="F89" i="1"/>
  <c r="F86" i="1"/>
  <c r="F77" i="1"/>
  <c r="F62" i="1"/>
  <c r="F65" i="1"/>
  <c r="F63" i="1"/>
  <c r="F64" i="1"/>
  <c r="E77" i="3"/>
  <c r="P77" i="3" s="1"/>
  <c r="P81" i="36"/>
  <c r="I58" i="1"/>
  <c r="I47" i="3"/>
  <c r="Q36" i="3"/>
  <c r="I34" i="13" s="1"/>
  <c r="P66" i="36"/>
  <c r="E62" i="3"/>
  <c r="P62" i="3" s="1"/>
  <c r="E84" i="3"/>
  <c r="P84" i="3" s="1"/>
  <c r="E86" i="3"/>
  <c r="P86" i="3" s="1"/>
  <c r="E64" i="3"/>
  <c r="P64" i="3" s="1"/>
  <c r="E87" i="3"/>
  <c r="P87" i="3" s="1"/>
  <c r="E89" i="3"/>
  <c r="P89" i="3" s="1"/>
  <c r="D95" i="3"/>
  <c r="I69" i="3"/>
  <c r="H71" i="3"/>
  <c r="Q71" i="3" s="1"/>
  <c r="I69" i="13" s="1"/>
  <c r="G91" i="1"/>
  <c r="G89" i="1"/>
  <c r="G87" i="1"/>
  <c r="G85" i="1"/>
  <c r="G59" i="3"/>
  <c r="G80" i="1"/>
  <c r="G78" i="1"/>
  <c r="G77" i="1"/>
  <c r="G88" i="1"/>
  <c r="G83" i="1"/>
  <c r="G84" i="1"/>
  <c r="G90" i="1"/>
  <c r="G79" i="1"/>
  <c r="G86" i="1"/>
  <c r="G64" i="1"/>
  <c r="G65" i="1"/>
  <c r="G63" i="1"/>
  <c r="G62" i="1"/>
  <c r="E63" i="3"/>
  <c r="P63" i="3" s="1"/>
  <c r="E88" i="3"/>
  <c r="P88" i="3" s="1"/>
  <c r="H57" i="3"/>
  <c r="Q57" i="3" s="1"/>
  <c r="I55" i="13" s="1"/>
  <c r="Q43" i="3"/>
  <c r="I41" i="13" s="1"/>
  <c r="Q46" i="3"/>
  <c r="I44" i="13" s="1"/>
  <c r="Q47" i="3"/>
  <c r="I45" i="13" s="1"/>
  <c r="Q44" i="3"/>
  <c r="I42" i="13" s="1"/>
  <c r="E78" i="3"/>
  <c r="P78" i="3" s="1"/>
  <c r="I57" i="1"/>
  <c r="I41" i="3"/>
  <c r="I68" i="3"/>
  <c r="E65" i="3"/>
  <c r="P65" i="3" s="1"/>
  <c r="E91" i="3"/>
  <c r="P91" i="3" s="1"/>
  <c r="Q41" i="3"/>
  <c r="I39" i="13" s="1"/>
  <c r="I71" i="1"/>
  <c r="J69" i="1"/>
  <c r="J68" i="1"/>
  <c r="J47" i="1"/>
  <c r="J41" i="1"/>
  <c r="L4" i="1"/>
  <c r="L34" i="1" s="1"/>
  <c r="H56" i="3" l="1"/>
  <c r="Q56" i="3" s="1"/>
  <c r="I54" i="13" s="1"/>
  <c r="K34" i="13"/>
  <c r="M34" i="13" s="1"/>
  <c r="J34" i="13"/>
  <c r="L34" i="13" s="1"/>
  <c r="K37" i="13"/>
  <c r="M37" i="13" s="1"/>
  <c r="J37" i="13"/>
  <c r="L37" i="13" s="1"/>
  <c r="J38" i="13"/>
  <c r="L38" i="13" s="1"/>
  <c r="K38" i="13"/>
  <c r="M38" i="13" s="1"/>
  <c r="K56" i="13"/>
  <c r="M56" i="13" s="1"/>
  <c r="J56" i="13"/>
  <c r="L56" i="13" s="1"/>
  <c r="E57" i="13"/>
  <c r="G57" i="13" s="1"/>
  <c r="D57" i="13"/>
  <c r="F57" i="13" s="1"/>
  <c r="K41" i="13"/>
  <c r="M41" i="13" s="1"/>
  <c r="J41" i="13"/>
  <c r="L41" i="13" s="1"/>
  <c r="K42" i="13"/>
  <c r="M42" i="13" s="1"/>
  <c r="J42" i="13"/>
  <c r="L42" i="13" s="1"/>
  <c r="J39" i="13"/>
  <c r="L39" i="13" s="1"/>
  <c r="K39" i="13"/>
  <c r="M39" i="13" s="1"/>
  <c r="K45" i="13"/>
  <c r="M45" i="13" s="1"/>
  <c r="J45" i="13"/>
  <c r="L45" i="13" s="1"/>
  <c r="J69" i="13"/>
  <c r="L69" i="13" s="1"/>
  <c r="K69" i="13"/>
  <c r="M69" i="13" s="1"/>
  <c r="J55" i="13"/>
  <c r="L55" i="13" s="1"/>
  <c r="K55" i="13"/>
  <c r="M55" i="13" s="1"/>
  <c r="K44" i="13"/>
  <c r="M44" i="13" s="1"/>
  <c r="J44" i="13"/>
  <c r="L44" i="13" s="1"/>
  <c r="K54" i="13"/>
  <c r="M54" i="13" s="1"/>
  <c r="J54" i="13"/>
  <c r="L54" i="13" s="1"/>
  <c r="K69" i="38"/>
  <c r="M69" i="38" s="1"/>
  <c r="J69" i="38"/>
  <c r="L69" i="38" s="1"/>
  <c r="H59" i="1"/>
  <c r="H62" i="1" s="1"/>
  <c r="Q59" i="36"/>
  <c r="P73" i="36"/>
  <c r="Q65" i="36"/>
  <c r="P66" i="29"/>
  <c r="Q59" i="29"/>
  <c r="I57" i="38" s="1"/>
  <c r="I56" i="1"/>
  <c r="J68" i="3"/>
  <c r="G65" i="3"/>
  <c r="J69" i="3"/>
  <c r="G64" i="3"/>
  <c r="G78" i="3"/>
  <c r="F63" i="3"/>
  <c r="C61" i="13" s="1"/>
  <c r="F90" i="3"/>
  <c r="C88" i="13" s="1"/>
  <c r="F85" i="3"/>
  <c r="C83" i="13" s="1"/>
  <c r="F79" i="3"/>
  <c r="C77" i="13" s="1"/>
  <c r="G86" i="3"/>
  <c r="G80" i="3"/>
  <c r="I58" i="3"/>
  <c r="F65" i="3"/>
  <c r="C63" i="13" s="1"/>
  <c r="F84" i="3"/>
  <c r="C82" i="13" s="1"/>
  <c r="G79" i="3"/>
  <c r="E66" i="3"/>
  <c r="P66" i="3" s="1"/>
  <c r="E81" i="3"/>
  <c r="P81" i="3" s="1"/>
  <c r="F62" i="3"/>
  <c r="C60" i="13" s="1"/>
  <c r="F66" i="1"/>
  <c r="F87" i="3"/>
  <c r="C85" i="13" s="1"/>
  <c r="C94" i="3"/>
  <c r="G77" i="3"/>
  <c r="G81" i="1"/>
  <c r="F64" i="3"/>
  <c r="C62" i="13" s="1"/>
  <c r="G90" i="3"/>
  <c r="G85" i="3"/>
  <c r="F77" i="3"/>
  <c r="C75" i="13" s="1"/>
  <c r="F81" i="1"/>
  <c r="F88" i="3"/>
  <c r="C86" i="13" s="1"/>
  <c r="C74" i="3"/>
  <c r="F83" i="3"/>
  <c r="C81" i="13" s="1"/>
  <c r="F92" i="1"/>
  <c r="I71" i="3"/>
  <c r="G84" i="3"/>
  <c r="G87" i="3"/>
  <c r="F86" i="3"/>
  <c r="C84" i="13" s="1"/>
  <c r="F91" i="3"/>
  <c r="C89" i="13" s="1"/>
  <c r="E92" i="3"/>
  <c r="P92" i="3" s="1"/>
  <c r="J58" i="1"/>
  <c r="J47" i="3"/>
  <c r="L34" i="3"/>
  <c r="G62" i="3"/>
  <c r="G66" i="1"/>
  <c r="G83" i="3"/>
  <c r="G92" i="1"/>
  <c r="G89" i="3"/>
  <c r="F89" i="3"/>
  <c r="C87" i="13" s="1"/>
  <c r="F78" i="3"/>
  <c r="C76" i="13" s="1"/>
  <c r="J57" i="1"/>
  <c r="J41" i="3"/>
  <c r="I57" i="3"/>
  <c r="G63" i="3"/>
  <c r="G88" i="3"/>
  <c r="G91" i="3"/>
  <c r="F80" i="3"/>
  <c r="C78" i="13" s="1"/>
  <c r="J71" i="1"/>
  <c r="K69" i="1"/>
  <c r="R69" i="36" s="1"/>
  <c r="K68" i="1"/>
  <c r="R68" i="36" s="1"/>
  <c r="K47" i="1"/>
  <c r="R47" i="36" s="1"/>
  <c r="K41" i="1"/>
  <c r="R41" i="36" s="1"/>
  <c r="M4" i="1"/>
  <c r="M34" i="1" s="1"/>
  <c r="H78" i="1" l="1"/>
  <c r="Q78" i="36" s="1"/>
  <c r="H85" i="1"/>
  <c r="Q85" i="36" s="1"/>
  <c r="H79" i="1"/>
  <c r="Q79" i="36" s="1"/>
  <c r="H90" i="1"/>
  <c r="Q90" i="36" s="1"/>
  <c r="H84" i="1"/>
  <c r="Q84" i="36" s="1"/>
  <c r="H77" i="1"/>
  <c r="Q77" i="36" s="1"/>
  <c r="H91" i="1"/>
  <c r="Q91" i="36" s="1"/>
  <c r="H80" i="1"/>
  <c r="Q80" i="36" s="1"/>
  <c r="H88" i="1"/>
  <c r="Q88" i="36" s="1"/>
  <c r="H89" i="1"/>
  <c r="Q89" i="36" s="1"/>
  <c r="H86" i="1"/>
  <c r="Q86" i="36" s="1"/>
  <c r="H83" i="1"/>
  <c r="Q83" i="36" s="1"/>
  <c r="H87" i="1"/>
  <c r="Q87" i="36" s="1"/>
  <c r="H65" i="1"/>
  <c r="H65" i="3" s="1"/>
  <c r="Q65" i="3" s="1"/>
  <c r="I63" i="13" s="1"/>
  <c r="D62" i="13"/>
  <c r="F62" i="13" s="1"/>
  <c r="E62" i="13"/>
  <c r="G62" i="13" s="1"/>
  <c r="D83" i="13"/>
  <c r="F83" i="13" s="1"/>
  <c r="E83" i="13"/>
  <c r="G83" i="13" s="1"/>
  <c r="D60" i="13"/>
  <c r="F60" i="13" s="1"/>
  <c r="E60" i="13"/>
  <c r="G60" i="13" s="1"/>
  <c r="E88" i="13"/>
  <c r="G88" i="13" s="1"/>
  <c r="D88" i="13"/>
  <c r="F88" i="13" s="1"/>
  <c r="D84" i="13"/>
  <c r="F84" i="13" s="1"/>
  <c r="E84" i="13"/>
  <c r="G84" i="13" s="1"/>
  <c r="E77" i="13"/>
  <c r="G77" i="13" s="1"/>
  <c r="D77" i="13"/>
  <c r="F77" i="13" s="1"/>
  <c r="D82" i="13"/>
  <c r="F82" i="13" s="1"/>
  <c r="E82" i="13"/>
  <c r="G82" i="13" s="1"/>
  <c r="D61" i="13"/>
  <c r="F61" i="13" s="1"/>
  <c r="E61" i="13"/>
  <c r="G61" i="13" s="1"/>
  <c r="E76" i="13"/>
  <c r="G76" i="13" s="1"/>
  <c r="D76" i="13"/>
  <c r="F76" i="13" s="1"/>
  <c r="E86" i="13"/>
  <c r="G86" i="13" s="1"/>
  <c r="D86" i="13"/>
  <c r="F86" i="13" s="1"/>
  <c r="D63" i="13"/>
  <c r="F63" i="13" s="1"/>
  <c r="E63" i="13"/>
  <c r="G63" i="13" s="1"/>
  <c r="H64" i="1"/>
  <c r="Q64" i="36" s="1"/>
  <c r="D89" i="13"/>
  <c r="F89" i="13" s="1"/>
  <c r="E89" i="13"/>
  <c r="G89" i="13" s="1"/>
  <c r="E78" i="13"/>
  <c r="G78" i="13" s="1"/>
  <c r="D78" i="13"/>
  <c r="F78" i="13" s="1"/>
  <c r="E87" i="13"/>
  <c r="G87" i="13" s="1"/>
  <c r="D87" i="13"/>
  <c r="F87" i="13" s="1"/>
  <c r="D81" i="13"/>
  <c r="F81" i="13" s="1"/>
  <c r="E81" i="13"/>
  <c r="G81" i="13" s="1"/>
  <c r="E85" i="13"/>
  <c r="G85" i="13" s="1"/>
  <c r="D85" i="13"/>
  <c r="F85" i="13" s="1"/>
  <c r="H63" i="1"/>
  <c r="H63" i="3" s="1"/>
  <c r="Q63" i="3" s="1"/>
  <c r="I61" i="13" s="1"/>
  <c r="E75" i="13"/>
  <c r="G75" i="13" s="1"/>
  <c r="D75" i="13"/>
  <c r="F75" i="13" s="1"/>
  <c r="K57" i="38"/>
  <c r="M57" i="38" s="1"/>
  <c r="J57" i="38"/>
  <c r="L57" i="38" s="1"/>
  <c r="H59" i="3"/>
  <c r="Q59" i="3" s="1"/>
  <c r="I57" i="13" s="1"/>
  <c r="Q62" i="36"/>
  <c r="H62" i="3"/>
  <c r="Q62" i="3" s="1"/>
  <c r="I60" i="13" s="1"/>
  <c r="I59" i="1"/>
  <c r="I86" i="1" s="1"/>
  <c r="R44" i="36"/>
  <c r="R40" i="36"/>
  <c r="P94" i="36"/>
  <c r="P95" i="36" s="1"/>
  <c r="P74" i="36"/>
  <c r="Q66" i="36"/>
  <c r="Q73" i="36" s="1"/>
  <c r="Q63" i="36"/>
  <c r="R43" i="36"/>
  <c r="R46" i="36"/>
  <c r="R36" i="36"/>
  <c r="R39" i="36"/>
  <c r="R37" i="36"/>
  <c r="Q62" i="29"/>
  <c r="I60" i="38" s="1"/>
  <c r="Q65" i="29"/>
  <c r="I63" i="38" s="1"/>
  <c r="R47" i="29"/>
  <c r="R46" i="29"/>
  <c r="P73" i="29"/>
  <c r="P82" i="29" s="1"/>
  <c r="R68" i="29"/>
  <c r="R43" i="29"/>
  <c r="Q63" i="29"/>
  <c r="I61" i="38" s="1"/>
  <c r="R44" i="29"/>
  <c r="R69" i="29"/>
  <c r="I56" i="3"/>
  <c r="Q64" i="29"/>
  <c r="I62" i="38" s="1"/>
  <c r="J56" i="1"/>
  <c r="M34" i="3"/>
  <c r="K69" i="3"/>
  <c r="R69" i="3" s="1"/>
  <c r="F81" i="3"/>
  <c r="C79" i="13" s="1"/>
  <c r="C95" i="3"/>
  <c r="E73" i="3"/>
  <c r="H90" i="3"/>
  <c r="Q90" i="3" s="1"/>
  <c r="I88" i="13" s="1"/>
  <c r="J71" i="3"/>
  <c r="H78" i="3"/>
  <c r="Q78" i="3" s="1"/>
  <c r="I76" i="13" s="1"/>
  <c r="H84" i="3"/>
  <c r="Q84" i="3" s="1"/>
  <c r="I82" i="13" s="1"/>
  <c r="G92" i="3"/>
  <c r="H77" i="3"/>
  <c r="Q77" i="3" s="1"/>
  <c r="I75" i="13" s="1"/>
  <c r="K57" i="1"/>
  <c r="R57" i="36" s="1"/>
  <c r="K41" i="3"/>
  <c r="R40" i="3" s="1"/>
  <c r="F92" i="3"/>
  <c r="C90" i="13" s="1"/>
  <c r="H89" i="3"/>
  <c r="Q89" i="3" s="1"/>
  <c r="I87" i="13" s="1"/>
  <c r="H91" i="3"/>
  <c r="Q91" i="3" s="1"/>
  <c r="I89" i="13" s="1"/>
  <c r="K58" i="1"/>
  <c r="R58" i="36" s="1"/>
  <c r="K47" i="3"/>
  <c r="R46" i="3" s="1"/>
  <c r="J58" i="3"/>
  <c r="H79" i="3"/>
  <c r="Q79" i="3" s="1"/>
  <c r="I77" i="13" s="1"/>
  <c r="H85" i="3"/>
  <c r="Q85" i="3" s="1"/>
  <c r="I83" i="13" s="1"/>
  <c r="G81" i="3"/>
  <c r="F73" i="1"/>
  <c r="F66" i="3"/>
  <c r="C64" i="13" s="1"/>
  <c r="P73" i="3"/>
  <c r="K71" i="1"/>
  <c r="R71" i="36" s="1"/>
  <c r="K68" i="3"/>
  <c r="R68" i="3" s="1"/>
  <c r="J57" i="3"/>
  <c r="G66" i="3"/>
  <c r="G73" i="1"/>
  <c r="H83" i="3"/>
  <c r="Q83" i="3" s="1"/>
  <c r="I81" i="13" s="1"/>
  <c r="H88" i="3"/>
  <c r="Q88" i="3" s="1"/>
  <c r="I86" i="13" s="1"/>
  <c r="L68" i="1"/>
  <c r="L69" i="1"/>
  <c r="N4" i="1"/>
  <c r="N34" i="1" s="1"/>
  <c r="S34" i="36" s="1"/>
  <c r="U34" i="36" s="1"/>
  <c r="L41" i="1"/>
  <c r="L47" i="1"/>
  <c r="H81" i="1" l="1"/>
  <c r="Q81" i="36" s="1"/>
  <c r="H80" i="3"/>
  <c r="Q80" i="3" s="1"/>
  <c r="I78" i="13" s="1"/>
  <c r="H92" i="1"/>
  <c r="Q92" i="36" s="1"/>
  <c r="H86" i="3"/>
  <c r="Q86" i="3" s="1"/>
  <c r="I84" i="13" s="1"/>
  <c r="I79" i="1"/>
  <c r="H87" i="3"/>
  <c r="Q87" i="3" s="1"/>
  <c r="I85" i="13" s="1"/>
  <c r="K85" i="13" s="1"/>
  <c r="M85" i="13" s="1"/>
  <c r="K84" i="13"/>
  <c r="M84" i="13" s="1"/>
  <c r="J84" i="13"/>
  <c r="L84" i="13" s="1"/>
  <c r="J57" i="13"/>
  <c r="L57" i="13" s="1"/>
  <c r="K57" i="13"/>
  <c r="M57" i="13" s="1"/>
  <c r="K86" i="13"/>
  <c r="M86" i="13" s="1"/>
  <c r="J86" i="13"/>
  <c r="L86" i="13" s="1"/>
  <c r="K63" i="13"/>
  <c r="M63" i="13" s="1"/>
  <c r="J63" i="13"/>
  <c r="L63" i="13" s="1"/>
  <c r="K77" i="13"/>
  <c r="M77" i="13" s="1"/>
  <c r="J77" i="13"/>
  <c r="L77" i="13" s="1"/>
  <c r="E64" i="13"/>
  <c r="G64" i="13" s="1"/>
  <c r="D64" i="13"/>
  <c r="F64" i="13" s="1"/>
  <c r="J88" i="13"/>
  <c r="L88" i="13" s="1"/>
  <c r="K88" i="13"/>
  <c r="M88" i="13" s="1"/>
  <c r="J81" i="13"/>
  <c r="L81" i="13" s="1"/>
  <c r="K81" i="13"/>
  <c r="M81" i="13" s="1"/>
  <c r="K78" i="13"/>
  <c r="M78" i="13" s="1"/>
  <c r="J78" i="13"/>
  <c r="L78" i="13" s="1"/>
  <c r="J89" i="13"/>
  <c r="L89" i="13" s="1"/>
  <c r="K89" i="13"/>
  <c r="M89" i="13" s="1"/>
  <c r="H64" i="3"/>
  <c r="Q64" i="3" s="1"/>
  <c r="I62" i="13" s="1"/>
  <c r="K76" i="13"/>
  <c r="M76" i="13" s="1"/>
  <c r="J76" i="13"/>
  <c r="L76" i="13" s="1"/>
  <c r="K75" i="13"/>
  <c r="M75" i="13" s="1"/>
  <c r="J75" i="13"/>
  <c r="L75" i="13" s="1"/>
  <c r="K87" i="13"/>
  <c r="M87" i="13" s="1"/>
  <c r="J87" i="13"/>
  <c r="L87" i="13" s="1"/>
  <c r="J61" i="13"/>
  <c r="L61" i="13" s="1"/>
  <c r="K61" i="13"/>
  <c r="M61" i="13" s="1"/>
  <c r="H66" i="1"/>
  <c r="J83" i="13"/>
  <c r="L83" i="13" s="1"/>
  <c r="K83" i="13"/>
  <c r="M83" i="13" s="1"/>
  <c r="D90" i="13"/>
  <c r="F90" i="13" s="1"/>
  <c r="E90" i="13"/>
  <c r="G90" i="13" s="1"/>
  <c r="J82" i="13"/>
  <c r="L82" i="13" s="1"/>
  <c r="K82" i="13"/>
  <c r="M82" i="13" s="1"/>
  <c r="D79" i="13"/>
  <c r="F79" i="13" s="1"/>
  <c r="E79" i="13"/>
  <c r="G79" i="13" s="1"/>
  <c r="J60" i="13"/>
  <c r="L60" i="13" s="1"/>
  <c r="K60" i="13"/>
  <c r="M60" i="13" s="1"/>
  <c r="K61" i="38"/>
  <c r="M61" i="38" s="1"/>
  <c r="J61" i="38"/>
  <c r="L61" i="38" s="1"/>
  <c r="K63" i="38"/>
  <c r="M63" i="38" s="1"/>
  <c r="J63" i="38"/>
  <c r="L63" i="38" s="1"/>
  <c r="K62" i="38"/>
  <c r="M62" i="38" s="1"/>
  <c r="J62" i="38"/>
  <c r="L62" i="38" s="1"/>
  <c r="K60" i="38"/>
  <c r="M60" i="38" s="1"/>
  <c r="J60" i="38"/>
  <c r="L60" i="38" s="1"/>
  <c r="I85" i="1"/>
  <c r="I85" i="3" s="1"/>
  <c r="I89" i="1"/>
  <c r="I89" i="3" s="1"/>
  <c r="I88" i="1"/>
  <c r="I88" i="3" s="1"/>
  <c r="I77" i="1"/>
  <c r="I77" i="3" s="1"/>
  <c r="I63" i="1"/>
  <c r="I63" i="3" s="1"/>
  <c r="I87" i="1"/>
  <c r="I87" i="3" s="1"/>
  <c r="I65" i="1"/>
  <c r="I65" i="3" s="1"/>
  <c r="I90" i="1"/>
  <c r="I90" i="3" s="1"/>
  <c r="I84" i="1"/>
  <c r="I84" i="3" s="1"/>
  <c r="I78" i="1"/>
  <c r="I78" i="3" s="1"/>
  <c r="I91" i="1"/>
  <c r="I91" i="3" s="1"/>
  <c r="I80" i="1"/>
  <c r="I80" i="3" s="1"/>
  <c r="I62" i="1"/>
  <c r="I59" i="3"/>
  <c r="I83" i="1"/>
  <c r="I83" i="3" s="1"/>
  <c r="I64" i="1"/>
  <c r="I64" i="3" s="1"/>
  <c r="Q94" i="36"/>
  <c r="Q95" i="36" s="1"/>
  <c r="Q74" i="36"/>
  <c r="S47" i="36"/>
  <c r="U47" i="36" s="1"/>
  <c r="J56" i="3"/>
  <c r="R56" i="36"/>
  <c r="P83" i="29"/>
  <c r="P91" i="29"/>
  <c r="P92" i="29" s="1"/>
  <c r="J59" i="1"/>
  <c r="R58" i="29"/>
  <c r="R57" i="29"/>
  <c r="P74" i="29"/>
  <c r="S34" i="29"/>
  <c r="U34" i="29" s="1"/>
  <c r="R40" i="29"/>
  <c r="R39" i="29"/>
  <c r="R36" i="29"/>
  <c r="R37" i="29"/>
  <c r="R41" i="29"/>
  <c r="R71" i="29"/>
  <c r="Q66" i="29"/>
  <c r="I64" i="38" s="1"/>
  <c r="R41" i="3"/>
  <c r="R36" i="3"/>
  <c r="R39" i="3"/>
  <c r="H92" i="3"/>
  <c r="Q92" i="3" s="1"/>
  <c r="I90" i="13" s="1"/>
  <c r="I79" i="3"/>
  <c r="K56" i="1"/>
  <c r="K57" i="3"/>
  <c r="R57" i="3" s="1"/>
  <c r="E94" i="3"/>
  <c r="K58" i="3"/>
  <c r="R58" i="3" s="1"/>
  <c r="R43" i="3"/>
  <c r="R44" i="3"/>
  <c r="R47" i="3"/>
  <c r="L58" i="1"/>
  <c r="L47" i="3"/>
  <c r="F73" i="3"/>
  <c r="C71" i="13" s="1"/>
  <c r="F74" i="1"/>
  <c r="F94" i="1"/>
  <c r="L57" i="1"/>
  <c r="L41" i="3"/>
  <c r="E74" i="3"/>
  <c r="L69" i="3"/>
  <c r="I86" i="3"/>
  <c r="P74" i="3"/>
  <c r="P94" i="3"/>
  <c r="P95" i="3" s="1"/>
  <c r="H81" i="3"/>
  <c r="Q81" i="3" s="1"/>
  <c r="I79" i="13" s="1"/>
  <c r="R37" i="3"/>
  <c r="N34" i="3"/>
  <c r="S34" i="3" s="1"/>
  <c r="U34" i="3" s="1"/>
  <c r="O32" i="13" s="1"/>
  <c r="L68" i="3"/>
  <c r="G73" i="3"/>
  <c r="G74" i="1"/>
  <c r="G94" i="1"/>
  <c r="K71" i="3"/>
  <c r="R71" i="3" s="1"/>
  <c r="L71" i="1"/>
  <c r="N68" i="1"/>
  <c r="N69" i="1"/>
  <c r="M68" i="1"/>
  <c r="S68" i="36" s="1"/>
  <c r="U68" i="36" s="1"/>
  <c r="M69" i="1"/>
  <c r="S69" i="36" s="1"/>
  <c r="U69" i="36" s="1"/>
  <c r="M47" i="1"/>
  <c r="S46" i="36" s="1"/>
  <c r="U46" i="36" s="1"/>
  <c r="M41" i="1"/>
  <c r="S37" i="36" s="1"/>
  <c r="N47" i="1"/>
  <c r="N41" i="1"/>
  <c r="J85" i="13" l="1"/>
  <c r="L85" i="13" s="1"/>
  <c r="K62" i="13"/>
  <c r="M62" i="13" s="1"/>
  <c r="J62" i="13"/>
  <c r="L62" i="13" s="1"/>
  <c r="Q32" i="13"/>
  <c r="P32" i="13"/>
  <c r="J90" i="13"/>
  <c r="L90" i="13" s="1"/>
  <c r="K90" i="13"/>
  <c r="M90" i="13" s="1"/>
  <c r="D71" i="13"/>
  <c r="E71" i="13"/>
  <c r="H73" i="1"/>
  <c r="H66" i="3"/>
  <c r="Q66" i="3" s="1"/>
  <c r="J79" i="13"/>
  <c r="L79" i="13" s="1"/>
  <c r="K79" i="13"/>
  <c r="M79" i="13" s="1"/>
  <c r="J64" i="38"/>
  <c r="L64" i="38" s="1"/>
  <c r="K64" i="38"/>
  <c r="M64" i="38" s="1"/>
  <c r="I66" i="1"/>
  <c r="I73" i="1" s="1"/>
  <c r="I62" i="3"/>
  <c r="I81" i="1"/>
  <c r="I92" i="1"/>
  <c r="I92" i="3" s="1"/>
  <c r="S36" i="36"/>
  <c r="J79" i="1"/>
  <c r="S41" i="36"/>
  <c r="U41" i="36" s="1"/>
  <c r="S44" i="36"/>
  <c r="U44" i="36" s="1"/>
  <c r="S40" i="36"/>
  <c r="S43" i="36"/>
  <c r="U43" i="36" s="1"/>
  <c r="S39" i="36"/>
  <c r="J83" i="1"/>
  <c r="J83" i="3" s="1"/>
  <c r="J89" i="1"/>
  <c r="J84" i="1"/>
  <c r="J84" i="3" s="1"/>
  <c r="J65" i="1"/>
  <c r="J87" i="1"/>
  <c r="J62" i="1"/>
  <c r="J90" i="1"/>
  <c r="J63" i="1"/>
  <c r="J78" i="1"/>
  <c r="J78" i="3" s="1"/>
  <c r="J80" i="1"/>
  <c r="J64" i="1"/>
  <c r="J91" i="1"/>
  <c r="J86" i="1"/>
  <c r="J85" i="1"/>
  <c r="J59" i="3"/>
  <c r="J77" i="1"/>
  <c r="J88" i="1"/>
  <c r="L56" i="1"/>
  <c r="Q73" i="29"/>
  <c r="I71" i="38" s="1"/>
  <c r="R56" i="29"/>
  <c r="S69" i="29"/>
  <c r="U69" i="29" s="1"/>
  <c r="S68" i="29"/>
  <c r="U68" i="29" s="1"/>
  <c r="S47" i="29"/>
  <c r="U47" i="29" s="1"/>
  <c r="N69" i="3"/>
  <c r="N68" i="3"/>
  <c r="L58" i="3"/>
  <c r="M68" i="3"/>
  <c r="L71" i="3"/>
  <c r="J79" i="3"/>
  <c r="L57" i="3"/>
  <c r="E95" i="3"/>
  <c r="N57" i="1"/>
  <c r="N41" i="3"/>
  <c r="N58" i="1"/>
  <c r="N47" i="3"/>
  <c r="G95" i="1"/>
  <c r="G94" i="3"/>
  <c r="F95" i="1"/>
  <c r="F94" i="3"/>
  <c r="C92" i="13" s="1"/>
  <c r="M58" i="1"/>
  <c r="S58" i="36" s="1"/>
  <c r="U58" i="36" s="1"/>
  <c r="M47" i="3"/>
  <c r="M57" i="1"/>
  <c r="S57" i="36" s="1"/>
  <c r="U57" i="36" s="1"/>
  <c r="M41" i="3"/>
  <c r="M69" i="3"/>
  <c r="I81" i="3"/>
  <c r="G74" i="3"/>
  <c r="F74" i="3"/>
  <c r="C72" i="13" s="1"/>
  <c r="K59" i="1"/>
  <c r="K56" i="3"/>
  <c r="R56" i="3" s="1"/>
  <c r="N71" i="1"/>
  <c r="M71" i="1"/>
  <c r="S71" i="36" s="1"/>
  <c r="U71" i="36" s="1"/>
  <c r="E92" i="13" l="1"/>
  <c r="D92" i="13"/>
  <c r="I66" i="3"/>
  <c r="Q73" i="3"/>
  <c r="I64" i="13"/>
  <c r="E72" i="13"/>
  <c r="D72" i="13"/>
  <c r="H94" i="1"/>
  <c r="H73" i="3"/>
  <c r="H74" i="1"/>
  <c r="H74" i="3" s="1"/>
  <c r="Q82" i="29"/>
  <c r="I79" i="38" s="1"/>
  <c r="J62" i="3"/>
  <c r="U39" i="36"/>
  <c r="R59" i="36"/>
  <c r="R79" i="36"/>
  <c r="J91" i="3"/>
  <c r="J64" i="3"/>
  <c r="U36" i="36"/>
  <c r="S56" i="36"/>
  <c r="U56" i="36" s="1"/>
  <c r="J80" i="3"/>
  <c r="J89" i="3"/>
  <c r="R83" i="36"/>
  <c r="U40" i="36"/>
  <c r="I73" i="3"/>
  <c r="U37" i="36"/>
  <c r="J65" i="3"/>
  <c r="J87" i="3"/>
  <c r="J90" i="3"/>
  <c r="J66" i="1"/>
  <c r="Q91" i="29"/>
  <c r="Q83" i="29"/>
  <c r="I80" i="38" s="1"/>
  <c r="J63" i="3"/>
  <c r="J86" i="3"/>
  <c r="J85" i="3"/>
  <c r="J92" i="1"/>
  <c r="J88" i="3"/>
  <c r="J81" i="1"/>
  <c r="L56" i="3"/>
  <c r="L59" i="1"/>
  <c r="S37" i="3"/>
  <c r="J77" i="3"/>
  <c r="S36" i="29"/>
  <c r="S41" i="29"/>
  <c r="U41" i="29" s="1"/>
  <c r="S40" i="3"/>
  <c r="S37" i="29"/>
  <c r="S39" i="29"/>
  <c r="S44" i="29"/>
  <c r="U44" i="29" s="1"/>
  <c r="S40" i="29"/>
  <c r="S43" i="29"/>
  <c r="U43" i="29" s="1"/>
  <c r="S57" i="29"/>
  <c r="U57" i="29" s="1"/>
  <c r="S46" i="29"/>
  <c r="U46" i="29" s="1"/>
  <c r="Q74" i="29"/>
  <c r="I72" i="38" s="1"/>
  <c r="S58" i="29"/>
  <c r="U58" i="29" s="1"/>
  <c r="R59" i="29"/>
  <c r="S44" i="3"/>
  <c r="I74" i="1"/>
  <c r="I94" i="1"/>
  <c r="S69" i="3"/>
  <c r="U69" i="3" s="1"/>
  <c r="O67" i="13" s="1"/>
  <c r="S68" i="3"/>
  <c r="U68" i="3" s="1"/>
  <c r="O66" i="13" s="1"/>
  <c r="N71" i="3"/>
  <c r="N58" i="3"/>
  <c r="S39" i="3"/>
  <c r="M57" i="3"/>
  <c r="M56" i="1"/>
  <c r="K90" i="1"/>
  <c r="R90" i="36" s="1"/>
  <c r="K88" i="1"/>
  <c r="R88" i="36" s="1"/>
  <c r="K86" i="1"/>
  <c r="R86" i="36" s="1"/>
  <c r="K84" i="1"/>
  <c r="R84" i="36" s="1"/>
  <c r="K83" i="1"/>
  <c r="K80" i="1"/>
  <c r="K87" i="1"/>
  <c r="R87" i="36" s="1"/>
  <c r="K79" i="1"/>
  <c r="K59" i="3"/>
  <c r="R59" i="3" s="1"/>
  <c r="K89" i="1"/>
  <c r="K78" i="1"/>
  <c r="R78" i="36" s="1"/>
  <c r="K77" i="1"/>
  <c r="R77" i="36" s="1"/>
  <c r="K85" i="1"/>
  <c r="R85" i="36" s="1"/>
  <c r="K91" i="1"/>
  <c r="K64" i="1"/>
  <c r="K65" i="1"/>
  <c r="R65" i="36" s="1"/>
  <c r="K63" i="1"/>
  <c r="R63" i="36" s="1"/>
  <c r="K62" i="1"/>
  <c r="S41" i="3"/>
  <c r="U41" i="3" s="1"/>
  <c r="O39" i="13" s="1"/>
  <c r="M71" i="3"/>
  <c r="G95" i="3"/>
  <c r="N56" i="1"/>
  <c r="N57" i="3"/>
  <c r="S46" i="3"/>
  <c r="M58" i="3"/>
  <c r="S47" i="3"/>
  <c r="U47" i="3" s="1"/>
  <c r="O45" i="13" s="1"/>
  <c r="F95" i="3"/>
  <c r="C93" i="13" s="1"/>
  <c r="S43" i="3"/>
  <c r="S36" i="3"/>
  <c r="H94" i="3" l="1"/>
  <c r="H95" i="1"/>
  <c r="H95" i="3" s="1"/>
  <c r="Q92" i="29"/>
  <c r="I89" i="38" s="1"/>
  <c r="I88" i="38"/>
  <c r="K64" i="13"/>
  <c r="M64" i="13" s="1"/>
  <c r="J64" i="13"/>
  <c r="L64" i="13" s="1"/>
  <c r="E93" i="13"/>
  <c r="D93" i="13"/>
  <c r="I71" i="13"/>
  <c r="Q94" i="3"/>
  <c r="Q74" i="3"/>
  <c r="I72" i="13" s="1"/>
  <c r="P45" i="13"/>
  <c r="R45" i="13" s="1"/>
  <c r="Q45" i="13"/>
  <c r="S45" i="13" s="1"/>
  <c r="P66" i="13"/>
  <c r="R66" i="13" s="1"/>
  <c r="Q66" i="13"/>
  <c r="S66" i="13" s="1"/>
  <c r="J79" i="38"/>
  <c r="K79" i="38"/>
  <c r="K80" i="38"/>
  <c r="J80" i="38"/>
  <c r="Q39" i="13"/>
  <c r="S39" i="13" s="1"/>
  <c r="P39" i="13"/>
  <c r="R39" i="13" s="1"/>
  <c r="Q67" i="13"/>
  <c r="S67" i="13" s="1"/>
  <c r="P67" i="13"/>
  <c r="R67" i="13" s="1"/>
  <c r="K72" i="38"/>
  <c r="J72" i="38"/>
  <c r="K71" i="38"/>
  <c r="J71" i="38"/>
  <c r="J92" i="3"/>
  <c r="L63" i="1"/>
  <c r="R89" i="36"/>
  <c r="R64" i="36"/>
  <c r="R62" i="36"/>
  <c r="J81" i="3"/>
  <c r="R81" i="36"/>
  <c r="R66" i="36"/>
  <c r="R80" i="36"/>
  <c r="R91" i="36"/>
  <c r="J66" i="3"/>
  <c r="J73" i="1"/>
  <c r="J74" i="1" s="1"/>
  <c r="L84" i="1"/>
  <c r="L84" i="3" s="1"/>
  <c r="L78" i="1"/>
  <c r="L87" i="1"/>
  <c r="L59" i="3"/>
  <c r="L83" i="1"/>
  <c r="L86" i="1"/>
  <c r="L62" i="1"/>
  <c r="L77" i="1"/>
  <c r="L89" i="1"/>
  <c r="L90" i="1"/>
  <c r="L88" i="1"/>
  <c r="L91" i="1"/>
  <c r="L80" i="1"/>
  <c r="L79" i="1"/>
  <c r="L85" i="1"/>
  <c r="L65" i="1"/>
  <c r="L64" i="1"/>
  <c r="U36" i="3"/>
  <c r="O34" i="13" s="1"/>
  <c r="U43" i="3"/>
  <c r="O41" i="13" s="1"/>
  <c r="U40" i="29"/>
  <c r="U37" i="29"/>
  <c r="S71" i="29"/>
  <c r="U71" i="29" s="1"/>
  <c r="U39" i="29"/>
  <c r="U36" i="29"/>
  <c r="S58" i="3"/>
  <c r="U58" i="3" s="1"/>
  <c r="O56" i="13" s="1"/>
  <c r="R62" i="29"/>
  <c r="R63" i="29"/>
  <c r="I95" i="1"/>
  <c r="I94" i="3"/>
  <c r="R65" i="29"/>
  <c r="I74" i="3"/>
  <c r="R64" i="29"/>
  <c r="S57" i="3"/>
  <c r="U57" i="3" s="1"/>
  <c r="O55" i="13" s="1"/>
  <c r="S71" i="3"/>
  <c r="U71" i="3" s="1"/>
  <c r="O69" i="13" s="1"/>
  <c r="K91" i="3"/>
  <c r="R91" i="3" s="1"/>
  <c r="M59" i="1"/>
  <c r="M56" i="3"/>
  <c r="K65" i="3"/>
  <c r="R65" i="3" s="1"/>
  <c r="K79" i="3"/>
  <c r="R79" i="3" s="1"/>
  <c r="U40" i="3"/>
  <c r="O38" i="13" s="1"/>
  <c r="N59" i="1"/>
  <c r="N56" i="3"/>
  <c r="K64" i="3"/>
  <c r="R64" i="3" s="1"/>
  <c r="K87" i="3"/>
  <c r="R87" i="3" s="1"/>
  <c r="K85" i="3"/>
  <c r="R85" i="3" s="1"/>
  <c r="K83" i="3"/>
  <c r="R83" i="3" s="1"/>
  <c r="K92" i="1"/>
  <c r="K80" i="3"/>
  <c r="R80" i="3" s="1"/>
  <c r="U46" i="3"/>
  <c r="O44" i="13" s="1"/>
  <c r="K77" i="3"/>
  <c r="R77" i="3" s="1"/>
  <c r="K81" i="1"/>
  <c r="K84" i="3"/>
  <c r="R84" i="3" s="1"/>
  <c r="U37" i="3"/>
  <c r="O35" i="13" s="1"/>
  <c r="K78" i="3"/>
  <c r="R78" i="3" s="1"/>
  <c r="K86" i="3"/>
  <c r="R86" i="3" s="1"/>
  <c r="J73" i="3"/>
  <c r="K62" i="3"/>
  <c r="R62" i="3" s="1"/>
  <c r="K66" i="1"/>
  <c r="K89" i="3"/>
  <c r="R89" i="3" s="1"/>
  <c r="K88" i="3"/>
  <c r="R88" i="3" s="1"/>
  <c r="K63" i="3"/>
  <c r="R63" i="3" s="1"/>
  <c r="K90" i="3"/>
  <c r="R90" i="3" s="1"/>
  <c r="U39" i="3"/>
  <c r="O37" i="13" s="1"/>
  <c r="U44" i="3"/>
  <c r="O42" i="13" s="1"/>
  <c r="Q44" i="13" l="1"/>
  <c r="S44" i="13" s="1"/>
  <c r="P44" i="13"/>
  <c r="R44" i="13" s="1"/>
  <c r="Q35" i="13"/>
  <c r="S35" i="13" s="1"/>
  <c r="P35" i="13"/>
  <c r="R35" i="13" s="1"/>
  <c r="Q56" i="13"/>
  <c r="S56" i="13" s="1"/>
  <c r="P56" i="13"/>
  <c r="R56" i="13" s="1"/>
  <c r="K88" i="38"/>
  <c r="J88" i="38"/>
  <c r="Q38" i="13"/>
  <c r="S38" i="13" s="1"/>
  <c r="P38" i="13"/>
  <c r="R38" i="13" s="1"/>
  <c r="K72" i="13"/>
  <c r="J72" i="13"/>
  <c r="J89" i="38"/>
  <c r="K89" i="38"/>
  <c r="P55" i="13"/>
  <c r="R55" i="13" s="1"/>
  <c r="Q55" i="13"/>
  <c r="S55" i="13" s="1"/>
  <c r="Q42" i="13"/>
  <c r="S42" i="13" s="1"/>
  <c r="P42" i="13"/>
  <c r="R42" i="13" s="1"/>
  <c r="J94" i="1"/>
  <c r="Q41" i="13"/>
  <c r="S41" i="13" s="1"/>
  <c r="P41" i="13"/>
  <c r="R41" i="13" s="1"/>
  <c r="Q95" i="3"/>
  <c r="I93" i="13" s="1"/>
  <c r="I92" i="13"/>
  <c r="P37" i="13"/>
  <c r="R37" i="13" s="1"/>
  <c r="Q37" i="13"/>
  <c r="S37" i="13" s="1"/>
  <c r="Q69" i="13"/>
  <c r="S69" i="13" s="1"/>
  <c r="P69" i="13"/>
  <c r="R69" i="13" s="1"/>
  <c r="P34" i="13"/>
  <c r="R34" i="13" s="1"/>
  <c r="Q34" i="13"/>
  <c r="S34" i="13" s="1"/>
  <c r="J71" i="13"/>
  <c r="K71" i="13"/>
  <c r="Q69" i="38"/>
  <c r="S69" i="38" s="1"/>
  <c r="P69" i="38"/>
  <c r="R69" i="38" s="1"/>
  <c r="L88" i="3"/>
  <c r="L90" i="3"/>
  <c r="L87" i="3"/>
  <c r="L78" i="3"/>
  <c r="R73" i="36"/>
  <c r="S63" i="36"/>
  <c r="U63" i="36" s="1"/>
  <c r="L65" i="3"/>
  <c r="L62" i="3"/>
  <c r="R92" i="36"/>
  <c r="L63" i="3"/>
  <c r="S59" i="36"/>
  <c r="L86" i="3"/>
  <c r="L77" i="3"/>
  <c r="L91" i="3"/>
  <c r="L81" i="1"/>
  <c r="L80" i="3"/>
  <c r="L83" i="3"/>
  <c r="L85" i="3"/>
  <c r="L79" i="3"/>
  <c r="L66" i="1"/>
  <c r="L89" i="3"/>
  <c r="L92" i="1"/>
  <c r="L92" i="3" s="1"/>
  <c r="L64" i="3"/>
  <c r="S56" i="29"/>
  <c r="U56" i="29" s="1"/>
  <c r="I95" i="3"/>
  <c r="R66" i="29"/>
  <c r="J95" i="1"/>
  <c r="J94" i="3"/>
  <c r="J74" i="3"/>
  <c r="K92" i="3"/>
  <c r="R92" i="3" s="1"/>
  <c r="S56" i="3"/>
  <c r="U56" i="3" s="1"/>
  <c r="O54" i="13" s="1"/>
  <c r="K81" i="3"/>
  <c r="R81" i="3" s="1"/>
  <c r="M89" i="1"/>
  <c r="S89" i="36" s="1"/>
  <c r="U89" i="36" s="1"/>
  <c r="M86" i="1"/>
  <c r="S86" i="36" s="1"/>
  <c r="U86" i="36" s="1"/>
  <c r="M78" i="1"/>
  <c r="M85" i="1"/>
  <c r="S85" i="36" s="1"/>
  <c r="U85" i="36" s="1"/>
  <c r="M80" i="1"/>
  <c r="S80" i="36" s="1"/>
  <c r="U80" i="36" s="1"/>
  <c r="M91" i="1"/>
  <c r="S91" i="36" s="1"/>
  <c r="U91" i="36" s="1"/>
  <c r="M88" i="1"/>
  <c r="M59" i="3"/>
  <c r="M87" i="1"/>
  <c r="M84" i="1"/>
  <c r="M79" i="1"/>
  <c r="M77" i="1"/>
  <c r="M90" i="1"/>
  <c r="M83" i="1"/>
  <c r="S83" i="36" s="1"/>
  <c r="U83" i="36" s="1"/>
  <c r="M62" i="1"/>
  <c r="S62" i="36" s="1"/>
  <c r="U62" i="36" s="1"/>
  <c r="M63" i="1"/>
  <c r="M64" i="1"/>
  <c r="S64" i="36" s="1"/>
  <c r="U64" i="36" s="1"/>
  <c r="M65" i="1"/>
  <c r="K73" i="1"/>
  <c r="K66" i="3"/>
  <c r="R66" i="3" s="1"/>
  <c r="N89" i="1"/>
  <c r="N86" i="1"/>
  <c r="N83" i="1"/>
  <c r="N78" i="1"/>
  <c r="N85" i="1"/>
  <c r="N80" i="1"/>
  <c r="N91" i="1"/>
  <c r="N88" i="1"/>
  <c r="N87" i="1"/>
  <c r="N84" i="1"/>
  <c r="N79" i="1"/>
  <c r="S79" i="36" s="1"/>
  <c r="U79" i="36" s="1"/>
  <c r="N59" i="3"/>
  <c r="N90" i="1"/>
  <c r="N77" i="1"/>
  <c r="S77" i="36" s="1"/>
  <c r="U77" i="36" s="1"/>
  <c r="N62" i="1"/>
  <c r="N64" i="1"/>
  <c r="N65" i="1"/>
  <c r="N63" i="1"/>
  <c r="K93" i="13" l="1"/>
  <c r="J93" i="13"/>
  <c r="Q54" i="13"/>
  <c r="S54" i="13" s="1"/>
  <c r="P54" i="13"/>
  <c r="R54" i="13" s="1"/>
  <c r="J92" i="13"/>
  <c r="K92" i="13"/>
  <c r="R74" i="36"/>
  <c r="R94" i="36"/>
  <c r="R95" i="36" s="1"/>
  <c r="S87" i="36"/>
  <c r="U87" i="36" s="1"/>
  <c r="U59" i="36"/>
  <c r="S84" i="36"/>
  <c r="U84" i="36" s="1"/>
  <c r="S90" i="36"/>
  <c r="U90" i="36" s="1"/>
  <c r="S78" i="36"/>
  <c r="U78" i="36" s="1"/>
  <c r="L73" i="1"/>
  <c r="L74" i="1" s="1"/>
  <c r="S65" i="36"/>
  <c r="U65" i="36" s="1"/>
  <c r="S88" i="36"/>
  <c r="U88" i="36" s="1"/>
  <c r="L81" i="3"/>
  <c r="L66" i="3"/>
  <c r="S59" i="29"/>
  <c r="U59" i="29" s="1"/>
  <c r="O57" i="38" s="1"/>
  <c r="R73" i="29"/>
  <c r="R82" i="29" s="1"/>
  <c r="N64" i="3"/>
  <c r="M85" i="3"/>
  <c r="N66" i="1"/>
  <c r="N62" i="3"/>
  <c r="N91" i="3"/>
  <c r="M79" i="3"/>
  <c r="M78" i="3"/>
  <c r="J95" i="3"/>
  <c r="M77" i="3"/>
  <c r="M81" i="1"/>
  <c r="S81" i="36" s="1"/>
  <c r="U81" i="36" s="1"/>
  <c r="M65" i="3"/>
  <c r="M84" i="3"/>
  <c r="M86" i="3"/>
  <c r="N88" i="3"/>
  <c r="K73" i="3"/>
  <c r="K74" i="1"/>
  <c r="K94" i="1"/>
  <c r="M87" i="3"/>
  <c r="M89" i="3"/>
  <c r="R73" i="3"/>
  <c r="N80" i="3"/>
  <c r="S59" i="3"/>
  <c r="N81" i="1"/>
  <c r="N77" i="3"/>
  <c r="N78" i="3"/>
  <c r="M63" i="3"/>
  <c r="N79" i="3"/>
  <c r="N83" i="3"/>
  <c r="N92" i="1"/>
  <c r="M66" i="1"/>
  <c r="M62" i="3"/>
  <c r="M88" i="3"/>
  <c r="N85" i="3"/>
  <c r="M91" i="3"/>
  <c r="N90" i="3"/>
  <c r="M64" i="3"/>
  <c r="N63" i="3"/>
  <c r="N84" i="3"/>
  <c r="N86" i="3"/>
  <c r="M83" i="3"/>
  <c r="M92" i="1"/>
  <c r="S92" i="36" s="1"/>
  <c r="U92" i="36" s="1"/>
  <c r="N65" i="3"/>
  <c r="N87" i="3"/>
  <c r="N89" i="3"/>
  <c r="M90" i="3"/>
  <c r="M80" i="3"/>
  <c r="Q57" i="38" l="1"/>
  <c r="S57" i="38" s="1"/>
  <c r="P57" i="38"/>
  <c r="R57" i="38" s="1"/>
  <c r="S66" i="36"/>
  <c r="L73" i="3"/>
  <c r="L94" i="1"/>
  <c r="L95" i="1" s="1"/>
  <c r="R83" i="29"/>
  <c r="R91" i="29"/>
  <c r="R92" i="29" s="1"/>
  <c r="S64" i="29"/>
  <c r="U64" i="29" s="1"/>
  <c r="O62" i="38" s="1"/>
  <c r="S64" i="3"/>
  <c r="U64" i="3" s="1"/>
  <c r="O62" i="13" s="1"/>
  <c r="S88" i="3"/>
  <c r="U88" i="3" s="1"/>
  <c r="O86" i="13" s="1"/>
  <c r="S78" i="3"/>
  <c r="U78" i="3" s="1"/>
  <c r="O76" i="13" s="1"/>
  <c r="S80" i="3"/>
  <c r="U80" i="3" s="1"/>
  <c r="O78" i="13" s="1"/>
  <c r="L74" i="3"/>
  <c r="R74" i="29"/>
  <c r="S63" i="29"/>
  <c r="U63" i="29" s="1"/>
  <c r="O61" i="38" s="1"/>
  <c r="S65" i="29"/>
  <c r="U65" i="29" s="1"/>
  <c r="O63" i="38" s="1"/>
  <c r="S62" i="29"/>
  <c r="U62" i="29" s="1"/>
  <c r="O60" i="38" s="1"/>
  <c r="S63" i="3"/>
  <c r="U63" i="3" s="1"/>
  <c r="O61" i="13" s="1"/>
  <c r="S84" i="3"/>
  <c r="U84" i="3" s="1"/>
  <c r="O82" i="13" s="1"/>
  <c r="S83" i="3"/>
  <c r="U83" i="3" s="1"/>
  <c r="O81" i="13" s="1"/>
  <c r="S91" i="3"/>
  <c r="U91" i="3" s="1"/>
  <c r="O89" i="13" s="1"/>
  <c r="S87" i="3"/>
  <c r="U87" i="3" s="1"/>
  <c r="O85" i="13" s="1"/>
  <c r="S90" i="3"/>
  <c r="U90" i="3" s="1"/>
  <c r="O88" i="13" s="1"/>
  <c r="M73" i="1"/>
  <c r="M66" i="3"/>
  <c r="M81" i="3"/>
  <c r="N73" i="1"/>
  <c r="N66" i="3"/>
  <c r="N92" i="3"/>
  <c r="R74" i="3"/>
  <c r="R94" i="3"/>
  <c r="R95" i="3" s="1"/>
  <c r="S77" i="3"/>
  <c r="U77" i="3" s="1"/>
  <c r="O75" i="13" s="1"/>
  <c r="S85" i="3"/>
  <c r="U85" i="3" s="1"/>
  <c r="O83" i="13" s="1"/>
  <c r="N81" i="3"/>
  <c r="S79" i="3"/>
  <c r="U79" i="3" s="1"/>
  <c r="O77" i="13" s="1"/>
  <c r="S65" i="3"/>
  <c r="U65" i="3" s="1"/>
  <c r="O63" i="13" s="1"/>
  <c r="M92" i="3"/>
  <c r="K95" i="1"/>
  <c r="K94" i="3"/>
  <c r="S62" i="3"/>
  <c r="U62" i="3" s="1"/>
  <c r="O60" i="13" s="1"/>
  <c r="U59" i="3"/>
  <c r="O57" i="13" s="1"/>
  <c r="K74" i="3"/>
  <c r="S86" i="3"/>
  <c r="U86" i="3" s="1"/>
  <c r="O84" i="13" s="1"/>
  <c r="S89" i="3"/>
  <c r="U89" i="3" s="1"/>
  <c r="O87" i="13" s="1"/>
  <c r="Q60" i="13" l="1"/>
  <c r="S60" i="13" s="1"/>
  <c r="P60" i="13"/>
  <c r="R60" i="13" s="1"/>
  <c r="Q89" i="13"/>
  <c r="S89" i="13" s="1"/>
  <c r="P89" i="13"/>
  <c r="R89" i="13" s="1"/>
  <c r="P88" i="13"/>
  <c r="R88" i="13" s="1"/>
  <c r="Q88" i="13"/>
  <c r="S88" i="13" s="1"/>
  <c r="Q81" i="13"/>
  <c r="S81" i="13" s="1"/>
  <c r="P81" i="13"/>
  <c r="R81" i="13" s="1"/>
  <c r="Q78" i="13"/>
  <c r="S78" i="13" s="1"/>
  <c r="P78" i="13"/>
  <c r="R78" i="13" s="1"/>
  <c r="Q85" i="13"/>
  <c r="S85" i="13" s="1"/>
  <c r="P85" i="13"/>
  <c r="R85" i="13" s="1"/>
  <c r="P63" i="13"/>
  <c r="R63" i="13" s="1"/>
  <c r="Q63" i="13"/>
  <c r="S63" i="13" s="1"/>
  <c r="Q84" i="13"/>
  <c r="S84" i="13" s="1"/>
  <c r="P84" i="13"/>
  <c r="R84" i="13" s="1"/>
  <c r="P77" i="13"/>
  <c r="R77" i="13" s="1"/>
  <c r="Q77" i="13"/>
  <c r="S77" i="13" s="1"/>
  <c r="Q82" i="13"/>
  <c r="S82" i="13" s="1"/>
  <c r="P82" i="13"/>
  <c r="R82" i="13" s="1"/>
  <c r="Q76" i="13"/>
  <c r="S76" i="13" s="1"/>
  <c r="P76" i="13"/>
  <c r="R76" i="13" s="1"/>
  <c r="P87" i="13"/>
  <c r="R87" i="13" s="1"/>
  <c r="Q87" i="13"/>
  <c r="S87" i="13" s="1"/>
  <c r="P61" i="13"/>
  <c r="R61" i="13" s="1"/>
  <c r="Q61" i="13"/>
  <c r="S61" i="13" s="1"/>
  <c r="Q86" i="13"/>
  <c r="S86" i="13" s="1"/>
  <c r="P86" i="13"/>
  <c r="R86" i="13" s="1"/>
  <c r="Q75" i="13"/>
  <c r="S75" i="13" s="1"/>
  <c r="P75" i="13"/>
  <c r="R75" i="13" s="1"/>
  <c r="Q57" i="13"/>
  <c r="S57" i="13" s="1"/>
  <c r="P57" i="13"/>
  <c r="R57" i="13" s="1"/>
  <c r="P83" i="13"/>
  <c r="R83" i="13" s="1"/>
  <c r="Q83" i="13"/>
  <c r="S83" i="13" s="1"/>
  <c r="Q62" i="13"/>
  <c r="S62" i="13" s="1"/>
  <c r="P62" i="13"/>
  <c r="R62" i="13" s="1"/>
  <c r="Q62" i="38"/>
  <c r="S62" i="38" s="1"/>
  <c r="P62" i="38"/>
  <c r="R62" i="38" s="1"/>
  <c r="P63" i="38"/>
  <c r="R63" i="38" s="1"/>
  <c r="Q63" i="38"/>
  <c r="S63" i="38" s="1"/>
  <c r="P61" i="38"/>
  <c r="R61" i="38" s="1"/>
  <c r="Q61" i="38"/>
  <c r="S61" i="38" s="1"/>
  <c r="Q60" i="38"/>
  <c r="S60" i="38" s="1"/>
  <c r="P60" i="38"/>
  <c r="R60" i="38" s="1"/>
  <c r="L95" i="3"/>
  <c r="L94" i="3"/>
  <c r="U66" i="36"/>
  <c r="U73" i="36" s="1"/>
  <c r="S73" i="36"/>
  <c r="S66" i="29"/>
  <c r="S66" i="3"/>
  <c r="U66" i="3" s="1"/>
  <c r="K95" i="3"/>
  <c r="S92" i="3"/>
  <c r="U92" i="3" s="1"/>
  <c r="O90" i="13" s="1"/>
  <c r="N73" i="3"/>
  <c r="N74" i="1"/>
  <c r="N94" i="1"/>
  <c r="S81" i="3"/>
  <c r="U81" i="3" s="1"/>
  <c r="O79" i="13" s="1"/>
  <c r="M73" i="3"/>
  <c r="M74" i="1"/>
  <c r="M94" i="1"/>
  <c r="P79" i="13" l="1"/>
  <c r="R79" i="13" s="1"/>
  <c r="Q79" i="13"/>
  <c r="S79" i="13" s="1"/>
  <c r="Q90" i="13"/>
  <c r="S90" i="13" s="1"/>
  <c r="P90" i="13"/>
  <c r="R90" i="13" s="1"/>
  <c r="U73" i="3"/>
  <c r="O64" i="13"/>
  <c r="U74" i="36"/>
  <c r="U94" i="36"/>
  <c r="U95" i="36" s="1"/>
  <c r="S94" i="36"/>
  <c r="S95" i="36" s="1"/>
  <c r="S74" i="36"/>
  <c r="S73" i="3"/>
  <c r="S74" i="3" s="1"/>
  <c r="U66" i="29"/>
  <c r="O64" i="38" s="1"/>
  <c r="S73" i="29"/>
  <c r="S82" i="29" s="1"/>
  <c r="U94" i="3"/>
  <c r="M74" i="3"/>
  <c r="N74" i="3"/>
  <c r="M95" i="1"/>
  <c r="M94" i="3"/>
  <c r="N95" i="1"/>
  <c r="N94" i="3"/>
  <c r="U95" i="3" l="1"/>
  <c r="O93" i="13" s="1"/>
  <c r="O92" i="13"/>
  <c r="U74" i="3"/>
  <c r="O72" i="13" s="1"/>
  <c r="O71" i="13"/>
  <c r="Q64" i="13"/>
  <c r="S64" i="13" s="1"/>
  <c r="P64" i="13"/>
  <c r="R64" i="13" s="1"/>
  <c r="U73" i="29"/>
  <c r="O71" i="38" s="1"/>
  <c r="S94" i="3"/>
  <c r="S95" i="3" s="1"/>
  <c r="S91" i="29"/>
  <c r="S92" i="29" s="1"/>
  <c r="S83" i="29"/>
  <c r="S74" i="29"/>
  <c r="N95" i="3"/>
  <c r="M95" i="3"/>
  <c r="Q93" i="13" l="1"/>
  <c r="P93" i="13"/>
  <c r="U74" i="29"/>
  <c r="O72" i="38" s="1"/>
  <c r="Q72" i="38" s="1"/>
  <c r="Q71" i="13"/>
  <c r="P71" i="13"/>
  <c r="P72" i="13"/>
  <c r="Q72" i="13"/>
  <c r="P92" i="13"/>
  <c r="Q92" i="13"/>
  <c r="P64" i="38"/>
  <c r="R64" i="38" s="1"/>
  <c r="Q64" i="38"/>
  <c r="S64" i="38" s="1"/>
  <c r="U82" i="29"/>
  <c r="O79" i="38" s="1"/>
  <c r="P72" i="38" l="1"/>
  <c r="Q79" i="38"/>
  <c r="P79" i="38"/>
  <c r="U91" i="29"/>
  <c r="U83" i="29"/>
  <c r="O80" i="38" s="1"/>
  <c r="Q71" i="38"/>
  <c r="P71" i="38"/>
  <c r="Q80" i="38" l="1"/>
  <c r="P80" i="38"/>
  <c r="U92" i="29"/>
  <c r="O89" i="38" s="1"/>
  <c r="O88" i="38"/>
  <c r="Q89" i="38" l="1"/>
  <c r="P89" i="38"/>
  <c r="Q88" i="38"/>
  <c r="P88" i="38"/>
</calcChain>
</file>

<file path=xl/sharedStrings.xml><?xml version="1.0" encoding="utf-8"?>
<sst xmlns="http://schemas.openxmlformats.org/spreadsheetml/2006/main" count="1636" uniqueCount="156">
  <si>
    <t>Consultant Headcount</t>
  </si>
  <si>
    <t>Consultant Bill Rate/Hr</t>
  </si>
  <si>
    <t>PTO Allotment</t>
  </si>
  <si>
    <t>Productive Utilization</t>
  </si>
  <si>
    <t>Specialist Headcount</t>
  </si>
  <si>
    <t>Specialist Bill Rate/Hr</t>
  </si>
  <si>
    <t>Billable Utilization</t>
  </si>
  <si>
    <t>Holidays</t>
  </si>
  <si>
    <t>Work Hours in Month</t>
  </si>
  <si>
    <t>Corporate</t>
  </si>
  <si>
    <t>Domestic</t>
  </si>
  <si>
    <t>International</t>
  </si>
  <si>
    <t>Restaurants</t>
  </si>
  <si>
    <t>Public</t>
  </si>
  <si>
    <t>Grand Total</t>
  </si>
  <si>
    <t>Attach Rates</t>
  </si>
  <si>
    <t>Sales Bookings</t>
  </si>
  <si>
    <t>PS Bookings</t>
  </si>
  <si>
    <t>Q1 2023</t>
  </si>
  <si>
    <t>Q2 2023</t>
  </si>
  <si>
    <t>Q3 2023</t>
  </si>
  <si>
    <t>Q4 2023</t>
  </si>
  <si>
    <t>Consultant Revenue</t>
  </si>
  <si>
    <t>Specialist Revenue</t>
  </si>
  <si>
    <t>Non-Recurring COGS</t>
  </si>
  <si>
    <t>Revenue Capacity</t>
  </si>
  <si>
    <t>Expenses</t>
  </si>
  <si>
    <t>NR Hosting Expense</t>
  </si>
  <si>
    <t>Gross Margin ($)</t>
  </si>
  <si>
    <t>Gross Margin (%)</t>
  </si>
  <si>
    <t>Hourly Rate - Specialist</t>
  </si>
  <si>
    <t>Hourly Rate - Consultant</t>
  </si>
  <si>
    <t>Non-Comp Related</t>
  </si>
  <si>
    <t>Contribution Margin ($)</t>
  </si>
  <si>
    <t>Contribution Margin (%)</t>
  </si>
  <si>
    <t>3rd Party Consultants NR Cost</t>
  </si>
  <si>
    <t>3rd Party Specialists NR Cost</t>
  </si>
  <si>
    <t>Rates</t>
  </si>
  <si>
    <t>GR% Weighted Rate</t>
  </si>
  <si>
    <t>CM% Weighted Rate</t>
  </si>
  <si>
    <t>Var to Plan</t>
  </si>
  <si>
    <t>Actuals</t>
  </si>
  <si>
    <t>Admin</t>
  </si>
  <si>
    <t>COGS</t>
  </si>
  <si>
    <t>Hosting Expense</t>
  </si>
  <si>
    <t>Cost of Services</t>
  </si>
  <si>
    <t>Recurring COGS</t>
  </si>
  <si>
    <t>Personnel Costs</t>
  </si>
  <si>
    <t>Insurance &amp; Benefits</t>
  </si>
  <si>
    <t>Contract Labor (Internal)</t>
  </si>
  <si>
    <t>Other Personnel Costs</t>
  </si>
  <si>
    <t>Comp-Related Expenses</t>
  </si>
  <si>
    <t>T&amp;E</t>
  </si>
  <si>
    <t>Rent &amp; Occupancy</t>
  </si>
  <si>
    <t>Telecommunications</t>
  </si>
  <si>
    <t>Equipment &amp; Systems</t>
  </si>
  <si>
    <t>G&amp;A</t>
  </si>
  <si>
    <t>Marketing</t>
  </si>
  <si>
    <t>Insurance</t>
  </si>
  <si>
    <t>Outside Consultants</t>
  </si>
  <si>
    <t>Recruiting</t>
  </si>
  <si>
    <t>Non-Comp Expenses</t>
  </si>
  <si>
    <t>Budget Variance Analysis</t>
  </si>
  <si>
    <t>Var to Fcst</t>
  </si>
  <si>
    <t>Total Bookings</t>
  </si>
  <si>
    <t>Recurring Bookings</t>
  </si>
  <si>
    <t>Revenue</t>
  </si>
  <si>
    <t>Renewals</t>
  </si>
  <si>
    <t>Non-Recurring</t>
  </si>
  <si>
    <t>Total Revenue</t>
  </si>
  <si>
    <t>Green</t>
  </si>
  <si>
    <t>Yellow</t>
  </si>
  <si>
    <t>Red</t>
  </si>
  <si>
    <t>Black</t>
  </si>
  <si>
    <t>Partner Costs - Recurring</t>
  </si>
  <si>
    <t>Third Party Vendor</t>
  </si>
  <si>
    <t>Third Party Consultants</t>
  </si>
  <si>
    <t>Third Party Specialists</t>
  </si>
  <si>
    <t>Net Retention</t>
  </si>
  <si>
    <t>% of Renewals in Month</t>
  </si>
  <si>
    <t>P&amp;L - Natural View</t>
  </si>
  <si>
    <t>Natural View</t>
  </si>
  <si>
    <t>Functional View</t>
  </si>
  <si>
    <t>P&amp;L - Functional View</t>
  </si>
  <si>
    <t>Research &amp; Development</t>
  </si>
  <si>
    <t>Sales &amp; Marketing</t>
  </si>
  <si>
    <t>General &amp; Administrative</t>
  </si>
  <si>
    <t>Total OPEX</t>
  </si>
  <si>
    <t>XX</t>
  </si>
  <si>
    <t>Depreciation</t>
  </si>
  <si>
    <t>Amortization</t>
  </si>
  <si>
    <t>Interest</t>
  </si>
  <si>
    <t>Taxes</t>
  </si>
  <si>
    <t>Total Other Expenses</t>
  </si>
  <si>
    <t>EBITDA ($)</t>
  </si>
  <si>
    <t>EBITDA (%)</t>
  </si>
  <si>
    <t>Net Income ($)</t>
  </si>
  <si>
    <t>Net Income (%)</t>
  </si>
  <si>
    <t>P&amp;L - Budget - Functional View</t>
  </si>
  <si>
    <t>P&amp;L - Budget - Natural View</t>
  </si>
  <si>
    <t>Operating Expenses</t>
  </si>
  <si>
    <t>P&amp;L - Prior Forecast - Natural View</t>
  </si>
  <si>
    <t>P&amp;L - Prior Forecast - Functional View</t>
  </si>
  <si>
    <t>FY 2023</t>
  </si>
  <si>
    <t>P&amp;L - Natural View - Data-Driven</t>
  </si>
  <si>
    <t>P&amp;L - Functional View - Data-Driven</t>
  </si>
  <si>
    <t>Natural View - Data-Driven</t>
  </si>
  <si>
    <t>Functional View - Data-Driven</t>
  </si>
  <si>
    <t>Natural View - Plan/Budget</t>
  </si>
  <si>
    <t>Natural View - Original Values</t>
  </si>
  <si>
    <t>Dashboard Variables</t>
  </si>
  <si>
    <t>Dates and Comparisons</t>
  </si>
  <si>
    <t>Report Month</t>
  </si>
  <si>
    <t>Comparison Month</t>
  </si>
  <si>
    <t>Start of Quarter</t>
  </si>
  <si>
    <t>Intra-Quarter Date (if applicable)</t>
  </si>
  <si>
    <t>End of Quarter</t>
  </si>
  <si>
    <t>Start of Comparison Quarter</t>
  </si>
  <si>
    <t>End of Comparison Quarter</t>
  </si>
  <si>
    <t>Start of Year</t>
  </si>
  <si>
    <t>Start of Comparison Year</t>
  </si>
  <si>
    <t>Reference Qtr</t>
  </si>
  <si>
    <t>Report Quarter</t>
  </si>
  <si>
    <t>Comparison Quarter</t>
  </si>
  <si>
    <t>Var to Fcst (%)</t>
  </si>
  <si>
    <t>Var to Plan (%)</t>
  </si>
  <si>
    <t>Total PS Bookings</t>
  </si>
  <si>
    <t>Total Attach Rate</t>
  </si>
  <si>
    <t>Variance Analysis</t>
  </si>
  <si>
    <t>BVA - Natural</t>
  </si>
  <si>
    <t>BVA - Functional</t>
  </si>
  <si>
    <t>Variance analysis comparing actuals vs forecast vs plan/budget. Presented in functional view (COGS + OPEX), includes EBITDA.</t>
  </si>
  <si>
    <t>Variance analysis comparing actuals vs forecast vs plan/budget. Presented in natural view (COGS + Expenses), includes Contribution Margin (CM).</t>
  </si>
  <si>
    <t>Ending View</t>
  </si>
  <si>
    <t>Prior Forecast</t>
  </si>
  <si>
    <t>Budget</t>
  </si>
  <si>
    <t>Current view of income statement using variables from most recent data pull.</t>
  </si>
  <si>
    <t xml:space="preserve">Prior view of income statement using variables from the prior period. </t>
  </si>
  <si>
    <t>Plan/budget view of income statement. Uses variables from 'Natural View - Plan Settings' tab.</t>
  </si>
  <si>
    <t>Scenario Modeling</t>
  </si>
  <si>
    <t xml:space="preserve">Table of bookings/revenue/cost data. </t>
  </si>
  <si>
    <t xml:space="preserve">View of income statement using natural view variables. </t>
  </si>
  <si>
    <t xml:space="preserve">Table of bookings/revenue/cost data (including OPEX). </t>
  </si>
  <si>
    <t>Natural - Data Driven</t>
  </si>
  <si>
    <t>Functional - Data Driven</t>
  </si>
  <si>
    <t xml:space="preserve">View of income statement using functional view variables. </t>
  </si>
  <si>
    <t>Natural</t>
  </si>
  <si>
    <t>Functional</t>
  </si>
  <si>
    <t>Tables using variables from most recent data pull. Natural view.</t>
  </si>
  <si>
    <t>Tables using variables from most recent data pull. Functional view.</t>
  </si>
  <si>
    <t>DB Vars</t>
  </si>
  <si>
    <t>Natural View - Plan Settings</t>
  </si>
  <si>
    <t>Natural View (ORIGINAL)</t>
  </si>
  <si>
    <t>Date calculations for the rest of the workbook.</t>
  </si>
  <si>
    <t>Values-only table view of variables used to construct the Plan/Budget.</t>
  </si>
  <si>
    <t xml:space="preserve">Values-only table view of variables before building the rest of the file.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</si>
</sst>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.0_);_(* \(#,##0.0\);_(* &quot;-&quot;??_);_(@_)"/>
    <numFmt numFmtId="165" formatCode="mmm\ yy"/>
    <numFmt numFmtId="166" formatCode="_(* #,##0_);_(* \(#,##0\);_(* &quot;-&quot;??_);_(@_)"/>
    <numFmt numFmtId="167" formatCode="0.0%"/>
    <numFmt numFmtId="169" formatCode="_(* #,##0_);[Red]_(* \(#,##0\);_(* &quot;-&quot;??_);_(@_)"/>
    <numFmt numFmtId="176" formatCode="0.000%"/>
    <numFmt numFmtId="179" formatCode="[Red]_(* #,##0_);_(* \(#,##0\);_(* &quot;-&quot;??_);_(@_)"/>
    <numFmt numFmtId="180" formatCode="0.00%;[Red]\(0.00%\);&quot; - &quot;"/>
    <numFmt numFmtId="181" formatCode="[Red]0.00%;\(0.00%\)"/>
  </numFmts>
  <fonts count="16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i/>
      <sz val="8"/>
      <color rgb="FFFF0000"/>
      <name val="Calibri"/>
      <family val="2"/>
    </font>
    <font>
      <b/>
      <sz val="14"/>
      <color theme="1"/>
      <name val="Calibri"/>
      <family val="2"/>
    </font>
    <font>
      <i/>
      <sz val="10"/>
      <color theme="1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0"/>
      <name val="Helvetica"/>
    </font>
    <font>
      <i/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5" borderId="5" applyNumberFormat="0" applyFont="0" applyAlignment="0" applyProtection="0"/>
  </cellStyleXfs>
  <cellXfs count="183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6" fontId="4" fillId="2" borderId="1" xfId="1" applyNumberFormat="1" applyFont="1" applyFill="1" applyBorder="1" applyAlignment="1">
      <alignment vertical="center"/>
    </xf>
    <xf numFmtId="43" fontId="4" fillId="2" borderId="1" xfId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vertical="center"/>
    </xf>
    <xf numFmtId="0" fontId="2" fillId="0" borderId="2" xfId="0" applyFont="1" applyBorder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indent="1"/>
    </xf>
    <xf numFmtId="166" fontId="6" fillId="2" borderId="1" xfId="1" applyNumberFormat="1" applyFont="1" applyFill="1" applyBorder="1" applyAlignment="1">
      <alignment vertical="center"/>
    </xf>
    <xf numFmtId="0" fontId="5" fillId="0" borderId="0" xfId="0" applyFont="1"/>
    <xf numFmtId="166" fontId="3" fillId="0" borderId="0" xfId="1" applyNumberFormat="1" applyFont="1" applyFill="1" applyBorder="1" applyAlignment="1">
      <alignment vertical="center"/>
    </xf>
    <xf numFmtId="166" fontId="4" fillId="2" borderId="3" xfId="1" applyNumberFormat="1" applyFont="1" applyFill="1" applyBorder="1" applyAlignment="1">
      <alignment vertical="center"/>
    </xf>
    <xf numFmtId="0" fontId="0" fillId="0" borderId="4" xfId="0" applyBorder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167" fontId="9" fillId="0" borderId="0" xfId="0" applyNumberFormat="1" applyFont="1" applyAlignment="1">
      <alignment vertical="center"/>
    </xf>
    <xf numFmtId="167" fontId="6" fillId="2" borderId="1" xfId="2" applyNumberFormat="1" applyFont="1" applyFill="1" applyBorder="1" applyAlignment="1">
      <alignment vertical="center"/>
    </xf>
    <xf numFmtId="167" fontId="4" fillId="2" borderId="3" xfId="2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166" fontId="0" fillId="0" borderId="0" xfId="1" applyNumberFormat="1" applyFont="1" applyAlignment="1">
      <alignment vertical="center"/>
    </xf>
    <xf numFmtId="166" fontId="5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vertical="center"/>
    </xf>
    <xf numFmtId="166" fontId="5" fillId="0" borderId="0" xfId="1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169" fontId="0" fillId="0" borderId="0" xfId="1" applyNumberFormat="1" applyFont="1" applyAlignment="1">
      <alignment vertical="center"/>
    </xf>
    <xf numFmtId="169" fontId="2" fillId="0" borderId="0" xfId="1" applyNumberFormat="1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0" fillId="0" borderId="2" xfId="0" applyBorder="1"/>
    <xf numFmtId="166" fontId="2" fillId="0" borderId="0" xfId="0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12" fillId="0" borderId="0" xfId="0" applyFont="1"/>
    <xf numFmtId="0" fontId="13" fillId="4" borderId="0" xfId="0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169" fontId="1" fillId="0" borderId="0" xfId="1" applyNumberFormat="1" applyFont="1" applyAlignment="1">
      <alignment vertical="center"/>
    </xf>
    <xf numFmtId="169" fontId="5" fillId="0" borderId="0" xfId="1" applyNumberFormat="1" applyFont="1" applyAlignment="1">
      <alignment vertical="center"/>
    </xf>
    <xf numFmtId="169" fontId="1" fillId="0" borderId="2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 indent="1"/>
    </xf>
    <xf numFmtId="166" fontId="2" fillId="0" borderId="0" xfId="1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ont="1"/>
    <xf numFmtId="165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2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indent="1"/>
    </xf>
    <xf numFmtId="166" fontId="15" fillId="0" borderId="0" xfId="1" applyNumberFormat="1" applyFont="1" applyAlignment="1">
      <alignment vertical="center"/>
    </xf>
    <xf numFmtId="0" fontId="15" fillId="0" borderId="2" xfId="0" applyFont="1" applyBorder="1" applyAlignment="1">
      <alignment horizontal="left" vertical="center" indent="1"/>
    </xf>
    <xf numFmtId="166" fontId="15" fillId="0" borderId="2" xfId="1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/>
    </xf>
    <xf numFmtId="167" fontId="0" fillId="0" borderId="0" xfId="2" applyNumberFormat="1" applyFont="1" applyAlignment="1">
      <alignment horizontal="center"/>
    </xf>
    <xf numFmtId="167" fontId="12" fillId="0" borderId="0" xfId="2" applyNumberFormat="1" applyFont="1" applyAlignment="1">
      <alignment horizontal="center"/>
    </xf>
    <xf numFmtId="176" fontId="0" fillId="0" borderId="0" xfId="2" applyNumberFormat="1" applyFont="1" applyAlignment="1">
      <alignment horizontal="center"/>
    </xf>
    <xf numFmtId="0" fontId="5" fillId="0" borderId="0" xfId="0" applyFont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6" fontId="5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167" fontId="0" fillId="0" borderId="0" xfId="2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9" fontId="2" fillId="0" borderId="0" xfId="1" applyNumberFormat="1" applyFont="1" applyFill="1" applyBorder="1" applyAlignment="1">
      <alignment vertical="center"/>
    </xf>
    <xf numFmtId="169" fontId="0" fillId="0" borderId="0" xfId="1" applyNumberFormat="1" applyFont="1" applyFill="1" applyBorder="1" applyAlignment="1">
      <alignment vertical="center"/>
    </xf>
    <xf numFmtId="167" fontId="0" fillId="0" borderId="0" xfId="0" applyNumberFormat="1" applyFill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2" xfId="1" applyNumberFormat="1" applyFont="1" applyFill="1" applyBorder="1" applyAlignment="1">
      <alignment vertical="center"/>
    </xf>
    <xf numFmtId="167" fontId="2" fillId="0" borderId="0" xfId="2" applyNumberFormat="1" applyFont="1" applyFill="1" applyBorder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6" fillId="0" borderId="0" xfId="2" applyNumberFormat="1" applyFont="1" applyFill="1" applyBorder="1" applyAlignment="1">
      <alignment vertical="center"/>
    </xf>
    <xf numFmtId="167" fontId="1" fillId="0" borderId="0" xfId="2" applyNumberFormat="1" applyFont="1" applyFill="1" applyBorder="1" applyAlignment="1">
      <alignment vertical="center"/>
    </xf>
    <xf numFmtId="167" fontId="1" fillId="0" borderId="2" xfId="2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7" fontId="0" fillId="0" borderId="2" xfId="2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left" vertical="center" indent="1"/>
    </xf>
    <xf numFmtId="166" fontId="5" fillId="0" borderId="2" xfId="1" applyNumberFormat="1" applyFont="1" applyBorder="1" applyAlignment="1">
      <alignment vertical="center"/>
    </xf>
    <xf numFmtId="166" fontId="1" fillId="0" borderId="0" xfId="1" applyNumberFormat="1" applyFont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1" fillId="6" borderId="0" xfId="0" applyFont="1" applyFill="1" applyAlignment="1">
      <alignment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166" fontId="0" fillId="0" borderId="0" xfId="0" applyNumberFormat="1" applyFont="1"/>
    <xf numFmtId="166" fontId="2" fillId="0" borderId="0" xfId="0" applyNumberFormat="1" applyFont="1"/>
    <xf numFmtId="0" fontId="0" fillId="0" borderId="2" xfId="0" applyFont="1" applyBorder="1" applyAlignment="1">
      <alignment vertical="center"/>
    </xf>
    <xf numFmtId="166" fontId="0" fillId="0" borderId="2" xfId="0" applyNumberFormat="1" applyFont="1" applyBorder="1"/>
    <xf numFmtId="167" fontId="2" fillId="0" borderId="0" xfId="0" applyNumberFormat="1" applyFont="1" applyBorder="1" applyAlignment="1">
      <alignment vertical="center"/>
    </xf>
    <xf numFmtId="0" fontId="0" fillId="6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Fill="1"/>
    <xf numFmtId="165" fontId="3" fillId="0" borderId="0" xfId="0" applyNumberFormat="1" applyFont="1" applyFill="1" applyAlignment="1">
      <alignment horizontal="center" vertical="center"/>
    </xf>
    <xf numFmtId="166" fontId="4" fillId="0" borderId="1" xfId="1" applyNumberFormat="1" applyFont="1" applyFill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166" fontId="4" fillId="0" borderId="3" xfId="1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167" fontId="6" fillId="0" borderId="1" xfId="2" applyNumberFormat="1" applyFont="1" applyFill="1" applyBorder="1" applyAlignment="1">
      <alignment vertical="center"/>
    </xf>
    <xf numFmtId="167" fontId="4" fillId="0" borderId="3" xfId="2" applyNumberFormat="1" applyFont="1" applyFill="1" applyBorder="1" applyAlignment="1">
      <alignment vertical="center"/>
    </xf>
    <xf numFmtId="167" fontId="9" fillId="0" borderId="0" xfId="0" applyNumberFormat="1" applyFont="1" applyFill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43" fontId="4" fillId="0" borderId="1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6" fontId="0" fillId="0" borderId="0" xfId="1" applyNumberFormat="1" applyFont="1" applyFill="1" applyAlignment="1">
      <alignment vertical="center"/>
    </xf>
    <xf numFmtId="166" fontId="15" fillId="0" borderId="0" xfId="1" applyNumberFormat="1" applyFont="1" applyFill="1" applyAlignment="1">
      <alignment vertical="center"/>
    </xf>
    <xf numFmtId="166" fontId="15" fillId="0" borderId="2" xfId="1" applyNumberFormat="1" applyFont="1" applyFill="1" applyBorder="1" applyAlignment="1">
      <alignment vertical="center"/>
    </xf>
    <xf numFmtId="166" fontId="2" fillId="0" borderId="0" xfId="1" applyNumberFormat="1" applyFont="1" applyFill="1" applyAlignment="1">
      <alignment vertical="center"/>
    </xf>
    <xf numFmtId="166" fontId="0" fillId="0" borderId="2" xfId="1" applyNumberFormat="1" applyFont="1" applyFill="1" applyBorder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166" fontId="0" fillId="0" borderId="0" xfId="0" applyNumberFormat="1" applyFont="1" applyFill="1"/>
    <xf numFmtId="166" fontId="0" fillId="0" borderId="2" xfId="0" applyNumberFormat="1" applyFont="1" applyFill="1" applyBorder="1"/>
    <xf numFmtId="166" fontId="2" fillId="0" borderId="0" xfId="0" applyNumberFormat="1" applyFont="1" applyFill="1"/>
    <xf numFmtId="14" fontId="0" fillId="5" borderId="5" xfId="3" applyNumberFormat="1" applyFont="1" applyAlignment="1">
      <alignment horizontal="center" vertical="center"/>
    </xf>
    <xf numFmtId="14" fontId="0" fillId="7" borderId="5" xfId="3" applyNumberFormat="1" applyFont="1" applyFill="1" applyAlignment="1">
      <alignment horizontal="center" vertical="center"/>
    </xf>
    <xf numFmtId="166" fontId="1" fillId="0" borderId="2" xfId="1" applyNumberFormat="1" applyFont="1" applyBorder="1" applyAlignment="1">
      <alignment vertical="center"/>
    </xf>
    <xf numFmtId="10" fontId="1" fillId="0" borderId="0" xfId="1" applyNumberFormat="1" applyFont="1" applyAlignment="1">
      <alignment vertical="center"/>
    </xf>
    <xf numFmtId="10" fontId="1" fillId="0" borderId="2" xfId="1" applyNumberFormat="1" applyFont="1" applyBorder="1" applyAlignment="1">
      <alignment vertical="center"/>
    </xf>
    <xf numFmtId="10" fontId="2" fillId="0" borderId="0" xfId="1" applyNumberFormat="1" applyFont="1" applyAlignment="1">
      <alignment vertical="center"/>
    </xf>
    <xf numFmtId="0" fontId="2" fillId="0" borderId="6" xfId="0" applyFont="1" applyBorder="1" applyAlignment="1">
      <alignment vertical="center"/>
    </xf>
    <xf numFmtId="166" fontId="2" fillId="0" borderId="6" xfId="1" applyNumberFormat="1" applyFont="1" applyBorder="1" applyAlignment="1">
      <alignment vertical="center"/>
    </xf>
    <xf numFmtId="169" fontId="1" fillId="0" borderId="0" xfId="1" applyNumberFormat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vertical="center"/>
    </xf>
    <xf numFmtId="169" fontId="5" fillId="0" borderId="0" xfId="1" applyNumberFormat="1" applyFont="1" applyBorder="1" applyAlignment="1">
      <alignment vertical="center"/>
    </xf>
    <xf numFmtId="169" fontId="2" fillId="0" borderId="6" xfId="1" applyNumberFormat="1" applyFont="1" applyBorder="1" applyAlignment="1">
      <alignment vertical="center"/>
    </xf>
    <xf numFmtId="169" fontId="1" fillId="0" borderId="2" xfId="1" applyNumberFormat="1" applyFont="1" applyFill="1" applyBorder="1" applyAlignment="1">
      <alignment vertical="center"/>
    </xf>
    <xf numFmtId="179" fontId="0" fillId="0" borderId="0" xfId="1" applyNumberFormat="1" applyFont="1" applyAlignment="1">
      <alignment vertical="center"/>
    </xf>
    <xf numFmtId="179" fontId="0" fillId="0" borderId="2" xfId="1" applyNumberFormat="1" applyFont="1" applyBorder="1" applyAlignment="1">
      <alignment vertical="center"/>
    </xf>
    <xf numFmtId="179" fontId="2" fillId="0" borderId="0" xfId="1" applyNumberFormat="1" applyFont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vertical="center"/>
    </xf>
    <xf numFmtId="10" fontId="6" fillId="0" borderId="0" xfId="2" applyNumberFormat="1" applyFont="1" applyFill="1" applyBorder="1" applyAlignment="1">
      <alignment vertical="center"/>
    </xf>
    <xf numFmtId="10" fontId="1" fillId="0" borderId="2" xfId="2" applyNumberFormat="1" applyFont="1" applyFill="1" applyBorder="1" applyAlignment="1">
      <alignment vertical="center"/>
    </xf>
    <xf numFmtId="10" fontId="2" fillId="0" borderId="0" xfId="2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180" fontId="1" fillId="0" borderId="0" xfId="1" applyNumberFormat="1" applyFont="1" applyAlignment="1">
      <alignment vertical="center"/>
    </xf>
    <xf numFmtId="180" fontId="5" fillId="0" borderId="0" xfId="1" applyNumberFormat="1" applyFont="1" applyAlignment="1">
      <alignment vertical="center"/>
    </xf>
    <xf numFmtId="180" fontId="5" fillId="0" borderId="0" xfId="1" applyNumberFormat="1" applyFont="1" applyBorder="1" applyAlignment="1">
      <alignment vertical="center"/>
    </xf>
    <xf numFmtId="180" fontId="1" fillId="0" borderId="2" xfId="1" applyNumberFormat="1" applyFont="1" applyBorder="1" applyAlignment="1">
      <alignment vertical="center"/>
    </xf>
    <xf numFmtId="180" fontId="2" fillId="0" borderId="0" xfId="1" applyNumberFormat="1" applyFont="1" applyAlignment="1">
      <alignment vertical="center"/>
    </xf>
    <xf numFmtId="181" fontId="0" fillId="0" borderId="0" xfId="1" applyNumberFormat="1" applyFont="1" applyAlignment="1">
      <alignment vertical="center"/>
    </xf>
    <xf numFmtId="181" fontId="0" fillId="0" borderId="2" xfId="1" applyNumberFormat="1" applyFont="1" applyBorder="1" applyAlignment="1">
      <alignment vertical="center"/>
    </xf>
    <xf numFmtId="181" fontId="2" fillId="0" borderId="0" xfId="1" applyNumberFormat="1" applyFont="1" applyAlignment="1">
      <alignment vertical="center"/>
    </xf>
    <xf numFmtId="180" fontId="1" fillId="0" borderId="0" xfId="1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80" fontId="2" fillId="0" borderId="6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</cellXfs>
  <cellStyles count="4"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D43A1-777E-4542-A1D4-4528CC2F5EC6}">
  <dimension ref="B2:AB36"/>
  <sheetViews>
    <sheetView showGridLines="0" tabSelected="1" workbookViewId="0">
      <selection activeCell="B30" sqref="B30"/>
    </sheetView>
  </sheetViews>
  <sheetFormatPr defaultColWidth="9.140625" defaultRowHeight="15" customHeight="1" x14ac:dyDescent="0.2"/>
  <cols>
    <col min="1" max="1" width="3.28515625" style="24" customWidth="1"/>
    <col min="2" max="2" width="23.7109375" style="24" customWidth="1"/>
    <col min="3" max="8" width="12.7109375" style="24" customWidth="1"/>
    <col min="9" max="9" width="25.28515625" style="24" bestFit="1" customWidth="1"/>
    <col min="10" max="10" width="12.7109375" style="24" customWidth="1"/>
    <col min="11" max="11" width="13.7109375" style="24" customWidth="1"/>
    <col min="12" max="12" width="27" style="24" bestFit="1" customWidth="1"/>
    <col min="13" max="13" width="13.7109375" style="24" customWidth="1"/>
    <col min="14" max="14" width="27" style="24" bestFit="1" customWidth="1"/>
    <col min="15" max="15" width="13.7109375" style="24" customWidth="1"/>
    <col min="16" max="16" width="27" style="24" bestFit="1" customWidth="1"/>
    <col min="17" max="16384" width="9.140625" style="24"/>
  </cols>
  <sheetData>
    <row r="2" spans="2:28" ht="23.25" x14ac:dyDescent="0.2">
      <c r="B2" s="45" t="s">
        <v>62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4" spans="2:28" s="55" customFormat="1" ht="15" customHeight="1" x14ac:dyDescent="0.2">
      <c r="B4" s="23" t="s">
        <v>129</v>
      </c>
      <c r="C4" s="55" t="s">
        <v>132</v>
      </c>
    </row>
    <row r="5" spans="2:28" s="55" customFormat="1" ht="15" customHeight="1" x14ac:dyDescent="0.2">
      <c r="B5" s="52" t="s">
        <v>130</v>
      </c>
      <c r="C5" s="55" t="s">
        <v>131</v>
      </c>
    </row>
    <row r="6" spans="2:28" s="55" customFormat="1" ht="15" customHeight="1" x14ac:dyDescent="0.2">
      <c r="B6" s="57"/>
    </row>
    <row r="7" spans="2:28" s="55" customFormat="1" ht="15" customHeight="1" x14ac:dyDescent="0.2">
      <c r="B7" s="182" t="s">
        <v>81</v>
      </c>
    </row>
    <row r="8" spans="2:28" s="55" customFormat="1" ht="15" customHeight="1" x14ac:dyDescent="0.2">
      <c r="B8" s="55" t="s">
        <v>133</v>
      </c>
      <c r="C8" s="55" t="s">
        <v>136</v>
      </c>
    </row>
    <row r="9" spans="2:28" s="55" customFormat="1" ht="15" customHeight="1" x14ac:dyDescent="0.2">
      <c r="B9" s="55" t="s">
        <v>134</v>
      </c>
      <c r="C9" s="55" t="s">
        <v>137</v>
      </c>
    </row>
    <row r="10" spans="2:28" s="55" customFormat="1" ht="15" customHeight="1" x14ac:dyDescent="0.2">
      <c r="B10" s="55" t="s">
        <v>135</v>
      </c>
      <c r="C10" s="55" t="s">
        <v>138</v>
      </c>
    </row>
    <row r="11" spans="2:28" s="55" customFormat="1" ht="15" customHeight="1" x14ac:dyDescent="0.2"/>
    <row r="12" spans="2:28" s="55" customFormat="1" ht="15" customHeight="1" x14ac:dyDescent="0.2">
      <c r="B12" s="182" t="s">
        <v>82</v>
      </c>
    </row>
    <row r="13" spans="2:28" s="55" customFormat="1" ht="15" customHeight="1" x14ac:dyDescent="0.2">
      <c r="B13" s="55" t="s">
        <v>133</v>
      </c>
      <c r="C13" s="55" t="s">
        <v>136</v>
      </c>
    </row>
    <row r="14" spans="2:28" s="55" customFormat="1" ht="15" customHeight="1" x14ac:dyDescent="0.2">
      <c r="B14" s="55" t="s">
        <v>134</v>
      </c>
      <c r="C14" s="55" t="s">
        <v>137</v>
      </c>
    </row>
    <row r="15" spans="2:28" s="55" customFormat="1" ht="15" customHeight="1" x14ac:dyDescent="0.2">
      <c r="B15" s="55" t="s">
        <v>135</v>
      </c>
      <c r="C15" s="55" t="s">
        <v>138</v>
      </c>
    </row>
    <row r="16" spans="2:28" s="55" customFormat="1" ht="15" customHeight="1" x14ac:dyDescent="0.2"/>
    <row r="17" spans="2:6" s="55" customFormat="1" ht="15" customHeight="1" x14ac:dyDescent="0.2">
      <c r="B17" s="182" t="s">
        <v>139</v>
      </c>
    </row>
    <row r="18" spans="2:6" s="55" customFormat="1" ht="15" customHeight="1" x14ac:dyDescent="0.2">
      <c r="B18" s="55" t="s">
        <v>81</v>
      </c>
      <c r="C18" s="55" t="s">
        <v>140</v>
      </c>
    </row>
    <row r="19" spans="2:6" s="58" customFormat="1" ht="15" customHeight="1" x14ac:dyDescent="0.2">
      <c r="B19" s="55" t="s">
        <v>143</v>
      </c>
      <c r="C19" s="58" t="s">
        <v>141</v>
      </c>
    </row>
    <row r="20" spans="2:6" s="58" customFormat="1" ht="15" customHeight="1" x14ac:dyDescent="0.2">
      <c r="B20" s="55" t="s">
        <v>82</v>
      </c>
      <c r="C20" s="58" t="s">
        <v>142</v>
      </c>
    </row>
    <row r="21" spans="2:6" s="58" customFormat="1" ht="15" customHeight="1" x14ac:dyDescent="0.2">
      <c r="B21" s="58" t="s">
        <v>144</v>
      </c>
      <c r="C21" s="58" t="s">
        <v>145</v>
      </c>
    </row>
    <row r="22" spans="2:6" s="58" customFormat="1" ht="15" customHeight="1" x14ac:dyDescent="0.2"/>
    <row r="23" spans="2:6" s="58" customFormat="1" ht="15" customHeight="1" x14ac:dyDescent="0.2">
      <c r="B23" s="182" t="s">
        <v>42</v>
      </c>
    </row>
    <row r="24" spans="2:6" s="58" customFormat="1" ht="15" customHeight="1" x14ac:dyDescent="0.2">
      <c r="B24" s="58" t="s">
        <v>146</v>
      </c>
      <c r="C24" s="55" t="s">
        <v>148</v>
      </c>
    </row>
    <row r="25" spans="2:6" s="58" customFormat="1" ht="15" customHeight="1" x14ac:dyDescent="0.2">
      <c r="B25" s="58" t="s">
        <v>147</v>
      </c>
      <c r="C25" s="55" t="s">
        <v>149</v>
      </c>
    </row>
    <row r="26" spans="2:6" s="58" customFormat="1" ht="15" customHeight="1" x14ac:dyDescent="0.2">
      <c r="B26" s="58" t="s">
        <v>150</v>
      </c>
      <c r="C26" s="58" t="s">
        <v>153</v>
      </c>
    </row>
    <row r="27" spans="2:6" s="58" customFormat="1" ht="15" customHeight="1" x14ac:dyDescent="0.2">
      <c r="B27" s="58" t="s">
        <v>151</v>
      </c>
      <c r="C27" s="58" t="s">
        <v>154</v>
      </c>
    </row>
    <row r="28" spans="2:6" ht="15" customHeight="1" x14ac:dyDescent="0.2">
      <c r="B28" s="24" t="s">
        <v>152</v>
      </c>
      <c r="C28" s="24" t="s">
        <v>155</v>
      </c>
    </row>
    <row r="29" spans="2:6" ht="15" customHeight="1" x14ac:dyDescent="0.2">
      <c r="B29" s="23"/>
    </row>
    <row r="30" spans="2:6" ht="15" customHeight="1" x14ac:dyDescent="0.2">
      <c r="F30" s="47"/>
    </row>
    <row r="36" spans="2:2" ht="15" customHeight="1" x14ac:dyDescent="0.2">
      <c r="B36" s="23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725A-C810-4D89-A59E-6BDC6472F420}">
  <dimension ref="B2:U92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102</v>
      </c>
    </row>
    <row r="3" spans="2:21" ht="15" customHeight="1" x14ac:dyDescent="0.2">
      <c r="B3" s="52"/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v>918241.81085671578</v>
      </c>
      <c r="D5" s="96">
        <v>1098822.1071652398</v>
      </c>
      <c r="E5" s="96">
        <v>1389108.8186953156</v>
      </c>
      <c r="F5" s="96">
        <v>1060457.1162919106</v>
      </c>
      <c r="G5" s="96">
        <v>1080187.977512805</v>
      </c>
      <c r="H5" s="96">
        <v>1449758.253748731</v>
      </c>
      <c r="I5" s="96">
        <v>1270033.6214879407</v>
      </c>
      <c r="J5" s="96">
        <v>1137642.609668985</v>
      </c>
      <c r="K5" s="96">
        <v>1505986.0966062024</v>
      </c>
      <c r="L5" s="96">
        <v>825220.26826456212</v>
      </c>
      <c r="M5" s="96">
        <v>1232003.1532279779</v>
      </c>
      <c r="N5" s="96">
        <v>1753899.7673868714</v>
      </c>
      <c r="P5" s="96">
        <v>3406172.7367172712</v>
      </c>
      <c r="Q5" s="96">
        <v>3590403.3475534469</v>
      </c>
      <c r="R5" s="96">
        <v>3913662.3277631281</v>
      </c>
      <c r="S5" s="96">
        <v>3811123.1888794117</v>
      </c>
      <c r="T5" s="91"/>
      <c r="U5" s="96">
        <v>14721361.600913256</v>
      </c>
    </row>
    <row r="6" spans="2:21" s="25" customFormat="1" ht="15" customHeight="1" x14ac:dyDescent="0.2">
      <c r="B6" s="78" t="s">
        <v>10</v>
      </c>
      <c r="C6" s="81">
        <v>622514.35130164481</v>
      </c>
      <c r="D6" s="81">
        <v>935097.23442405579</v>
      </c>
      <c r="E6" s="81">
        <v>1179236.180272124</v>
      </c>
      <c r="F6" s="81">
        <v>777579.95049804996</v>
      </c>
      <c r="G6" s="81">
        <v>753453.09429011669</v>
      </c>
      <c r="H6" s="81">
        <v>1159929.2819288557</v>
      </c>
      <c r="I6" s="81">
        <v>1011896.7065513673</v>
      </c>
      <c r="J6" s="81">
        <v>874189.60777134181</v>
      </c>
      <c r="K6" s="81">
        <v>1000548.9055383139</v>
      </c>
      <c r="L6" s="81">
        <v>766538.84680967382</v>
      </c>
      <c r="M6" s="81">
        <v>1069760.2684737833</v>
      </c>
      <c r="N6" s="81">
        <v>1248360.343877424</v>
      </c>
      <c r="P6" s="81">
        <v>2736847.7659978243</v>
      </c>
      <c r="Q6" s="81">
        <v>2690962.3267170223</v>
      </c>
      <c r="R6" s="81">
        <v>2886635.2198610231</v>
      </c>
      <c r="S6" s="81">
        <v>3084659.4591608811</v>
      </c>
      <c r="T6" s="91"/>
      <c r="U6" s="81">
        <v>11399104.77173675</v>
      </c>
    </row>
    <row r="7" spans="2:21" ht="15" customHeight="1" x14ac:dyDescent="0.2">
      <c r="B7" s="78" t="s">
        <v>11</v>
      </c>
      <c r="C7" s="81">
        <v>295727.45955507096</v>
      </c>
      <c r="D7" s="81">
        <v>163724.87274118402</v>
      </c>
      <c r="E7" s="81">
        <v>209872.6384231917</v>
      </c>
      <c r="F7" s="81">
        <v>282877.16579386062</v>
      </c>
      <c r="G7" s="81">
        <v>326734.8832226884</v>
      </c>
      <c r="H7" s="81">
        <v>289828.97181987535</v>
      </c>
      <c r="I7" s="81">
        <v>258136.91493657327</v>
      </c>
      <c r="J7" s="81">
        <v>263453.00189764332</v>
      </c>
      <c r="K7" s="81">
        <v>505437.1910678884</v>
      </c>
      <c r="L7" s="81">
        <v>58681.421454888339</v>
      </c>
      <c r="M7" s="81">
        <v>162242.88475419473</v>
      </c>
      <c r="N7" s="81">
        <v>505539.42350944749</v>
      </c>
      <c r="P7" s="81">
        <v>669324.97071944666</v>
      </c>
      <c r="Q7" s="81">
        <v>899441.02083642432</v>
      </c>
      <c r="R7" s="81">
        <v>1027027.107902105</v>
      </c>
      <c r="S7" s="81">
        <v>726463.72971853055</v>
      </c>
      <c r="T7" s="79"/>
      <c r="U7" s="81">
        <v>3322256.8291765065</v>
      </c>
    </row>
    <row r="8" spans="2:21" s="25" customFormat="1" ht="15" customHeight="1" x14ac:dyDescent="0.2">
      <c r="B8" s="51" t="s">
        <v>12</v>
      </c>
      <c r="C8" s="96">
        <v>721374.25132581848</v>
      </c>
      <c r="D8" s="96">
        <v>595242.65474325209</v>
      </c>
      <c r="E8" s="96">
        <v>1249710.3438458135</v>
      </c>
      <c r="F8" s="96">
        <v>708675.28488725773</v>
      </c>
      <c r="G8" s="96">
        <v>903837.01582346321</v>
      </c>
      <c r="H8" s="96">
        <v>1378195.5446574034</v>
      </c>
      <c r="I8" s="96">
        <v>1037250.3520580088</v>
      </c>
      <c r="J8" s="96">
        <v>767663.40366682317</v>
      </c>
      <c r="K8" s="96">
        <v>1064955.3437205083</v>
      </c>
      <c r="L8" s="96">
        <v>978466.69816156151</v>
      </c>
      <c r="M8" s="96">
        <v>1432889.9008914893</v>
      </c>
      <c r="N8" s="96">
        <v>944729.99244707869</v>
      </c>
      <c r="P8" s="96">
        <v>2566327.2499148841</v>
      </c>
      <c r="Q8" s="96">
        <v>2990707.8453681245</v>
      </c>
      <c r="R8" s="96">
        <v>2869869.0994453402</v>
      </c>
      <c r="S8" s="96">
        <v>3356086.5915001296</v>
      </c>
      <c r="T8" s="91"/>
      <c r="U8" s="96">
        <v>11782990.786228478</v>
      </c>
    </row>
    <row r="9" spans="2:21" s="25" customFormat="1" ht="15" customHeight="1" x14ac:dyDescent="0.2">
      <c r="B9" s="78" t="s">
        <v>10</v>
      </c>
      <c r="C9" s="81">
        <v>280387.13024097512</v>
      </c>
      <c r="D9" s="81">
        <v>371671.55899892846</v>
      </c>
      <c r="E9" s="81">
        <v>506998.66365879396</v>
      </c>
      <c r="F9" s="81">
        <v>513002.39174325723</v>
      </c>
      <c r="G9" s="81">
        <v>588858.86338006426</v>
      </c>
      <c r="H9" s="81">
        <v>1062092.8353568551</v>
      </c>
      <c r="I9" s="81">
        <v>792710.35184878763</v>
      </c>
      <c r="J9" s="81">
        <v>683730.56914685224</v>
      </c>
      <c r="K9" s="81">
        <v>798742.06590077106</v>
      </c>
      <c r="L9" s="81">
        <v>699678.83003006235</v>
      </c>
      <c r="M9" s="81">
        <v>1139585.0260586068</v>
      </c>
      <c r="N9" s="81">
        <v>650505.02564016473</v>
      </c>
      <c r="P9" s="81">
        <v>1159057.3528986976</v>
      </c>
      <c r="Q9" s="81">
        <v>2163954.0904801767</v>
      </c>
      <c r="R9" s="81">
        <v>2275182.9868964111</v>
      </c>
      <c r="S9" s="81">
        <v>2489768.8817288335</v>
      </c>
      <c r="T9" s="91"/>
      <c r="U9" s="81">
        <v>8087963.3120041192</v>
      </c>
    </row>
    <row r="10" spans="2:21" ht="15" customHeight="1" x14ac:dyDescent="0.2">
      <c r="B10" s="78" t="s">
        <v>11</v>
      </c>
      <c r="C10" s="81">
        <v>440987.1210848433</v>
      </c>
      <c r="D10" s="81">
        <v>223571.0957443236</v>
      </c>
      <c r="E10" s="81">
        <v>742711.68018701964</v>
      </c>
      <c r="F10" s="81">
        <v>195672.89314400047</v>
      </c>
      <c r="G10" s="81">
        <v>314978.1524433989</v>
      </c>
      <c r="H10" s="81">
        <v>316102.7093005483</v>
      </c>
      <c r="I10" s="81">
        <v>244540.00020922109</v>
      </c>
      <c r="J10" s="81">
        <v>83932.834519970944</v>
      </c>
      <c r="K10" s="81">
        <v>266213.27781973733</v>
      </c>
      <c r="L10" s="81">
        <v>278787.8681314991</v>
      </c>
      <c r="M10" s="81">
        <v>293304.87483288266</v>
      </c>
      <c r="N10" s="81">
        <v>294224.96680691402</v>
      </c>
      <c r="P10" s="81">
        <v>1407269.8970161865</v>
      </c>
      <c r="Q10" s="81">
        <v>826753.7548879477</v>
      </c>
      <c r="R10" s="81">
        <v>594686.11254892941</v>
      </c>
      <c r="S10" s="81">
        <v>866317.70977129578</v>
      </c>
      <c r="T10" s="79"/>
      <c r="U10" s="81">
        <v>3695027.4742243597</v>
      </c>
    </row>
    <row r="11" spans="2:21" ht="15" customHeight="1" x14ac:dyDescent="0.2">
      <c r="B11" s="31" t="s">
        <v>13</v>
      </c>
      <c r="C11" s="97">
        <v>198666.7339566247</v>
      </c>
      <c r="D11" s="97">
        <v>335025.21674858825</v>
      </c>
      <c r="E11" s="97">
        <v>544202.91708709358</v>
      </c>
      <c r="F11" s="97">
        <v>191992.52524787508</v>
      </c>
      <c r="G11" s="97">
        <v>275618.66244316887</v>
      </c>
      <c r="H11" s="97">
        <v>502574.68270423537</v>
      </c>
      <c r="I11" s="97">
        <v>521998.84660045261</v>
      </c>
      <c r="J11" s="97">
        <v>551237.32488633774</v>
      </c>
      <c r="K11" s="97">
        <v>705812.77652360452</v>
      </c>
      <c r="L11" s="97">
        <v>533039.95028882893</v>
      </c>
      <c r="M11" s="97">
        <v>230840.85304030988</v>
      </c>
      <c r="N11" s="97">
        <v>401875.72776858194</v>
      </c>
      <c r="P11" s="97">
        <v>1077894.8677923065</v>
      </c>
      <c r="Q11" s="97">
        <v>970185.87039527926</v>
      </c>
      <c r="R11" s="97">
        <v>1779048.9480103948</v>
      </c>
      <c r="S11" s="97">
        <v>1165756.5310977208</v>
      </c>
      <c r="T11" s="79"/>
      <c r="U11" s="97">
        <v>4992886.2172957007</v>
      </c>
    </row>
    <row r="12" spans="2:21" ht="15" customHeight="1" x14ac:dyDescent="0.2">
      <c r="B12" s="52" t="s">
        <v>14</v>
      </c>
      <c r="C12" s="82">
        <v>1838282.796139159</v>
      </c>
      <c r="D12" s="82">
        <v>2029089.9786570801</v>
      </c>
      <c r="E12" s="82">
        <v>3183022.0796282226</v>
      </c>
      <c r="F12" s="82">
        <v>1961124.9264270435</v>
      </c>
      <c r="G12" s="82">
        <v>2259643.6557794372</v>
      </c>
      <c r="H12" s="82">
        <v>3330528.4811103698</v>
      </c>
      <c r="I12" s="82">
        <v>2829282.8201464019</v>
      </c>
      <c r="J12" s="82">
        <v>2456543.338222146</v>
      </c>
      <c r="K12" s="82">
        <v>3276754.2168503152</v>
      </c>
      <c r="L12" s="82">
        <v>2336726.9167149523</v>
      </c>
      <c r="M12" s="82">
        <v>2895733.9071597774</v>
      </c>
      <c r="N12" s="82">
        <v>3100505.4876025319</v>
      </c>
      <c r="P12" s="82">
        <v>7050394.8544244617</v>
      </c>
      <c r="Q12" s="82">
        <v>7551297.06331685</v>
      </c>
      <c r="R12" s="82">
        <v>8562580.3752188645</v>
      </c>
      <c r="S12" s="82">
        <v>8332966.3114772616</v>
      </c>
      <c r="T12" s="79"/>
      <c r="U12" s="82"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v>6.7393931455971043E-2</v>
      </c>
      <c r="D15" s="101">
        <v>0.14484668328968767</v>
      </c>
      <c r="E15" s="101">
        <v>0.11567215284129743</v>
      </c>
      <c r="F15" s="101">
        <v>0.1462793629016185</v>
      </c>
      <c r="G15" s="101">
        <v>0.11740251602634331</v>
      </c>
      <c r="H15" s="101">
        <v>0.20384898186803421</v>
      </c>
      <c r="I15" s="101">
        <v>0.12675550059165933</v>
      </c>
      <c r="J15" s="101">
        <v>0.17077228679600875</v>
      </c>
      <c r="K15" s="101">
        <v>0.19781124572277028</v>
      </c>
      <c r="L15" s="101">
        <v>0.33258751868872005</v>
      </c>
      <c r="M15" s="101">
        <v>0.17732830917255957</v>
      </c>
      <c r="N15" s="101">
        <v>0.20561240301531233</v>
      </c>
      <c r="P15" s="101">
        <v>0.11465475654137559</v>
      </c>
      <c r="Q15" s="101">
        <v>0.16083750648016584</v>
      </c>
      <c r="R15" s="101">
        <v>0.16689292753926907</v>
      </c>
      <c r="S15" s="101">
        <v>0.22396298964093894</v>
      </c>
      <c r="T15" s="79"/>
      <c r="U15" s="101">
        <v>0.16810391600890268</v>
      </c>
    </row>
    <row r="16" spans="2:21" ht="15" customHeight="1" x14ac:dyDescent="0.2">
      <c r="B16" s="94" t="s">
        <v>10</v>
      </c>
      <c r="C16" s="99">
        <v>8.269779157262673E-2</v>
      </c>
      <c r="D16" s="99">
        <v>0.14520413222718045</v>
      </c>
      <c r="E16" s="99">
        <v>0.13561154879632886</v>
      </c>
      <c r="F16" s="99">
        <v>0.17832635139258812</v>
      </c>
      <c r="G16" s="99">
        <v>0.13885500252245264</v>
      </c>
      <c r="H16" s="99">
        <v>0.18952940132167459</v>
      </c>
      <c r="I16" s="99">
        <v>0.13185705933438946</v>
      </c>
      <c r="J16" s="99">
        <v>0.17459490622063628</v>
      </c>
      <c r="K16" s="99">
        <v>0.25025408643068464</v>
      </c>
      <c r="L16" s="99">
        <v>0.25312276989029103</v>
      </c>
      <c r="M16" s="99">
        <v>0.17053504999123692</v>
      </c>
      <c r="N16" s="99">
        <v>0.23583693040225787</v>
      </c>
      <c r="P16" s="99">
        <v>0.12685345296298783</v>
      </c>
      <c r="Q16" s="99">
        <v>0.17210364655718491</v>
      </c>
      <c r="R16" s="99">
        <v>0.1858379005624578</v>
      </c>
      <c r="S16" s="99">
        <v>0.21748576703966052</v>
      </c>
      <c r="T16" s="79"/>
      <c r="U16" s="99">
        <v>0.17699800259839513</v>
      </c>
    </row>
    <row r="17" spans="2:21" ht="15" customHeight="1" x14ac:dyDescent="0.2">
      <c r="B17" s="94" t="s">
        <v>11</v>
      </c>
      <c r="C17" s="100">
        <v>3.5178889378835419E-2</v>
      </c>
      <c r="D17" s="100">
        <v>0.14280515161950749</v>
      </c>
      <c r="E17" s="100">
        <v>4.5604790246004716E-2</v>
      </c>
      <c r="F17" s="100">
        <v>5.8187785575158441E-2</v>
      </c>
      <c r="G17" s="100">
        <v>6.7932921071297683E-2</v>
      </c>
      <c r="H17" s="100">
        <v>0.26115761004404708</v>
      </c>
      <c r="I17" s="100">
        <v>0.10675739032015726</v>
      </c>
      <c r="J17" s="100">
        <v>0.15808807309791401</v>
      </c>
      <c r="K17" s="100">
        <v>9.3996908746969907E-2</v>
      </c>
      <c r="L17" s="100">
        <v>1.3706131049093142</v>
      </c>
      <c r="M17" s="100">
        <v>0.22212015799005139</v>
      </c>
      <c r="N17" s="100">
        <v>0.13097707360742727</v>
      </c>
      <c r="P17" s="100">
        <v>6.4774688547365178E-2</v>
      </c>
      <c r="Q17" s="100">
        <v>0.1271312847130262</v>
      </c>
      <c r="R17" s="100">
        <v>0.11364484290033255</v>
      </c>
      <c r="S17" s="100">
        <v>0.25146611904543847</v>
      </c>
      <c r="T17" s="79"/>
      <c r="U17" s="100">
        <v>0.13758712272785661</v>
      </c>
    </row>
    <row r="18" spans="2:21" ht="15" customHeight="1" x14ac:dyDescent="0.2">
      <c r="B18" s="93" t="s">
        <v>12</v>
      </c>
      <c r="C18" s="101">
        <v>0.17841142091049092</v>
      </c>
      <c r="D18" s="101">
        <v>0.16576614011777902</v>
      </c>
      <c r="E18" s="101">
        <v>8.7735600019642646E-2</v>
      </c>
      <c r="F18" s="101">
        <v>0.19496123355955849</v>
      </c>
      <c r="G18" s="101">
        <v>0.12927223517600184</v>
      </c>
      <c r="H18" s="101">
        <v>0.12033628224965125</v>
      </c>
      <c r="I18" s="101">
        <v>0.12118049769423624</v>
      </c>
      <c r="J18" s="101">
        <v>9.4538332549951906E-2</v>
      </c>
      <c r="K18" s="101">
        <v>0.16041499448777996</v>
      </c>
      <c r="L18" s="101">
        <v>0.11049149223598738</v>
      </c>
      <c r="M18" s="101">
        <v>9.8512058859721238E-2</v>
      </c>
      <c r="N18" s="101">
        <v>0.16380225226010331</v>
      </c>
      <c r="P18" s="101">
        <v>0.130464673959654</v>
      </c>
      <c r="Q18" s="101">
        <v>0.14071991943780132</v>
      </c>
      <c r="R18" s="101">
        <v>0.12861316138153725</v>
      </c>
      <c r="S18" s="101">
        <v>0.12038368777580427</v>
      </c>
      <c r="T18" s="79"/>
      <c r="U18" s="101">
        <v>0.12974534740309565</v>
      </c>
    </row>
    <row r="19" spans="2:21" ht="15" customHeight="1" x14ac:dyDescent="0.2">
      <c r="B19" s="94" t="s">
        <v>10</v>
      </c>
      <c r="C19" s="99">
        <v>0.25513485939404251</v>
      </c>
      <c r="D19" s="99">
        <v>0.13216248357945287</v>
      </c>
      <c r="E19" s="99">
        <v>0.1076882767868082</v>
      </c>
      <c r="F19" s="99">
        <v>0.15435124114687773</v>
      </c>
      <c r="G19" s="99">
        <v>0.11540937166472348</v>
      </c>
      <c r="H19" s="99">
        <v>9.0990282613901921E-2</v>
      </c>
      <c r="I19" s="99">
        <v>0.10240525647455437</v>
      </c>
      <c r="J19" s="99">
        <v>4.614145810641769E-2</v>
      </c>
      <c r="K19" s="99">
        <v>0.1553360702956525</v>
      </c>
      <c r="L19" s="99">
        <v>0.10728859254871663</v>
      </c>
      <c r="M19" s="99">
        <v>9.4760413813254091E-2</v>
      </c>
      <c r="N19" s="99">
        <v>0.16792263506510405</v>
      </c>
      <c r="P19" s="99">
        <v>0.15120509726926629</v>
      </c>
      <c r="Q19" s="99">
        <v>0.11265604738223021</v>
      </c>
      <c r="R19" s="99">
        <v>0.10407931465914845</v>
      </c>
      <c r="S19" s="99">
        <v>0.1173962875543655</v>
      </c>
      <c r="T19" s="79"/>
      <c r="U19" s="99">
        <v>0.11722691700545769</v>
      </c>
    </row>
    <row r="20" spans="2:21" ht="15" customHeight="1" x14ac:dyDescent="0.2">
      <c r="B20" s="94" t="s">
        <v>11</v>
      </c>
      <c r="C20" s="99">
        <v>0.12962935061850114</v>
      </c>
      <c r="D20" s="99">
        <v>0.22162990628166296</v>
      </c>
      <c r="E20" s="99">
        <v>7.1151099980620497E-2</v>
      </c>
      <c r="F20" s="99">
        <v>0.30142985525591814</v>
      </c>
      <c r="G20" s="99">
        <v>0.15518917572289023</v>
      </c>
      <c r="H20" s="99">
        <v>0.21893770211245839</v>
      </c>
      <c r="I20" s="99">
        <v>0.18204304803596411</v>
      </c>
      <c r="J20" s="99">
        <v>0.48878717089143386</v>
      </c>
      <c r="K20" s="99">
        <v>0.17565371749587982</v>
      </c>
      <c r="L20" s="99">
        <v>0.11852986607525422</v>
      </c>
      <c r="M20" s="99">
        <v>0.11308842251708248</v>
      </c>
      <c r="N20" s="99">
        <v>0.15469245525238268</v>
      </c>
      <c r="P20" s="99">
        <v>0.11338242115924385</v>
      </c>
      <c r="Q20" s="99">
        <v>0.21417459729118007</v>
      </c>
      <c r="R20" s="99">
        <v>0.22247610771242296</v>
      </c>
      <c r="S20" s="99">
        <v>0.12896937871195249</v>
      </c>
      <c r="T20" s="79"/>
      <c r="U20" s="99">
        <v>0.1571466607860838</v>
      </c>
    </row>
    <row r="21" spans="2:21" s="36" customFormat="1" ht="15" customHeight="1" x14ac:dyDescent="0.2">
      <c r="B21" s="19" t="s">
        <v>13</v>
      </c>
      <c r="C21" s="102">
        <v>0.15169917201438265</v>
      </c>
      <c r="D21" s="102">
        <v>3.1052479234059648E-2</v>
      </c>
      <c r="E21" s="102">
        <v>0.13756140402794095</v>
      </c>
      <c r="F21" s="102">
        <v>0.19289808628569899</v>
      </c>
      <c r="G21" s="102">
        <v>0.29362421360352814</v>
      </c>
      <c r="H21" s="102">
        <v>0.20370342944125933</v>
      </c>
      <c r="I21" s="102">
        <v>6.3543024716316024E-2</v>
      </c>
      <c r="J21" s="102">
        <v>0.11695201728276121</v>
      </c>
      <c r="K21" s="102">
        <v>0.10441280328015808</v>
      </c>
      <c r="L21" s="102">
        <v>0.1948682263338565</v>
      </c>
      <c r="M21" s="102">
        <v>0.23822191395150702</v>
      </c>
      <c r="N21" s="102">
        <v>0.15173049442597039</v>
      </c>
      <c r="P21" s="102">
        <v>0.10706263053367782</v>
      </c>
      <c r="Q21" s="102">
        <v>0.22711059484224291</v>
      </c>
      <c r="R21" s="102">
        <v>9.6306284061393493E-2</v>
      </c>
      <c r="S21" s="102">
        <v>0.18858200363024816</v>
      </c>
      <c r="T21" s="85"/>
      <c r="U21" s="102">
        <v>0.1455903487896815</v>
      </c>
    </row>
    <row r="22" spans="2:21" ht="15" customHeight="1" x14ac:dyDescent="0.2">
      <c r="B22" s="95" t="s">
        <v>14</v>
      </c>
      <c r="C22" s="98">
        <v>9.9549306149495281E-2</v>
      </c>
      <c r="D22" s="98">
        <v>0.10960177195157539</v>
      </c>
      <c r="E22" s="98">
        <v>8.7049858779637571E-2</v>
      </c>
      <c r="F22" s="98">
        <v>0.13964829458312192</v>
      </c>
      <c r="G22" s="98">
        <v>0.11909489594017039</v>
      </c>
      <c r="H22" s="98">
        <v>0.1403396189289258</v>
      </c>
      <c r="I22" s="98">
        <v>9.3728128359109347E-2</v>
      </c>
      <c r="J22" s="98">
        <v>0.11182169263736468</v>
      </c>
      <c r="K22" s="98">
        <v>0.13724746376650401</v>
      </c>
      <c r="L22" s="98">
        <v>0.17259448997409876</v>
      </c>
      <c r="M22" s="98">
        <v>0.11871126583876601</v>
      </c>
      <c r="N22" s="98">
        <v>0.15411906819048526</v>
      </c>
      <c r="P22" s="98">
        <v>0.11924881246290682</v>
      </c>
      <c r="Q22" s="98">
        <v>0.16138461626597198</v>
      </c>
      <c r="R22" s="98">
        <v>0.13939712586080016</v>
      </c>
      <c r="S22" s="98">
        <v>0.1772969277453611</v>
      </c>
      <c r="T22" s="79"/>
      <c r="U22" s="98"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v>61883.925660884226</v>
      </c>
      <c r="D25" s="96">
        <v>159160.73774827071</v>
      </c>
      <c r="E25" s="96">
        <v>169489.24245703485</v>
      </c>
      <c r="F25" s="96">
        <v>155122.99135566823</v>
      </c>
      <c r="G25" s="96">
        <v>126816.78634141046</v>
      </c>
      <c r="H25" s="96">
        <v>295531.74398145801</v>
      </c>
      <c r="I25" s="96">
        <v>160983.74745994189</v>
      </c>
      <c r="J25" s="96">
        <v>194277.83000975178</v>
      </c>
      <c r="K25" s="96">
        <v>297900.98581084522</v>
      </c>
      <c r="L25" s="96">
        <v>274457.96139375068</v>
      </c>
      <c r="M25" s="96">
        <v>218469.0360571791</v>
      </c>
      <c r="N25" s="96">
        <v>360623.54582041199</v>
      </c>
      <c r="P25" s="96">
        <v>390533.90586618974</v>
      </c>
      <c r="Q25" s="96">
        <v>577471.52167853666</v>
      </c>
      <c r="R25" s="96">
        <v>653162.56328053889</v>
      </c>
      <c r="S25" s="96">
        <v>853550.54327134183</v>
      </c>
      <c r="T25" s="79"/>
      <c r="U25" s="96">
        <v>2474718.534096607</v>
      </c>
    </row>
    <row r="26" spans="2:21" ht="15" customHeight="1" x14ac:dyDescent="0.2">
      <c r="B26" s="78" t="s">
        <v>10</v>
      </c>
      <c r="C26" s="81">
        <v>51480.562074912355</v>
      </c>
      <c r="D26" s="81">
        <v>135779.98247258135</v>
      </c>
      <c r="E26" s="81">
        <v>159918.04480336962</v>
      </c>
      <c r="F26" s="81">
        <v>138662.99548834653</v>
      </c>
      <c r="G26" s="81">
        <v>104620.7313082039</v>
      </c>
      <c r="H26" s="81">
        <v>219840.70237945591</v>
      </c>
      <c r="I26" s="81">
        <v>133425.72407601692</v>
      </c>
      <c r="J26" s="81">
        <v>152629.05258789225</v>
      </c>
      <c r="K26" s="81">
        <v>250391.45228471214</v>
      </c>
      <c r="L26" s="81">
        <v>194028.43613297411</v>
      </c>
      <c r="M26" s="81">
        <v>182431.62086281565</v>
      </c>
      <c r="N26" s="81">
        <v>294409.47153595876</v>
      </c>
      <c r="P26" s="81">
        <v>347178.58935086336</v>
      </c>
      <c r="Q26" s="81">
        <v>463124.42917600635</v>
      </c>
      <c r="R26" s="81">
        <v>536446.22894862131</v>
      </c>
      <c r="S26" s="81">
        <v>670869.52853174857</v>
      </c>
      <c r="T26" s="79"/>
      <c r="U26" s="81">
        <v>2017618.7760072395</v>
      </c>
    </row>
    <row r="27" spans="2:21" ht="15" customHeight="1" x14ac:dyDescent="0.2">
      <c r="B27" s="78" t="s">
        <v>11</v>
      </c>
      <c r="C27" s="81">
        <v>10403.363585971867</v>
      </c>
      <c r="D27" s="81">
        <v>23380.755275689353</v>
      </c>
      <c r="E27" s="81">
        <v>9571.1976536652473</v>
      </c>
      <c r="F27" s="81">
        <v>16459.995867321704</v>
      </c>
      <c r="G27" s="81">
        <v>22196.055033206558</v>
      </c>
      <c r="H27" s="81">
        <v>75691.041602002122</v>
      </c>
      <c r="I27" s="81">
        <v>27558.023383924985</v>
      </c>
      <c r="J27" s="81">
        <v>41648.777421859515</v>
      </c>
      <c r="K27" s="81">
        <v>47509.533526133098</v>
      </c>
      <c r="L27" s="81">
        <v>80429.525260776558</v>
      </c>
      <c r="M27" s="81">
        <v>36037.415194363435</v>
      </c>
      <c r="N27" s="81">
        <v>66214.074284453251</v>
      </c>
      <c r="P27" s="81">
        <v>43355.316515326471</v>
      </c>
      <c r="Q27" s="81">
        <v>114347.09250253039</v>
      </c>
      <c r="R27" s="81">
        <v>116716.33433191761</v>
      </c>
      <c r="S27" s="81">
        <v>182681.01473959326</v>
      </c>
      <c r="T27" s="79"/>
      <c r="U27" s="81">
        <v>457099.75808936777</v>
      </c>
    </row>
    <row r="28" spans="2:21" ht="15" customHeight="1" x14ac:dyDescent="0.2">
      <c r="B28" s="51" t="s">
        <v>12</v>
      </c>
      <c r="C28" s="96">
        <v>128701.40518728085</v>
      </c>
      <c r="D28" s="96">
        <v>98671.077310248656</v>
      </c>
      <c r="E28" s="96">
        <v>107442.56543639135</v>
      </c>
      <c r="F28" s="96">
        <v>138164.20773479133</v>
      </c>
      <c r="G28" s="96">
        <v>116841.03127030641</v>
      </c>
      <c r="H28" s="96">
        <v>165846.92805710511</v>
      </c>
      <c r="I28" s="96">
        <v>125694.51389591125</v>
      </c>
      <c r="J28" s="96">
        <v>72573.618142282081</v>
      </c>
      <c r="K28" s="96">
        <v>170834.80559265718</v>
      </c>
      <c r="L28" s="96">
        <v>108112.24558309035</v>
      </c>
      <c r="M28" s="96">
        <v>141156.93425612256</v>
      </c>
      <c r="N28" s="96">
        <v>154748.90054050187</v>
      </c>
      <c r="P28" s="96">
        <v>334815.04793392087</v>
      </c>
      <c r="Q28" s="96">
        <v>420852.16706220282</v>
      </c>
      <c r="R28" s="96">
        <v>369102.93763085053</v>
      </c>
      <c r="S28" s="96">
        <v>404018.08037971478</v>
      </c>
      <c r="T28" s="79"/>
      <c r="U28" s="96">
        <v>1528788.233006689</v>
      </c>
    </row>
    <row r="29" spans="2:21" ht="15" customHeight="1" x14ac:dyDescent="0.2">
      <c r="B29" s="78" t="s">
        <v>10</v>
      </c>
      <c r="C29" s="81">
        <v>71536.531049930272</v>
      </c>
      <c r="D29" s="81">
        <v>49121.036313145531</v>
      </c>
      <c r="E29" s="81">
        <v>54597.812422630079</v>
      </c>
      <c r="F29" s="81">
        <v>79182.555876888538</v>
      </c>
      <c r="G29" s="81">
        <v>67959.831421896466</v>
      </c>
      <c r="H29" s="81">
        <v>96640.12725132065</v>
      </c>
      <c r="I29" s="81">
        <v>81177.706891109337</v>
      </c>
      <c r="J29" s="81">
        <v>31548.325412366608</v>
      </c>
      <c r="K29" s="81">
        <v>124073.45369685687</v>
      </c>
      <c r="L29" s="81">
        <v>75067.55691005812</v>
      </c>
      <c r="M29" s="81">
        <v>107987.54864470153</v>
      </c>
      <c r="N29" s="81">
        <v>109234.51802858953</v>
      </c>
      <c r="P29" s="81">
        <v>175255.37978570588</v>
      </c>
      <c r="Q29" s="81">
        <v>243782.51455010567</v>
      </c>
      <c r="R29" s="81">
        <v>236799.48600033281</v>
      </c>
      <c r="S29" s="81">
        <v>292289.62358334917</v>
      </c>
      <c r="T29" s="79"/>
      <c r="U29" s="81">
        <v>948127.00391949352</v>
      </c>
    </row>
    <row r="30" spans="2:21" ht="15" customHeight="1" x14ac:dyDescent="0.2">
      <c r="B30" s="78" t="s">
        <v>11</v>
      </c>
      <c r="C30" s="81">
        <v>57164.874137350569</v>
      </c>
      <c r="D30" s="81">
        <v>49550.040997103133</v>
      </c>
      <c r="E30" s="81">
        <v>52844.75301376127</v>
      </c>
      <c r="F30" s="81">
        <v>58981.651857902798</v>
      </c>
      <c r="G30" s="81">
        <v>48881.199848409939</v>
      </c>
      <c r="H30" s="81">
        <v>69206.800805784471</v>
      </c>
      <c r="I30" s="81">
        <v>44516.807004801907</v>
      </c>
      <c r="J30" s="81">
        <v>41025.292729915476</v>
      </c>
      <c r="K30" s="81">
        <v>46761.351895800311</v>
      </c>
      <c r="L30" s="81">
        <v>33044.688673032222</v>
      </c>
      <c r="M30" s="81">
        <v>33169.385611421028</v>
      </c>
      <c r="N30" s="81">
        <v>45514.382511912328</v>
      </c>
      <c r="P30" s="81">
        <v>159559.66814821499</v>
      </c>
      <c r="Q30" s="81">
        <v>177069.65251209721</v>
      </c>
      <c r="R30" s="81">
        <v>132303.45163051769</v>
      </c>
      <c r="S30" s="81">
        <v>111728.45679636559</v>
      </c>
      <c r="T30" s="79"/>
      <c r="U30" s="81">
        <v>580661.22908719548</v>
      </c>
    </row>
    <row r="31" spans="2:21" ht="15" customHeight="1" x14ac:dyDescent="0.2">
      <c r="B31" s="31" t="s">
        <v>13</v>
      </c>
      <c r="C31" s="97">
        <v>30137.579048021606</v>
      </c>
      <c r="D31" s="97">
        <v>10403.363585971869</v>
      </c>
      <c r="E31" s="97">
        <v>74861.317350601734</v>
      </c>
      <c r="F31" s="97">
        <v>37034.990701473849</v>
      </c>
      <c r="G31" s="97">
        <v>80928.313014331739</v>
      </c>
      <c r="H31" s="97">
        <v>102376.18641720551</v>
      </c>
      <c r="I31" s="97">
        <v>33169.385611421014</v>
      </c>
      <c r="J31" s="97">
        <v>64468.317147010028</v>
      </c>
      <c r="K31" s="97">
        <v>73695.890587781294</v>
      </c>
      <c r="L31" s="97">
        <v>103872.54967787114</v>
      </c>
      <c r="M31" s="97">
        <v>54991.349829461178</v>
      </c>
      <c r="N31" s="97">
        <v>60976.802872123619</v>
      </c>
      <c r="O31" s="36"/>
      <c r="P31" s="97">
        <v>115402.25998459521</v>
      </c>
      <c r="Q31" s="97">
        <v>220339.49013301107</v>
      </c>
      <c r="R31" s="97">
        <v>171333.59334621235</v>
      </c>
      <c r="S31" s="97">
        <v>219840.70237945591</v>
      </c>
      <c r="T31" s="85"/>
      <c r="U31" s="97">
        <v>726916.04584327457</v>
      </c>
    </row>
    <row r="32" spans="2:21" ht="15" customHeight="1" x14ac:dyDescent="0.2">
      <c r="B32" s="52" t="s">
        <v>14</v>
      </c>
      <c r="C32" s="82">
        <v>220722.9098961867</v>
      </c>
      <c r="D32" s="82">
        <v>268235.17864449124</v>
      </c>
      <c r="E32" s="82">
        <v>351793.12524402793</v>
      </c>
      <c r="F32" s="82">
        <v>330322.1897919334</v>
      </c>
      <c r="G32" s="82">
        <v>324586.1306260486</v>
      </c>
      <c r="H32" s="82">
        <v>563754.85845576867</v>
      </c>
      <c r="I32" s="82">
        <v>319847.6469672742</v>
      </c>
      <c r="J32" s="82">
        <v>331319.76529904385</v>
      </c>
      <c r="K32" s="82">
        <v>542431.68199128367</v>
      </c>
      <c r="L32" s="82">
        <v>486442.75665471214</v>
      </c>
      <c r="M32" s="82">
        <v>414617.32014276285</v>
      </c>
      <c r="N32" s="82">
        <v>576349.24923303747</v>
      </c>
      <c r="P32" s="82">
        <v>840751.21378470585</v>
      </c>
      <c r="Q32" s="82">
        <v>1218663.1788737508</v>
      </c>
      <c r="R32" s="82">
        <v>1193599.0942576015</v>
      </c>
      <c r="S32" s="82">
        <v>1477409.3260305123</v>
      </c>
      <c r="T32" s="79"/>
      <c r="U32" s="82"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v>168</v>
      </c>
      <c r="D34" s="86">
        <v>160</v>
      </c>
      <c r="E34" s="86">
        <v>184</v>
      </c>
      <c r="F34" s="86">
        <v>160</v>
      </c>
      <c r="G34" s="86">
        <v>184</v>
      </c>
      <c r="H34" s="86">
        <v>168</v>
      </c>
      <c r="I34" s="86">
        <v>160</v>
      </c>
      <c r="J34" s="86">
        <v>184</v>
      </c>
      <c r="K34" s="86">
        <v>160</v>
      </c>
      <c r="L34" s="86">
        <v>176</v>
      </c>
      <c r="M34" s="86">
        <v>168</v>
      </c>
      <c r="N34" s="86">
        <v>168</v>
      </c>
      <c r="O34" s="38"/>
      <c r="P34" s="86">
        <v>512</v>
      </c>
      <c r="Q34" s="86">
        <v>512</v>
      </c>
      <c r="R34" s="86">
        <v>504</v>
      </c>
      <c r="S34" s="86">
        <v>512</v>
      </c>
      <c r="T34" s="86"/>
      <c r="U34" s="86"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v>16</v>
      </c>
      <c r="D36" s="103">
        <v>16</v>
      </c>
      <c r="E36" s="103">
        <v>16</v>
      </c>
      <c r="F36" s="103">
        <v>17</v>
      </c>
      <c r="G36" s="103">
        <v>18</v>
      </c>
      <c r="H36" s="103">
        <v>18</v>
      </c>
      <c r="I36" s="103">
        <v>18</v>
      </c>
      <c r="J36" s="103">
        <v>19</v>
      </c>
      <c r="K36" s="103">
        <v>19</v>
      </c>
      <c r="L36" s="103">
        <v>19</v>
      </c>
      <c r="M36" s="103">
        <v>19</v>
      </c>
      <c r="N36" s="103">
        <v>20</v>
      </c>
      <c r="O36" s="37"/>
      <c r="P36" s="103">
        <v>16</v>
      </c>
      <c r="Q36" s="103">
        <v>17.70064874884152</v>
      </c>
      <c r="R36" s="103">
        <v>18.694915254237287</v>
      </c>
      <c r="S36" s="103">
        <v>19.339270568278202</v>
      </c>
      <c r="T36" s="87"/>
      <c r="U36" s="103">
        <v>18.038498912362567</v>
      </c>
    </row>
    <row r="37" spans="2:21" ht="15" customHeight="1" x14ac:dyDescent="0.2">
      <c r="B37" s="51" t="s">
        <v>1</v>
      </c>
      <c r="C37" s="103">
        <v>225</v>
      </c>
      <c r="D37" s="103">
        <v>225</v>
      </c>
      <c r="E37" s="103">
        <v>225</v>
      </c>
      <c r="F37" s="103">
        <v>235</v>
      </c>
      <c r="G37" s="103">
        <v>235</v>
      </c>
      <c r="H37" s="103">
        <v>235</v>
      </c>
      <c r="I37" s="103">
        <v>235</v>
      </c>
      <c r="J37" s="103">
        <v>235</v>
      </c>
      <c r="K37" s="103">
        <v>235</v>
      </c>
      <c r="L37" s="103">
        <v>235</v>
      </c>
      <c r="M37" s="103">
        <v>235</v>
      </c>
      <c r="N37" s="103">
        <v>235</v>
      </c>
      <c r="O37" s="37"/>
      <c r="P37" s="103">
        <v>225</v>
      </c>
      <c r="Q37" s="103">
        <v>235</v>
      </c>
      <c r="R37" s="103">
        <v>235</v>
      </c>
      <c r="S37" s="103">
        <v>235</v>
      </c>
      <c r="T37" s="87"/>
      <c r="U37" s="103">
        <v>232.83360380401808</v>
      </c>
    </row>
    <row r="38" spans="2:21" ht="15" customHeight="1" x14ac:dyDescent="0.2">
      <c r="B38" s="51" t="s">
        <v>2</v>
      </c>
      <c r="C38" s="103">
        <v>128</v>
      </c>
      <c r="D38" s="103">
        <v>128</v>
      </c>
      <c r="E38" s="103">
        <v>128</v>
      </c>
      <c r="F38" s="103">
        <v>136</v>
      </c>
      <c r="G38" s="103">
        <v>144</v>
      </c>
      <c r="H38" s="103">
        <v>144</v>
      </c>
      <c r="I38" s="103">
        <v>144</v>
      </c>
      <c r="J38" s="103">
        <v>152</v>
      </c>
      <c r="K38" s="103">
        <v>152</v>
      </c>
      <c r="L38" s="103">
        <v>152</v>
      </c>
      <c r="M38" s="103">
        <v>152</v>
      </c>
      <c r="N38" s="103">
        <v>160</v>
      </c>
      <c r="O38" s="38"/>
      <c r="P38" s="103">
        <v>384</v>
      </c>
      <c r="Q38" s="103">
        <v>424</v>
      </c>
      <c r="R38" s="103">
        <v>448</v>
      </c>
      <c r="S38" s="103">
        <v>464</v>
      </c>
      <c r="T38" s="86"/>
      <c r="U38" s="103">
        <v>1720</v>
      </c>
    </row>
    <row r="39" spans="2:21" ht="15" customHeight="1" x14ac:dyDescent="0.2">
      <c r="B39" s="51" t="s">
        <v>3</v>
      </c>
      <c r="C39" s="84">
        <v>0.75</v>
      </c>
      <c r="D39" s="84">
        <v>0.75</v>
      </c>
      <c r="E39" s="84">
        <v>0.75</v>
      </c>
      <c r="F39" s="84">
        <v>0.75</v>
      </c>
      <c r="G39" s="84">
        <v>0.75</v>
      </c>
      <c r="H39" s="84">
        <v>0.75</v>
      </c>
      <c r="I39" s="84">
        <v>0.75</v>
      </c>
      <c r="J39" s="84">
        <v>0.75</v>
      </c>
      <c r="K39" s="84">
        <v>0.75</v>
      </c>
      <c r="L39" s="84">
        <v>0.75</v>
      </c>
      <c r="M39" s="84">
        <v>0.75</v>
      </c>
      <c r="N39" s="84">
        <v>0.75</v>
      </c>
      <c r="P39" s="84">
        <v>0.75</v>
      </c>
      <c r="Q39" s="84">
        <v>0.75</v>
      </c>
      <c r="R39" s="84">
        <v>0.75</v>
      </c>
      <c r="S39" s="84">
        <v>0.75</v>
      </c>
      <c r="T39" s="79"/>
      <c r="U39" s="84">
        <v>0.75</v>
      </c>
    </row>
    <row r="40" spans="2:21" ht="15" customHeight="1" x14ac:dyDescent="0.2">
      <c r="B40" s="31" t="s">
        <v>6</v>
      </c>
      <c r="C40" s="104">
        <v>0.625</v>
      </c>
      <c r="D40" s="104">
        <v>0.625</v>
      </c>
      <c r="E40" s="104">
        <v>0.625</v>
      </c>
      <c r="F40" s="104">
        <v>0.625</v>
      </c>
      <c r="G40" s="104">
        <v>0.625</v>
      </c>
      <c r="H40" s="104">
        <v>0.625</v>
      </c>
      <c r="I40" s="104">
        <v>0.625</v>
      </c>
      <c r="J40" s="104">
        <v>0.625</v>
      </c>
      <c r="K40" s="104">
        <v>0.625</v>
      </c>
      <c r="L40" s="104">
        <v>0.625</v>
      </c>
      <c r="M40" s="104">
        <v>0.625</v>
      </c>
      <c r="N40" s="104">
        <v>0.625</v>
      </c>
      <c r="P40" s="104">
        <v>0.625</v>
      </c>
      <c r="Q40" s="104">
        <v>0.625</v>
      </c>
      <c r="R40" s="104">
        <v>0.625</v>
      </c>
      <c r="S40" s="104">
        <v>0.625</v>
      </c>
      <c r="T40" s="79"/>
      <c r="U40" s="104">
        <v>0.625</v>
      </c>
    </row>
    <row r="41" spans="2:21" ht="15" customHeight="1" x14ac:dyDescent="0.2">
      <c r="B41" s="52" t="s">
        <v>25</v>
      </c>
      <c r="C41" s="82">
        <v>360000</v>
      </c>
      <c r="D41" s="82">
        <v>342000</v>
      </c>
      <c r="E41" s="82">
        <v>396000</v>
      </c>
      <c r="F41" s="82">
        <v>379525</v>
      </c>
      <c r="G41" s="82">
        <v>465300</v>
      </c>
      <c r="H41" s="82">
        <v>423000</v>
      </c>
      <c r="I41" s="82">
        <v>401850</v>
      </c>
      <c r="J41" s="82">
        <v>491150</v>
      </c>
      <c r="K41" s="82">
        <v>424175</v>
      </c>
      <c r="L41" s="82">
        <v>468825</v>
      </c>
      <c r="M41" s="82">
        <v>446500</v>
      </c>
      <c r="N41" s="82">
        <v>470000</v>
      </c>
      <c r="P41" s="82">
        <v>1098000</v>
      </c>
      <c r="Q41" s="82">
        <v>1267825</v>
      </c>
      <c r="R41" s="82">
        <v>1317175</v>
      </c>
      <c r="S41" s="82">
        <v>1385325</v>
      </c>
      <c r="T41" s="79"/>
      <c r="U41" s="82"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v>5</v>
      </c>
      <c r="D43" s="103">
        <v>5</v>
      </c>
      <c r="E43" s="103">
        <v>5</v>
      </c>
      <c r="F43" s="103">
        <v>6</v>
      </c>
      <c r="G43" s="103">
        <v>6</v>
      </c>
      <c r="H43" s="103">
        <v>6</v>
      </c>
      <c r="I43" s="103">
        <v>6</v>
      </c>
      <c r="J43" s="103">
        <v>6</v>
      </c>
      <c r="K43" s="103">
        <v>6</v>
      </c>
      <c r="L43" s="103">
        <v>7</v>
      </c>
      <c r="M43" s="103">
        <v>7</v>
      </c>
      <c r="N43" s="103">
        <v>7</v>
      </c>
      <c r="P43" s="103">
        <v>5</v>
      </c>
      <c r="Q43" s="103">
        <v>6</v>
      </c>
      <c r="R43" s="103">
        <v>6</v>
      </c>
      <c r="S43" s="103">
        <v>7</v>
      </c>
      <c r="T43" s="87"/>
      <c r="U43" s="103">
        <v>6.0906966864910794</v>
      </c>
    </row>
    <row r="44" spans="2:21" ht="15" customHeight="1" x14ac:dyDescent="0.2">
      <c r="B44" s="51" t="s">
        <v>5</v>
      </c>
      <c r="C44" s="103">
        <v>315</v>
      </c>
      <c r="D44" s="103">
        <v>315</v>
      </c>
      <c r="E44" s="103">
        <v>315</v>
      </c>
      <c r="F44" s="103">
        <v>325</v>
      </c>
      <c r="G44" s="103">
        <v>325</v>
      </c>
      <c r="H44" s="103">
        <v>325</v>
      </c>
      <c r="I44" s="103">
        <v>325</v>
      </c>
      <c r="J44" s="103">
        <v>325</v>
      </c>
      <c r="K44" s="103">
        <v>325</v>
      </c>
      <c r="L44" s="103">
        <v>325</v>
      </c>
      <c r="M44" s="103">
        <v>325</v>
      </c>
      <c r="N44" s="103">
        <v>325</v>
      </c>
      <c r="P44" s="103">
        <v>315</v>
      </c>
      <c r="Q44" s="103">
        <v>325</v>
      </c>
      <c r="R44" s="103">
        <v>325</v>
      </c>
      <c r="S44" s="103">
        <v>325</v>
      </c>
      <c r="T44" s="87"/>
      <c r="U44" s="103">
        <v>322.95932455395069</v>
      </c>
    </row>
    <row r="45" spans="2:21" ht="15" customHeight="1" x14ac:dyDescent="0.2">
      <c r="B45" s="51" t="s">
        <v>2</v>
      </c>
      <c r="C45" s="103">
        <v>40</v>
      </c>
      <c r="D45" s="103">
        <v>40</v>
      </c>
      <c r="E45" s="103">
        <v>40</v>
      </c>
      <c r="F45" s="103">
        <v>48</v>
      </c>
      <c r="G45" s="103">
        <v>48</v>
      </c>
      <c r="H45" s="103">
        <v>48</v>
      </c>
      <c r="I45" s="103">
        <v>48</v>
      </c>
      <c r="J45" s="103">
        <v>48</v>
      </c>
      <c r="K45" s="103">
        <v>48</v>
      </c>
      <c r="L45" s="103">
        <v>56</v>
      </c>
      <c r="M45" s="103">
        <v>56</v>
      </c>
      <c r="N45" s="103">
        <v>56</v>
      </c>
      <c r="P45" s="103">
        <v>120</v>
      </c>
      <c r="Q45" s="103">
        <v>144</v>
      </c>
      <c r="R45" s="103">
        <v>144</v>
      </c>
      <c r="S45" s="103">
        <v>168</v>
      </c>
      <c r="T45" s="86"/>
      <c r="U45" s="103">
        <v>576</v>
      </c>
    </row>
    <row r="46" spans="2:21" ht="15" customHeight="1" x14ac:dyDescent="0.2">
      <c r="B46" s="31" t="s">
        <v>6</v>
      </c>
      <c r="C46" s="104">
        <v>0.375</v>
      </c>
      <c r="D46" s="104">
        <v>0.375</v>
      </c>
      <c r="E46" s="104">
        <v>0.375</v>
      </c>
      <c r="F46" s="104">
        <v>0.375</v>
      </c>
      <c r="G46" s="104">
        <v>0.375</v>
      </c>
      <c r="H46" s="104">
        <v>0.375</v>
      </c>
      <c r="I46" s="104">
        <v>0.375</v>
      </c>
      <c r="J46" s="104">
        <v>0.375</v>
      </c>
      <c r="K46" s="104">
        <v>0.375</v>
      </c>
      <c r="L46" s="104">
        <v>0.375</v>
      </c>
      <c r="M46" s="104">
        <v>0.375</v>
      </c>
      <c r="N46" s="104">
        <v>0.375</v>
      </c>
      <c r="P46" s="104">
        <v>0.375</v>
      </c>
      <c r="Q46" s="104">
        <v>0.375</v>
      </c>
      <c r="R46" s="104">
        <v>0.375</v>
      </c>
      <c r="S46" s="104">
        <v>0.375</v>
      </c>
      <c r="T46" s="79"/>
      <c r="U46" s="104">
        <v>0.375</v>
      </c>
    </row>
    <row r="47" spans="2:21" ht="15" customHeight="1" x14ac:dyDescent="0.2">
      <c r="B47" s="52" t="s">
        <v>25</v>
      </c>
      <c r="C47" s="82">
        <v>94500</v>
      </c>
      <c r="D47" s="82">
        <v>89775</v>
      </c>
      <c r="E47" s="82">
        <v>103950</v>
      </c>
      <c r="F47" s="82">
        <v>111150</v>
      </c>
      <c r="G47" s="82">
        <v>128700</v>
      </c>
      <c r="H47" s="82">
        <v>117000</v>
      </c>
      <c r="I47" s="82">
        <v>111150</v>
      </c>
      <c r="J47" s="82">
        <v>128700</v>
      </c>
      <c r="K47" s="82">
        <v>111150</v>
      </c>
      <c r="L47" s="82">
        <v>143325</v>
      </c>
      <c r="M47" s="82">
        <v>136500</v>
      </c>
      <c r="N47" s="82">
        <v>136500</v>
      </c>
      <c r="P47" s="82">
        <v>288225</v>
      </c>
      <c r="Q47" s="82">
        <v>356850</v>
      </c>
      <c r="R47" s="82">
        <v>351000</v>
      </c>
      <c r="S47" s="82">
        <v>416325</v>
      </c>
      <c r="T47" s="79"/>
      <c r="U47" s="82"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v>0</v>
      </c>
      <c r="D50" s="96">
        <v>153190.23301159657</v>
      </c>
      <c r="E50" s="96">
        <v>169090.83155475667</v>
      </c>
      <c r="F50" s="96">
        <v>265251.83996901853</v>
      </c>
      <c r="G50" s="96">
        <v>163427.07720225363</v>
      </c>
      <c r="H50" s="96">
        <v>188303.63798161977</v>
      </c>
      <c r="I50" s="96">
        <v>277544.04009253083</v>
      </c>
      <c r="J50" s="96">
        <v>235773.56834553348</v>
      </c>
      <c r="K50" s="96">
        <v>204711.9448518455</v>
      </c>
      <c r="L50" s="96">
        <v>273062.85140419292</v>
      </c>
      <c r="M50" s="96">
        <v>194727.24305957937</v>
      </c>
      <c r="N50" s="96">
        <v>241311.15892998144</v>
      </c>
      <c r="P50" s="96">
        <v>322281.06456635322</v>
      </c>
      <c r="Q50" s="96">
        <v>616982.5551528919</v>
      </c>
      <c r="R50" s="96">
        <v>718029.55328990985</v>
      </c>
      <c r="S50" s="96">
        <v>709101.25339375366</v>
      </c>
      <c r="T50" s="79"/>
      <c r="U50" s="96">
        <v>2366394.4264029087</v>
      </c>
    </row>
    <row r="51" spans="2:21" ht="15" customHeight="1" x14ac:dyDescent="0.2">
      <c r="B51" s="55" t="s">
        <v>67</v>
      </c>
      <c r="C51" s="96">
        <v>5500000</v>
      </c>
      <c r="D51" s="96">
        <v>5459895.833333333</v>
      </c>
      <c r="E51" s="96">
        <v>5420084.092881944</v>
      </c>
      <c r="F51" s="96">
        <v>5380562.646371346</v>
      </c>
      <c r="G51" s="96">
        <v>5341329.377074888</v>
      </c>
      <c r="H51" s="96">
        <v>5302382.1837003836</v>
      </c>
      <c r="I51" s="96">
        <v>5263718.9802775681</v>
      </c>
      <c r="J51" s="96">
        <v>5225337.6960463775</v>
      </c>
      <c r="K51" s="96">
        <v>5187236.2753460389</v>
      </c>
      <c r="L51" s="96">
        <v>5149412.6775049744</v>
      </c>
      <c r="M51" s="96">
        <v>5111864.8767315</v>
      </c>
      <c r="N51" s="96">
        <v>5074590.8620053325</v>
      </c>
      <c r="P51" s="96">
        <v>16379979.926215276</v>
      </c>
      <c r="Q51" s="96">
        <v>16024274.207146619</v>
      </c>
      <c r="R51" s="96">
        <v>15676292.951669985</v>
      </c>
      <c r="S51" s="96">
        <v>15335868.416241808</v>
      </c>
      <c r="T51" s="79"/>
      <c r="U51" s="96">
        <v>63416415.501273692</v>
      </c>
    </row>
    <row r="52" spans="2:21" ht="15" customHeight="1" x14ac:dyDescent="0.2">
      <c r="B52" s="105" t="s">
        <v>70</v>
      </c>
      <c r="C52" s="81">
        <v>2502500</v>
      </c>
      <c r="D52" s="81">
        <v>2484252.6041666665</v>
      </c>
      <c r="E52" s="81">
        <v>2466138.2622612845</v>
      </c>
      <c r="F52" s="81">
        <v>2448156.0040989625</v>
      </c>
      <c r="G52" s="81">
        <v>2430304.8665690743</v>
      </c>
      <c r="H52" s="81">
        <v>2412583.8935836744</v>
      </c>
      <c r="I52" s="81">
        <v>2394992.1360262935</v>
      </c>
      <c r="J52" s="81">
        <v>2377528.651701102</v>
      </c>
      <c r="K52" s="81">
        <v>2360192.5052824477</v>
      </c>
      <c r="L52" s="81">
        <v>2342982.7682647635</v>
      </c>
      <c r="M52" s="81">
        <v>2325898.5189128327</v>
      </c>
      <c r="N52" s="81">
        <v>2308938.8422124265</v>
      </c>
      <c r="P52" s="81">
        <v>7452890.8664279506</v>
      </c>
      <c r="Q52" s="81">
        <v>7291044.7642517108</v>
      </c>
      <c r="R52" s="81">
        <v>7132713.2930098427</v>
      </c>
      <c r="S52" s="81">
        <v>6977820.1293900227</v>
      </c>
      <c r="T52" s="79"/>
      <c r="U52" s="81">
        <v>28854469.053079527</v>
      </c>
    </row>
    <row r="53" spans="2:21" ht="15" customHeight="1" x14ac:dyDescent="0.2">
      <c r="B53" s="105" t="s">
        <v>71</v>
      </c>
      <c r="C53" s="81">
        <v>2447500</v>
      </c>
      <c r="D53" s="81">
        <v>2429653.645833333</v>
      </c>
      <c r="E53" s="81">
        <v>2411937.421332465</v>
      </c>
      <c r="F53" s="81">
        <v>2394350.3776352489</v>
      </c>
      <c r="G53" s="81">
        <v>2376891.5727983252</v>
      </c>
      <c r="H53" s="81">
        <v>2359560.0717466706</v>
      </c>
      <c r="I53" s="81">
        <v>2342354.9462235179</v>
      </c>
      <c r="J53" s="81">
        <v>2325275.2747406382</v>
      </c>
      <c r="K53" s="81">
        <v>2308320.1425289875</v>
      </c>
      <c r="L53" s="81">
        <v>2291488.6414897135</v>
      </c>
      <c r="M53" s="81">
        <v>2274779.8701455174</v>
      </c>
      <c r="N53" s="81">
        <v>2258192.933592373</v>
      </c>
      <c r="P53" s="81">
        <v>7289091.0671657976</v>
      </c>
      <c r="Q53" s="81">
        <v>7130802.0221802453</v>
      </c>
      <c r="R53" s="81">
        <v>6975950.3634931436</v>
      </c>
      <c r="S53" s="81">
        <v>6824461.4452276044</v>
      </c>
      <c r="T53" s="79"/>
      <c r="U53" s="81">
        <v>28220304.898066793</v>
      </c>
    </row>
    <row r="54" spans="2:21" ht="15" customHeight="1" x14ac:dyDescent="0.2">
      <c r="B54" s="105" t="s">
        <v>72</v>
      </c>
      <c r="C54" s="81">
        <v>330000</v>
      </c>
      <c r="D54" s="81">
        <v>327593.74999999994</v>
      </c>
      <c r="E54" s="81">
        <v>325205.04557291663</v>
      </c>
      <c r="F54" s="81">
        <v>322833.75878228073</v>
      </c>
      <c r="G54" s="81">
        <v>320479.76262449328</v>
      </c>
      <c r="H54" s="81">
        <v>318142.93102202303</v>
      </c>
      <c r="I54" s="81">
        <v>315823.1388166541</v>
      </c>
      <c r="J54" s="81">
        <v>313520.26176278264</v>
      </c>
      <c r="K54" s="81">
        <v>311234.17652076232</v>
      </c>
      <c r="L54" s="81">
        <v>308964.76065029844</v>
      </c>
      <c r="M54" s="81">
        <v>306711.89260388998</v>
      </c>
      <c r="N54" s="81">
        <v>304475.45172031992</v>
      </c>
      <c r="P54" s="81">
        <v>982798.79557291663</v>
      </c>
      <c r="Q54" s="81">
        <v>961456.45242879703</v>
      </c>
      <c r="R54" s="81">
        <v>940577.57710019895</v>
      </c>
      <c r="S54" s="81">
        <v>920152.10497450829</v>
      </c>
      <c r="T54" s="79"/>
      <c r="U54" s="81">
        <v>3804984.9300764212</v>
      </c>
    </row>
    <row r="55" spans="2:21" ht="15" customHeight="1" x14ac:dyDescent="0.2">
      <c r="B55" s="105" t="s">
        <v>73</v>
      </c>
      <c r="C55" s="81">
        <v>220000</v>
      </c>
      <c r="D55" s="81">
        <v>218395.83333333331</v>
      </c>
      <c r="E55" s="81">
        <v>216803.36371527775</v>
      </c>
      <c r="F55" s="81">
        <v>215222.50585485384</v>
      </c>
      <c r="G55" s="81">
        <v>213653.17508299553</v>
      </c>
      <c r="H55" s="81">
        <v>212095.28734801535</v>
      </c>
      <c r="I55" s="81">
        <v>210548.75921110273</v>
      </c>
      <c r="J55" s="81">
        <v>209013.50784185511</v>
      </c>
      <c r="K55" s="81">
        <v>207489.45101384155</v>
      </c>
      <c r="L55" s="81">
        <v>205976.50710019897</v>
      </c>
      <c r="M55" s="81">
        <v>204474.59506926002</v>
      </c>
      <c r="N55" s="81">
        <v>202983.63448021331</v>
      </c>
      <c r="P55" s="81">
        <v>655199.19704861101</v>
      </c>
      <c r="Q55" s="81">
        <v>640970.96828586468</v>
      </c>
      <c r="R55" s="81">
        <v>627051.71806679945</v>
      </c>
      <c r="S55" s="81">
        <v>613434.73664967227</v>
      </c>
      <c r="T55" s="79"/>
      <c r="U55" s="81">
        <v>2536656.6200509472</v>
      </c>
    </row>
    <row r="56" spans="2:21" ht="15" customHeight="1" x14ac:dyDescent="0.2">
      <c r="B56" s="55" t="s">
        <v>68</v>
      </c>
      <c r="C56" s="107">
        <v>454500</v>
      </c>
      <c r="D56" s="107">
        <v>431775</v>
      </c>
      <c r="E56" s="107">
        <v>499950</v>
      </c>
      <c r="F56" s="107">
        <v>490675</v>
      </c>
      <c r="G56" s="107">
        <v>594000</v>
      </c>
      <c r="H56" s="107">
        <v>540000</v>
      </c>
      <c r="I56" s="107">
        <v>513000</v>
      </c>
      <c r="J56" s="107">
        <v>619850</v>
      </c>
      <c r="K56" s="107">
        <v>535325</v>
      </c>
      <c r="L56" s="107">
        <v>612150</v>
      </c>
      <c r="M56" s="107">
        <v>583000</v>
      </c>
      <c r="N56" s="107">
        <v>606500</v>
      </c>
      <c r="P56" s="107">
        <v>1386225</v>
      </c>
      <c r="Q56" s="107">
        <v>1624675</v>
      </c>
      <c r="R56" s="107">
        <v>1668175</v>
      </c>
      <c r="S56" s="107">
        <v>1801650</v>
      </c>
      <c r="T56" s="79"/>
      <c r="U56" s="107">
        <v>6480725</v>
      </c>
    </row>
    <row r="57" spans="2:21" ht="15" customHeight="1" x14ac:dyDescent="0.2">
      <c r="B57" s="105" t="s">
        <v>22</v>
      </c>
      <c r="C57" s="27">
        <v>360000</v>
      </c>
      <c r="D57" s="27">
        <v>342000</v>
      </c>
      <c r="E57" s="27">
        <v>396000</v>
      </c>
      <c r="F57" s="27">
        <v>379525</v>
      </c>
      <c r="G57" s="27">
        <v>465300</v>
      </c>
      <c r="H57" s="27">
        <v>423000</v>
      </c>
      <c r="I57" s="27">
        <v>401850</v>
      </c>
      <c r="J57" s="27">
        <v>491150</v>
      </c>
      <c r="K57" s="27">
        <v>424175</v>
      </c>
      <c r="L57" s="27">
        <v>468825</v>
      </c>
      <c r="M57" s="27">
        <v>446500</v>
      </c>
      <c r="N57" s="27">
        <v>470000</v>
      </c>
      <c r="P57" s="27">
        <v>1098000</v>
      </c>
      <c r="Q57" s="27">
        <v>1267825</v>
      </c>
      <c r="R57" s="27">
        <v>1317175</v>
      </c>
      <c r="S57" s="27">
        <v>1385325</v>
      </c>
      <c r="T57" s="79"/>
      <c r="U57" s="27">
        <v>5068325</v>
      </c>
    </row>
    <row r="58" spans="2:21" ht="15" customHeight="1" x14ac:dyDescent="0.2">
      <c r="B58" s="69" t="s">
        <v>23</v>
      </c>
      <c r="C58" s="106">
        <v>94500</v>
      </c>
      <c r="D58" s="106">
        <v>89775</v>
      </c>
      <c r="E58" s="106">
        <v>103950</v>
      </c>
      <c r="F58" s="106">
        <v>111150</v>
      </c>
      <c r="G58" s="106">
        <v>128700</v>
      </c>
      <c r="H58" s="106">
        <v>117000</v>
      </c>
      <c r="I58" s="106">
        <v>111150</v>
      </c>
      <c r="J58" s="106">
        <v>128700</v>
      </c>
      <c r="K58" s="106">
        <v>111150</v>
      </c>
      <c r="L58" s="106">
        <v>143325</v>
      </c>
      <c r="M58" s="106">
        <v>136500</v>
      </c>
      <c r="N58" s="106">
        <v>136500</v>
      </c>
      <c r="P58" s="106">
        <v>288225</v>
      </c>
      <c r="Q58" s="106">
        <v>356850</v>
      </c>
      <c r="R58" s="106">
        <v>351000</v>
      </c>
      <c r="S58" s="106">
        <v>416325</v>
      </c>
      <c r="T58" s="79"/>
      <c r="U58" s="106">
        <v>1412400</v>
      </c>
    </row>
    <row r="59" spans="2:21" ht="15" customHeight="1" x14ac:dyDescent="0.2">
      <c r="B59" s="52" t="s">
        <v>69</v>
      </c>
      <c r="C59" s="28">
        <v>5954500</v>
      </c>
      <c r="D59" s="28">
        <v>6044861.0663449299</v>
      </c>
      <c r="E59" s="28">
        <v>6089124.9244367005</v>
      </c>
      <c r="F59" s="28">
        <v>6136489.4863403644</v>
      </c>
      <c r="G59" s="28">
        <v>6098756.454277142</v>
      </c>
      <c r="H59" s="28">
        <v>6030685.8216820033</v>
      </c>
      <c r="I59" s="28">
        <v>6054263.0203700988</v>
      </c>
      <c r="J59" s="28">
        <v>6080961.2643919112</v>
      </c>
      <c r="K59" s="28">
        <v>5927273.2201978844</v>
      </c>
      <c r="L59" s="28">
        <v>6034625.5289091673</v>
      </c>
      <c r="M59" s="28">
        <v>5889592.1197910793</v>
      </c>
      <c r="N59" s="28">
        <v>5922402.0209353138</v>
      </c>
      <c r="P59" s="28">
        <v>18088485.990781631</v>
      </c>
      <c r="Q59" s="28">
        <v>18265931.762299508</v>
      </c>
      <c r="R59" s="28">
        <v>18062497.504959896</v>
      </c>
      <c r="S59" s="28">
        <v>17846619.66963556</v>
      </c>
      <c r="T59" s="79"/>
      <c r="U59" s="28">
        <v>72263534.927676603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v>327497.5</v>
      </c>
      <c r="D62" s="26">
        <v>332467.35864897113</v>
      </c>
      <c r="E62" s="26">
        <v>334901.87084401853</v>
      </c>
      <c r="F62" s="26">
        <v>337506.92174872005</v>
      </c>
      <c r="G62" s="26">
        <v>335431.60498524283</v>
      </c>
      <c r="H62" s="26">
        <v>331687.72019251017</v>
      </c>
      <c r="I62" s="26">
        <v>332984.46612035541</v>
      </c>
      <c r="J62" s="26">
        <v>334452.86954155512</v>
      </c>
      <c r="K62" s="26">
        <v>326000.02711088362</v>
      </c>
      <c r="L62" s="26">
        <v>331904.40409000422</v>
      </c>
      <c r="M62" s="26">
        <v>323927.56658850936</v>
      </c>
      <c r="N62" s="26">
        <v>325732.11115144228</v>
      </c>
      <c r="P62" s="26">
        <v>994866.72949298972</v>
      </c>
      <c r="Q62" s="26">
        <v>1004626.246926473</v>
      </c>
      <c r="R62" s="26">
        <v>993437.36277279409</v>
      </c>
      <c r="S62" s="26">
        <v>981564.08182995592</v>
      </c>
      <c r="T62" s="79"/>
      <c r="U62" s="26">
        <v>3974494.4210222126</v>
      </c>
    </row>
    <row r="63" spans="2:21" ht="15" customHeight="1" x14ac:dyDescent="0.2">
      <c r="B63" s="57" t="s">
        <v>45</v>
      </c>
      <c r="C63" s="26">
        <v>238180</v>
      </c>
      <c r="D63" s="26">
        <v>241794.44265379719</v>
      </c>
      <c r="E63" s="26">
        <v>243564.99697746802</v>
      </c>
      <c r="F63" s="26">
        <v>245459.57945361457</v>
      </c>
      <c r="G63" s="26">
        <v>243950.25817108568</v>
      </c>
      <c r="H63" s="26">
        <v>241227.43286728015</v>
      </c>
      <c r="I63" s="26">
        <v>242170.52081480395</v>
      </c>
      <c r="J63" s="26">
        <v>243238.45057567646</v>
      </c>
      <c r="K63" s="26">
        <v>237090.92880791539</v>
      </c>
      <c r="L63" s="26">
        <v>241385.02115636668</v>
      </c>
      <c r="M63" s="26">
        <v>235583.68479164317</v>
      </c>
      <c r="N63" s="26">
        <v>236896.08083741256</v>
      </c>
      <c r="P63" s="26">
        <v>723539.43963126524</v>
      </c>
      <c r="Q63" s="26">
        <v>730637.27049198048</v>
      </c>
      <c r="R63" s="26">
        <v>722499.90019839583</v>
      </c>
      <c r="S63" s="26">
        <v>713864.78678542236</v>
      </c>
      <c r="T63" s="79"/>
      <c r="U63" s="26">
        <v>2890541.3971070638</v>
      </c>
    </row>
    <row r="64" spans="2:21" ht="15" customHeight="1" x14ac:dyDescent="0.2">
      <c r="B64" s="57" t="s">
        <v>74</v>
      </c>
      <c r="C64" s="26">
        <v>238180</v>
      </c>
      <c r="D64" s="26">
        <v>241794.44265379719</v>
      </c>
      <c r="E64" s="26">
        <v>243564.99697746802</v>
      </c>
      <c r="F64" s="26">
        <v>245459.57945361457</v>
      </c>
      <c r="G64" s="26">
        <v>243950.25817108568</v>
      </c>
      <c r="H64" s="26">
        <v>241227.43286728015</v>
      </c>
      <c r="I64" s="26">
        <v>242170.52081480395</v>
      </c>
      <c r="J64" s="26">
        <v>243238.45057567646</v>
      </c>
      <c r="K64" s="26">
        <v>237090.92880791539</v>
      </c>
      <c r="L64" s="26">
        <v>241385.02115636668</v>
      </c>
      <c r="M64" s="26">
        <v>235583.68479164317</v>
      </c>
      <c r="N64" s="26">
        <v>236896.08083741256</v>
      </c>
      <c r="P64" s="26">
        <v>723539.43963126524</v>
      </c>
      <c r="Q64" s="26">
        <v>730637.27049198048</v>
      </c>
      <c r="R64" s="26">
        <v>722499.90019839583</v>
      </c>
      <c r="S64" s="26">
        <v>713864.78678542236</v>
      </c>
      <c r="T64" s="79"/>
      <c r="U64" s="26">
        <v>2890541.3971070638</v>
      </c>
    </row>
    <row r="65" spans="2:21" ht="15" customHeight="1" x14ac:dyDescent="0.2">
      <c r="B65" s="89" t="s">
        <v>75</v>
      </c>
      <c r="C65" s="32">
        <v>244134.5</v>
      </c>
      <c r="D65" s="32">
        <v>247839.30372014214</v>
      </c>
      <c r="E65" s="32">
        <v>249654.12190190473</v>
      </c>
      <c r="F65" s="32">
        <v>251596.06893995494</v>
      </c>
      <c r="G65" s="32">
        <v>250049.01462536282</v>
      </c>
      <c r="H65" s="32">
        <v>247258.11868896216</v>
      </c>
      <c r="I65" s="32">
        <v>248224.78383517405</v>
      </c>
      <c r="J65" s="32">
        <v>249319.41184006838</v>
      </c>
      <c r="K65" s="32">
        <v>243018.20202811327</v>
      </c>
      <c r="L65" s="32">
        <v>247419.64668527586</v>
      </c>
      <c r="M65" s="32">
        <v>241473.27691143425</v>
      </c>
      <c r="N65" s="32">
        <v>242818.48285834788</v>
      </c>
      <c r="P65" s="32">
        <v>741627.92562204681</v>
      </c>
      <c r="Q65" s="32">
        <v>748903.20225427998</v>
      </c>
      <c r="R65" s="32">
        <v>740562.39770335576</v>
      </c>
      <c r="S65" s="32">
        <v>731711.40645505791</v>
      </c>
      <c r="T65" s="79"/>
      <c r="U65" s="32">
        <v>2962804.9320347402</v>
      </c>
    </row>
    <row r="66" spans="2:21" ht="15" customHeight="1" x14ac:dyDescent="0.2">
      <c r="B66" s="52" t="s">
        <v>46</v>
      </c>
      <c r="C66" s="28">
        <v>1047992</v>
      </c>
      <c r="D66" s="28">
        <v>1063895.5476767076</v>
      </c>
      <c r="E66" s="28">
        <v>1071685.9867008594</v>
      </c>
      <c r="F66" s="28">
        <v>1080022.1495959042</v>
      </c>
      <c r="G66" s="28">
        <v>1073381.135952777</v>
      </c>
      <c r="H66" s="28">
        <v>1061400.7046160328</v>
      </c>
      <c r="I66" s="28">
        <v>1065550.2915851374</v>
      </c>
      <c r="J66" s="28">
        <v>1070249.1825329764</v>
      </c>
      <c r="K66" s="28">
        <v>1043200.0867548278</v>
      </c>
      <c r="L66" s="28">
        <v>1062094.0930880136</v>
      </c>
      <c r="M66" s="28">
        <v>1036568.21308323</v>
      </c>
      <c r="N66" s="28">
        <v>1042342.7556846153</v>
      </c>
      <c r="P66" s="28">
        <v>3183573.534377567</v>
      </c>
      <c r="Q66" s="28">
        <v>3214803.9901647139</v>
      </c>
      <c r="R66" s="28">
        <v>3178999.5608729413</v>
      </c>
      <c r="S66" s="28">
        <v>3141005.0618558591</v>
      </c>
      <c r="T66" s="79"/>
      <c r="U66" s="28">
        <v>12718382.147271082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v>45360</v>
      </c>
      <c r="D68" s="26">
        <v>43200</v>
      </c>
      <c r="E68" s="26">
        <v>49680</v>
      </c>
      <c r="F68" s="26">
        <v>47940</v>
      </c>
      <c r="G68" s="26">
        <v>58374</v>
      </c>
      <c r="H68" s="26">
        <v>53298</v>
      </c>
      <c r="I68" s="26">
        <v>50760</v>
      </c>
      <c r="J68" s="26">
        <v>61617</v>
      </c>
      <c r="K68" s="26">
        <v>53580</v>
      </c>
      <c r="L68" s="26">
        <v>58938</v>
      </c>
      <c r="M68" s="26">
        <v>56259</v>
      </c>
      <c r="N68" s="26">
        <v>59220</v>
      </c>
      <c r="P68" s="26">
        <v>138240</v>
      </c>
      <c r="Q68" s="26">
        <v>159612</v>
      </c>
      <c r="R68" s="26">
        <v>165957</v>
      </c>
      <c r="S68" s="26">
        <v>174417</v>
      </c>
      <c r="T68" s="79"/>
      <c r="U68" s="26">
        <v>638226</v>
      </c>
    </row>
    <row r="69" spans="2:21" ht="15" customHeight="1" x14ac:dyDescent="0.2">
      <c r="B69" s="57" t="s">
        <v>77</v>
      </c>
      <c r="C69" s="26">
        <v>34398</v>
      </c>
      <c r="D69" s="26">
        <v>32760.000000000004</v>
      </c>
      <c r="E69" s="26">
        <v>37674</v>
      </c>
      <c r="F69" s="26">
        <v>40560</v>
      </c>
      <c r="G69" s="26">
        <v>46644</v>
      </c>
      <c r="H69" s="26">
        <v>42588</v>
      </c>
      <c r="I69" s="26">
        <v>40560</v>
      </c>
      <c r="J69" s="26">
        <v>46644</v>
      </c>
      <c r="K69" s="26">
        <v>40560</v>
      </c>
      <c r="L69" s="26">
        <v>52052</v>
      </c>
      <c r="M69" s="26">
        <v>49686</v>
      </c>
      <c r="N69" s="26">
        <v>49686</v>
      </c>
      <c r="P69" s="26">
        <v>104832</v>
      </c>
      <c r="Q69" s="26">
        <v>129792</v>
      </c>
      <c r="R69" s="26">
        <v>127764</v>
      </c>
      <c r="S69" s="26">
        <v>151424</v>
      </c>
      <c r="T69" s="79"/>
      <c r="U69" s="26">
        <v>513812</v>
      </c>
    </row>
    <row r="70" spans="2:21" ht="15" customHeight="1" x14ac:dyDescent="0.2">
      <c r="B70" s="89" t="s">
        <v>27</v>
      </c>
      <c r="C70" s="32">
        <v>18382.827961391591</v>
      </c>
      <c r="D70" s="32">
        <v>20290.899786570801</v>
      </c>
      <c r="E70" s="32">
        <v>31830.220796282229</v>
      </c>
      <c r="F70" s="32">
        <v>19611.249264270435</v>
      </c>
      <c r="G70" s="32">
        <v>22596.436557794372</v>
      </c>
      <c r="H70" s="32">
        <v>33305.284811103702</v>
      </c>
      <c r="I70" s="32">
        <v>28292.828201464021</v>
      </c>
      <c r="J70" s="32">
        <v>24565.433382221461</v>
      </c>
      <c r="K70" s="32">
        <v>32767.542168503154</v>
      </c>
      <c r="L70" s="32">
        <v>23367.269167149523</v>
      </c>
      <c r="M70" s="32">
        <v>28957.339071597773</v>
      </c>
      <c r="N70" s="32">
        <v>31005.054876025319</v>
      </c>
      <c r="P70" s="32">
        <v>70503.948544244617</v>
      </c>
      <c r="Q70" s="32">
        <v>75512.970633168501</v>
      </c>
      <c r="R70" s="32">
        <v>85625.803752188629</v>
      </c>
      <c r="S70" s="32">
        <v>83329.663114772615</v>
      </c>
      <c r="T70" s="79"/>
      <c r="U70" s="32">
        <v>314972.38604437432</v>
      </c>
    </row>
    <row r="71" spans="2:21" ht="15" customHeight="1" x14ac:dyDescent="0.2">
      <c r="B71" s="52" t="s">
        <v>24</v>
      </c>
      <c r="C71" s="28">
        <v>98140.827961391595</v>
      </c>
      <c r="D71" s="28">
        <v>96250.899786570808</v>
      </c>
      <c r="E71" s="28">
        <v>119184.22079628223</v>
      </c>
      <c r="F71" s="28">
        <v>108111.24926427043</v>
      </c>
      <c r="G71" s="28">
        <v>127614.43655779437</v>
      </c>
      <c r="H71" s="28">
        <v>129191.2848111037</v>
      </c>
      <c r="I71" s="28">
        <v>119612.82820146403</v>
      </c>
      <c r="J71" s="28">
        <v>132826.43338222147</v>
      </c>
      <c r="K71" s="28">
        <v>126907.54216850316</v>
      </c>
      <c r="L71" s="28">
        <v>134357.26916714953</v>
      </c>
      <c r="M71" s="28">
        <v>134902.33907159779</v>
      </c>
      <c r="N71" s="28">
        <v>139911.05487602533</v>
      </c>
      <c r="P71" s="28">
        <v>313575.94854424463</v>
      </c>
      <c r="Q71" s="28">
        <v>364916.97063316853</v>
      </c>
      <c r="R71" s="28">
        <v>379346.80375218869</v>
      </c>
      <c r="S71" s="28">
        <v>409170.66311477264</v>
      </c>
      <c r="T71" s="79"/>
      <c r="U71" s="28">
        <v>1467010.3860443747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v>4808367.1720386082</v>
      </c>
      <c r="D73" s="28">
        <v>4884714.6188816512</v>
      </c>
      <c r="E73" s="28">
        <v>4898254.7169395583</v>
      </c>
      <c r="F73" s="28">
        <v>4948356.0874801902</v>
      </c>
      <c r="G73" s="28">
        <v>4897760.8817665707</v>
      </c>
      <c r="H73" s="28">
        <v>4840093.8322548671</v>
      </c>
      <c r="I73" s="28">
        <v>4869099.9005834972</v>
      </c>
      <c r="J73" s="28">
        <v>4877885.6484767133</v>
      </c>
      <c r="K73" s="28">
        <v>4757165.5912745539</v>
      </c>
      <c r="L73" s="28">
        <v>4838174.1666540038</v>
      </c>
      <c r="M73" s="28">
        <v>4718121.5676362514</v>
      </c>
      <c r="N73" s="28">
        <v>4740148.2103746729</v>
      </c>
      <c r="P73" s="28">
        <v>14591336.507859819</v>
      </c>
      <c r="Q73" s="28">
        <v>14686210.801501626</v>
      </c>
      <c r="R73" s="28">
        <v>14504151.140334764</v>
      </c>
      <c r="S73" s="28">
        <v>14296443.944664927</v>
      </c>
      <c r="T73" s="79"/>
      <c r="U73" s="28">
        <v>58078142.394361146</v>
      </c>
    </row>
    <row r="74" spans="2:21" ht="15" customHeight="1" x14ac:dyDescent="0.2">
      <c r="B74" s="52" t="s">
        <v>29</v>
      </c>
      <c r="C74" s="71">
        <v>0.80751820842028854</v>
      </c>
      <c r="D74" s="71">
        <v>0.80807723540207521</v>
      </c>
      <c r="E74" s="71">
        <v>0.8044267078972257</v>
      </c>
      <c r="F74" s="71">
        <v>0.80638223181105051</v>
      </c>
      <c r="G74" s="71">
        <v>0.80307533486301186</v>
      </c>
      <c r="H74" s="71">
        <v>0.80257767944955372</v>
      </c>
      <c r="I74" s="71">
        <v>0.80424320585362474</v>
      </c>
      <c r="J74" s="71">
        <v>0.80215700057818018</v>
      </c>
      <c r="K74" s="71">
        <v>0.80258922012637268</v>
      </c>
      <c r="L74" s="71">
        <v>0.80173560786439768</v>
      </c>
      <c r="M74" s="71">
        <v>0.80109479089081925</v>
      </c>
      <c r="N74" s="71">
        <v>0.80037596124318322</v>
      </c>
      <c r="P74" s="71">
        <v>0.80666433416793137</v>
      </c>
      <c r="Q74" s="71">
        <v>0.80402198982335249</v>
      </c>
      <c r="R74" s="71">
        <v>0.80299809792925803</v>
      </c>
      <c r="S74" s="71">
        <v>0.80107293197876894</v>
      </c>
      <c r="T74" s="79"/>
      <c r="U74" s="71">
        <v>0.8036991610289671</v>
      </c>
    </row>
    <row r="75" spans="2:21" ht="15" customHeight="1" x14ac:dyDescent="0.2">
      <c r="T75" s="79"/>
    </row>
    <row r="76" spans="2:21" ht="15" customHeight="1" x14ac:dyDescent="0.2">
      <c r="B76" s="52" t="s">
        <v>100</v>
      </c>
      <c r="T76" s="79"/>
    </row>
    <row r="77" spans="2:21" ht="15" customHeight="1" x14ac:dyDescent="0.2">
      <c r="B77" s="58" t="s">
        <v>84</v>
      </c>
      <c r="C77" s="26">
        <v>428724</v>
      </c>
      <c r="D77" s="26">
        <v>435229.99677683495</v>
      </c>
      <c r="E77" s="26">
        <v>438416.99455944245</v>
      </c>
      <c r="F77" s="26">
        <v>441827.24301650625</v>
      </c>
      <c r="G77" s="26">
        <v>439110.46470795415</v>
      </c>
      <c r="H77" s="26">
        <v>434209.37916110427</v>
      </c>
      <c r="I77" s="26">
        <v>435906.93746664718</v>
      </c>
      <c r="J77" s="26">
        <v>437829.21103621763</v>
      </c>
      <c r="K77" s="26">
        <v>426763.67185424769</v>
      </c>
      <c r="L77" s="26">
        <v>434493.03808146005</v>
      </c>
      <c r="M77" s="26">
        <v>424050.63262495771</v>
      </c>
      <c r="N77" s="26">
        <v>426412.94550734258</v>
      </c>
      <c r="P77" s="26">
        <v>1302370.9913362775</v>
      </c>
      <c r="Q77" s="26">
        <v>1315147.0868855647</v>
      </c>
      <c r="R77" s="26">
        <v>1300499.8203571127</v>
      </c>
      <c r="S77" s="26">
        <v>1284956.6162137603</v>
      </c>
      <c r="T77" s="33"/>
      <c r="U77" s="26">
        <v>5202974.5147927152</v>
      </c>
    </row>
    <row r="78" spans="2:21" ht="15" customHeight="1" x14ac:dyDescent="0.2">
      <c r="B78" s="58" t="s">
        <v>85</v>
      </c>
      <c r="C78" s="26">
        <v>1444263.9750000003</v>
      </c>
      <c r="D78" s="26">
        <v>1466181.051641963</v>
      </c>
      <c r="E78" s="26">
        <v>1476917.250422122</v>
      </c>
      <c r="F78" s="26">
        <v>1488405.5249118556</v>
      </c>
      <c r="G78" s="26">
        <v>1479253.377984921</v>
      </c>
      <c r="H78" s="26">
        <v>1462742.84604897</v>
      </c>
      <c r="I78" s="26">
        <v>1468461.4955907674</v>
      </c>
      <c r="J78" s="26">
        <v>1474937.1546782583</v>
      </c>
      <c r="K78" s="26">
        <v>1437660.1195589968</v>
      </c>
      <c r="L78" s="26">
        <v>1463698.4220369186</v>
      </c>
      <c r="M78" s="26">
        <v>1428520.5686553265</v>
      </c>
      <c r="N78" s="26">
        <v>1436478.6101778606</v>
      </c>
      <c r="P78" s="26">
        <v>4387362.277064085</v>
      </c>
      <c r="Q78" s="26">
        <v>4430401.7489457466</v>
      </c>
      <c r="R78" s="26">
        <v>4381058.7698280225</v>
      </c>
      <c r="S78" s="26">
        <v>4328697.6008701054</v>
      </c>
      <c r="T78" s="33"/>
      <c r="U78" s="26">
        <v>17527520.396707959</v>
      </c>
    </row>
    <row r="79" spans="2:21" ht="15" customHeight="1" x14ac:dyDescent="0.2">
      <c r="B79" s="121" t="s">
        <v>86</v>
      </c>
      <c r="C79" s="32">
        <v>20739.523500000003</v>
      </c>
      <c r="D79" s="32">
        <v>21054.251094079391</v>
      </c>
      <c r="E79" s="32">
        <v>21208.42211181303</v>
      </c>
      <c r="F79" s="32">
        <v>21373.392880923489</v>
      </c>
      <c r="G79" s="32">
        <v>21241.968730247285</v>
      </c>
      <c r="H79" s="32">
        <v>21004.878716918418</v>
      </c>
      <c r="I79" s="32">
        <v>21086.998099949054</v>
      </c>
      <c r="J79" s="32">
        <v>21179.988083877026</v>
      </c>
      <c r="K79" s="32">
        <v>20644.692625949232</v>
      </c>
      <c r="L79" s="32">
        <v>21018.600717190631</v>
      </c>
      <c r="M79" s="32">
        <v>20513.449353232332</v>
      </c>
      <c r="N79" s="32">
        <v>20627.726238917701</v>
      </c>
      <c r="P79" s="32">
        <v>63002.196705892427</v>
      </c>
      <c r="Q79" s="32">
        <v>63620.240328089189</v>
      </c>
      <c r="R79" s="32">
        <v>62911.678809775316</v>
      </c>
      <c r="S79" s="32">
        <v>62159.776309340668</v>
      </c>
      <c r="T79" s="33"/>
      <c r="U79" s="32">
        <v>251693.89215309761</v>
      </c>
    </row>
    <row r="80" spans="2:21" ht="15" customHeight="1" x14ac:dyDescent="0.2">
      <c r="B80" s="23" t="s">
        <v>87</v>
      </c>
      <c r="C80" s="28">
        <v>1893727.4985000002</v>
      </c>
      <c r="D80" s="28">
        <v>1922465.2995128774</v>
      </c>
      <c r="E80" s="28">
        <v>1936542.6670933773</v>
      </c>
      <c r="F80" s="28">
        <v>1951606.1608092855</v>
      </c>
      <c r="G80" s="28">
        <v>1939605.8114231224</v>
      </c>
      <c r="H80" s="28">
        <v>1917957.1039269927</v>
      </c>
      <c r="I80" s="28">
        <v>1925455.4311573636</v>
      </c>
      <c r="J80" s="28">
        <v>1933946.3537983531</v>
      </c>
      <c r="K80" s="28">
        <v>1885068.4840391935</v>
      </c>
      <c r="L80" s="28">
        <v>1919210.0608355692</v>
      </c>
      <c r="M80" s="28">
        <v>1873084.6506335165</v>
      </c>
      <c r="N80" s="28">
        <v>1883519.2819241208</v>
      </c>
      <c r="P80" s="28">
        <v>5752735.4651062554</v>
      </c>
      <c r="Q80" s="28">
        <v>5809169.0761594009</v>
      </c>
      <c r="R80" s="28">
        <v>5744470.2689949106</v>
      </c>
      <c r="S80" s="28">
        <v>5675813.993393207</v>
      </c>
      <c r="T80" s="54"/>
      <c r="U80" s="28">
        <v>22982188.803653769</v>
      </c>
    </row>
    <row r="81" spans="2:21" ht="15" customHeight="1" x14ac:dyDescent="0.2">
      <c r="B81"/>
      <c r="N81" s="35"/>
      <c r="T81" s="51"/>
    </row>
    <row r="82" spans="2:21" ht="15" customHeight="1" x14ac:dyDescent="0.2">
      <c r="B82" s="58" t="s">
        <v>94</v>
      </c>
      <c r="C82" s="28">
        <v>2914639.673538608</v>
      </c>
      <c r="D82" s="28">
        <v>2962249.3193687741</v>
      </c>
      <c r="E82" s="28">
        <v>2961712.0498461807</v>
      </c>
      <c r="F82" s="28">
        <v>2996749.9266709047</v>
      </c>
      <c r="G82" s="28">
        <v>2958155.0703434483</v>
      </c>
      <c r="H82" s="28">
        <v>2922136.7283278741</v>
      </c>
      <c r="I82" s="28">
        <v>2943644.4694261337</v>
      </c>
      <c r="J82" s="28">
        <v>2943939.2946783602</v>
      </c>
      <c r="K82" s="28">
        <v>2872097.1072353604</v>
      </c>
      <c r="L82" s="28">
        <v>2918964.1058184346</v>
      </c>
      <c r="M82" s="28">
        <v>2845036.9170027347</v>
      </c>
      <c r="N82" s="28">
        <v>2856628.9284505518</v>
      </c>
      <c r="P82" s="28">
        <v>8838601.0427535623</v>
      </c>
      <c r="Q82" s="28">
        <v>8877041.7253422253</v>
      </c>
      <c r="R82" s="28">
        <v>8759680.8713398539</v>
      </c>
      <c r="S82" s="28">
        <v>8620629.9512717202</v>
      </c>
      <c r="T82" s="54"/>
      <c r="U82" s="28">
        <v>35095953.590707377</v>
      </c>
    </row>
    <row r="83" spans="2:21" ht="15" customHeight="1" x14ac:dyDescent="0.2">
      <c r="B83" s="58" t="s">
        <v>95</v>
      </c>
      <c r="C83" s="71">
        <v>0.48948520842028853</v>
      </c>
      <c r="D83" s="71">
        <v>0.4900442354020752</v>
      </c>
      <c r="E83" s="71">
        <v>0.48639370789722564</v>
      </c>
      <c r="F83" s="71">
        <v>0.4883492318110505</v>
      </c>
      <c r="G83" s="71">
        <v>0.48504233486301185</v>
      </c>
      <c r="H83" s="71">
        <v>0.48454467944955359</v>
      </c>
      <c r="I83" s="71">
        <v>0.48621020585362473</v>
      </c>
      <c r="J83" s="71">
        <v>0.48412400057818006</v>
      </c>
      <c r="K83" s="71">
        <v>0.48455622012637278</v>
      </c>
      <c r="L83" s="71">
        <v>0.48370260786439773</v>
      </c>
      <c r="M83" s="71">
        <v>0.48306179089081919</v>
      </c>
      <c r="N83" s="71">
        <v>0.48234296124318321</v>
      </c>
      <c r="P83" s="71">
        <v>0.48863133416793125</v>
      </c>
      <c r="Q83" s="71">
        <v>0.48598898982335242</v>
      </c>
      <c r="R83" s="71">
        <v>0.48496509792925796</v>
      </c>
      <c r="S83" s="71">
        <v>0.48303993197876888</v>
      </c>
      <c r="T83" s="123"/>
      <c r="U83" s="71">
        <v>0.48566616102896715</v>
      </c>
    </row>
    <row r="84" spans="2:21" ht="15" customHeight="1" x14ac:dyDescent="0.2">
      <c r="B84"/>
      <c r="T84" s="51"/>
    </row>
    <row r="85" spans="2:21" ht="15" customHeight="1" x14ac:dyDescent="0.2">
      <c r="B85" s="58" t="s">
        <v>89</v>
      </c>
      <c r="C85" s="26">
        <v>132560.924895</v>
      </c>
      <c r="D85" s="26">
        <v>134572.5709659014</v>
      </c>
      <c r="E85" s="26">
        <v>135557.98669653642</v>
      </c>
      <c r="F85" s="26">
        <v>136612.43125664999</v>
      </c>
      <c r="G85" s="26">
        <v>135772.40679961859</v>
      </c>
      <c r="H85" s="26">
        <v>134256.99727488952</v>
      </c>
      <c r="I85" s="26">
        <v>134781.88018101547</v>
      </c>
      <c r="J85" s="26">
        <v>135376.24476588471</v>
      </c>
      <c r="K85" s="26">
        <v>131954.7938827436</v>
      </c>
      <c r="L85" s="26">
        <v>134344.70425848983</v>
      </c>
      <c r="M85" s="26">
        <v>131115.92554434616</v>
      </c>
      <c r="N85" s="26">
        <v>131846.34973468844</v>
      </c>
      <c r="P85" s="26">
        <v>402691.48255743785</v>
      </c>
      <c r="Q85" s="26">
        <v>406641.83533115813</v>
      </c>
      <c r="R85" s="26">
        <v>402112.91882964375</v>
      </c>
      <c r="S85" s="26">
        <v>397306.9795375244</v>
      </c>
      <c r="T85" s="33"/>
      <c r="U85" s="26">
        <v>1608753.216255764</v>
      </c>
    </row>
    <row r="86" spans="2:21" ht="15" customHeight="1" x14ac:dyDescent="0.2">
      <c r="B86" s="58" t="s">
        <v>90</v>
      </c>
      <c r="C86" s="26">
        <v>46291.116630000004</v>
      </c>
      <c r="D86" s="26">
        <v>46993.596210314769</v>
      </c>
      <c r="E86" s="26">
        <v>47337.709640060333</v>
      </c>
      <c r="F86" s="26">
        <v>47705.928375338088</v>
      </c>
      <c r="G86" s="26">
        <v>47412.586501454112</v>
      </c>
      <c r="H86" s="26">
        <v>46883.39587377094</v>
      </c>
      <c r="I86" s="26">
        <v>47066.68831718</v>
      </c>
      <c r="J86" s="26">
        <v>47274.244203959744</v>
      </c>
      <c r="K86" s="26">
        <v>46079.451832069193</v>
      </c>
      <c r="L86" s="26">
        <v>46914.023709313908</v>
      </c>
      <c r="M86" s="26">
        <v>45786.513682152625</v>
      </c>
      <c r="N86" s="26">
        <v>46041.582447034059</v>
      </c>
      <c r="P86" s="26">
        <v>140622.4224803751</v>
      </c>
      <c r="Q86" s="26">
        <v>142001.91075056314</v>
      </c>
      <c r="R86" s="26">
        <v>140420.38435320894</v>
      </c>
      <c r="S86" s="26">
        <v>138742.11983850057</v>
      </c>
      <c r="T86" s="33"/>
      <c r="U86" s="26">
        <v>561786.83742264775</v>
      </c>
    </row>
    <row r="87" spans="2:21" ht="15" customHeight="1" x14ac:dyDescent="0.2">
      <c r="B87" s="58" t="s">
        <v>91</v>
      </c>
      <c r="C87" s="26">
        <v>21041.416650000003</v>
      </c>
      <c r="D87" s="26">
        <v>21360.725550143077</v>
      </c>
      <c r="E87" s="26">
        <v>21517.140745481971</v>
      </c>
      <c r="F87" s="26">
        <v>21684.512897880952</v>
      </c>
      <c r="G87" s="26">
        <v>21551.175682479141</v>
      </c>
      <c r="H87" s="26">
        <v>21310.634488077703</v>
      </c>
      <c r="I87" s="26">
        <v>21393.949235081818</v>
      </c>
      <c r="J87" s="26">
        <v>21488.292819981703</v>
      </c>
      <c r="K87" s="26">
        <v>20945.205378213272</v>
      </c>
      <c r="L87" s="26">
        <v>21324.556231506325</v>
      </c>
      <c r="M87" s="26">
        <v>20812.051673705741</v>
      </c>
      <c r="N87" s="26">
        <v>20927.992021379119</v>
      </c>
      <c r="P87" s="26">
        <v>63919.282945625047</v>
      </c>
      <c r="Q87" s="26">
        <v>64546.323068437792</v>
      </c>
      <c r="R87" s="26">
        <v>63827.447433276793</v>
      </c>
      <c r="S87" s="26">
        <v>63064.599926591181</v>
      </c>
      <c r="T87" s="33"/>
      <c r="U87" s="26">
        <v>255357.65337393081</v>
      </c>
    </row>
    <row r="88" spans="2:21" ht="15" customHeight="1" x14ac:dyDescent="0.2">
      <c r="B88" s="121" t="s">
        <v>92</v>
      </c>
      <c r="C88" s="32">
        <v>10520.708325000001</v>
      </c>
      <c r="D88" s="32">
        <v>10680.362775071539</v>
      </c>
      <c r="E88" s="32">
        <v>10758.570372740985</v>
      </c>
      <c r="F88" s="32">
        <v>10842.256448940476</v>
      </c>
      <c r="G88" s="32">
        <v>10775.58784123957</v>
      </c>
      <c r="H88" s="32">
        <v>10655.317244038852</v>
      </c>
      <c r="I88" s="32">
        <v>10696.974617540909</v>
      </c>
      <c r="J88" s="32">
        <v>10744.146409990852</v>
      </c>
      <c r="K88" s="32">
        <v>10472.602689106636</v>
      </c>
      <c r="L88" s="32">
        <v>10662.278115753163</v>
      </c>
      <c r="M88" s="32">
        <v>10406.02583685287</v>
      </c>
      <c r="N88" s="32">
        <v>10463.99601068956</v>
      </c>
      <c r="P88" s="32">
        <v>31959.641472812524</v>
      </c>
      <c r="Q88" s="32">
        <v>32273.161534218896</v>
      </c>
      <c r="R88" s="32">
        <v>31913.723716638397</v>
      </c>
      <c r="S88" s="32">
        <v>31532.299963295591</v>
      </c>
      <c r="T88" s="33"/>
      <c r="U88" s="32">
        <v>127678.8266869654</v>
      </c>
    </row>
    <row r="89" spans="2:21" ht="15" customHeight="1" x14ac:dyDescent="0.2">
      <c r="B89" s="23" t="s">
        <v>93</v>
      </c>
      <c r="C89" s="28">
        <v>210414.16650000002</v>
      </c>
      <c r="D89" s="28">
        <v>213607.25550143077</v>
      </c>
      <c r="E89" s="28">
        <v>215171.40745481971</v>
      </c>
      <c r="F89" s="28">
        <v>216845.12897880949</v>
      </c>
      <c r="G89" s="28">
        <v>215511.7568247914</v>
      </c>
      <c r="H89" s="28">
        <v>213106.344880777</v>
      </c>
      <c r="I89" s="28">
        <v>213939.49235081818</v>
      </c>
      <c r="J89" s="28">
        <v>214882.92819981702</v>
      </c>
      <c r="K89" s="28">
        <v>209452.05378213269</v>
      </c>
      <c r="L89" s="28">
        <v>213245.56231506323</v>
      </c>
      <c r="M89" s="28">
        <v>208120.51673705739</v>
      </c>
      <c r="N89" s="28">
        <v>209279.92021379119</v>
      </c>
      <c r="P89" s="28">
        <v>639192.82945625042</v>
      </c>
      <c r="Q89" s="28">
        <v>645463.23068437795</v>
      </c>
      <c r="R89" s="28">
        <v>638274.47433276789</v>
      </c>
      <c r="S89" s="28">
        <v>630645.99926591176</v>
      </c>
      <c r="T89" s="54"/>
      <c r="U89" s="28">
        <v>2553576.5337393079</v>
      </c>
    </row>
    <row r="90" spans="2:21" ht="15" customHeight="1" x14ac:dyDescent="0.2">
      <c r="B90"/>
    </row>
    <row r="91" spans="2:21" ht="15" customHeight="1" x14ac:dyDescent="0.2">
      <c r="B91" s="23" t="s">
        <v>96</v>
      </c>
      <c r="C91" s="28">
        <v>2704225.5070386082</v>
      </c>
      <c r="D91" s="28">
        <v>2748642.0638673431</v>
      </c>
      <c r="E91" s="28">
        <v>2746540.6423913608</v>
      </c>
      <c r="F91" s="28">
        <v>2779904.7976920954</v>
      </c>
      <c r="G91" s="28">
        <v>2742643.3135186569</v>
      </c>
      <c r="H91" s="28">
        <v>2709030.3834470971</v>
      </c>
      <c r="I91" s="28">
        <v>2729704.9770753155</v>
      </c>
      <c r="J91" s="28">
        <v>2729056.3664785433</v>
      </c>
      <c r="K91" s="28">
        <v>2662645.0534532275</v>
      </c>
      <c r="L91" s="28">
        <v>2705718.5435033715</v>
      </c>
      <c r="M91" s="28">
        <v>2636916.4002656774</v>
      </c>
      <c r="N91" s="28">
        <v>2647349.0082367607</v>
      </c>
      <c r="P91" s="28">
        <v>8199408.2132973121</v>
      </c>
      <c r="Q91" s="28">
        <v>8231578.4946578471</v>
      </c>
      <c r="R91" s="28">
        <v>8121406.3970070863</v>
      </c>
      <c r="S91" s="28">
        <v>7989983.9520058082</v>
      </c>
      <c r="T91" s="28"/>
      <c r="U91" s="28">
        <v>32542377.056968071</v>
      </c>
    </row>
    <row r="92" spans="2:21" ht="15" customHeight="1" x14ac:dyDescent="0.2">
      <c r="B92" s="23" t="s">
        <v>97</v>
      </c>
      <c r="C92" s="71">
        <v>0.45414820842028858</v>
      </c>
      <c r="D92" s="71">
        <v>0.45470723540207514</v>
      </c>
      <c r="E92" s="71">
        <v>0.45105670789722563</v>
      </c>
      <c r="F92" s="71">
        <v>0.45301223181105049</v>
      </c>
      <c r="G92" s="71">
        <v>0.44970533486301184</v>
      </c>
      <c r="H92" s="71">
        <v>0.44920767944955359</v>
      </c>
      <c r="I92" s="71">
        <v>0.45087320585362478</v>
      </c>
      <c r="J92" s="71">
        <v>0.44878700057818005</v>
      </c>
      <c r="K92" s="71">
        <v>0.44921922012637272</v>
      </c>
      <c r="L92" s="71">
        <v>0.44836560786439772</v>
      </c>
      <c r="M92" s="71">
        <v>0.44772479089081918</v>
      </c>
      <c r="N92" s="71">
        <v>0.4470059612431832</v>
      </c>
      <c r="P92" s="71">
        <v>0.45329433416793125</v>
      </c>
      <c r="Q92" s="71">
        <v>0.45065198982335242</v>
      </c>
      <c r="R92" s="71">
        <v>0.44962809792925801</v>
      </c>
      <c r="S92" s="71">
        <v>0.44770293197876887</v>
      </c>
      <c r="T92" s="71"/>
      <c r="U92" s="71">
        <v>0.4503291610289672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FD41C-72D2-4D8C-9526-5BCE8AEF438F}">
  <dimension ref="B2:U92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98</v>
      </c>
    </row>
    <row r="3" spans="2:21" ht="15" customHeight="1" x14ac:dyDescent="0.2">
      <c r="B3" s="52"/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v>918241.81085671578</v>
      </c>
      <c r="D5" s="96">
        <v>1098822.1071652398</v>
      </c>
      <c r="E5" s="96">
        <v>1389108.8186953156</v>
      </c>
      <c r="F5" s="96">
        <v>1060457.1162919106</v>
      </c>
      <c r="G5" s="96">
        <v>1080187.977512805</v>
      </c>
      <c r="H5" s="96">
        <v>1449758.253748731</v>
      </c>
      <c r="I5" s="96">
        <v>1270033.6214879407</v>
      </c>
      <c r="J5" s="96">
        <v>1137642.609668985</v>
      </c>
      <c r="K5" s="96">
        <v>1505986.0966062024</v>
      </c>
      <c r="L5" s="96">
        <v>825220.26826456212</v>
      </c>
      <c r="M5" s="96">
        <v>1232003.1532279779</v>
      </c>
      <c r="N5" s="96">
        <v>1753899.7673868714</v>
      </c>
      <c r="P5" s="96">
        <v>3406172.7367172712</v>
      </c>
      <c r="Q5" s="96">
        <v>3590403.3475534469</v>
      </c>
      <c r="R5" s="96">
        <v>3913662.3277631281</v>
      </c>
      <c r="S5" s="96">
        <v>3811123.1888794117</v>
      </c>
      <c r="T5" s="91"/>
      <c r="U5" s="96">
        <v>14721361.600913256</v>
      </c>
    </row>
    <row r="6" spans="2:21" s="25" customFormat="1" ht="15" customHeight="1" x14ac:dyDescent="0.2">
      <c r="B6" s="78" t="s">
        <v>10</v>
      </c>
      <c r="C6" s="81">
        <v>622514.35130164481</v>
      </c>
      <c r="D6" s="81">
        <v>935097.23442405579</v>
      </c>
      <c r="E6" s="81">
        <v>1179236.180272124</v>
      </c>
      <c r="F6" s="81">
        <v>777579.95049804996</v>
      </c>
      <c r="G6" s="81">
        <v>753453.09429011669</v>
      </c>
      <c r="H6" s="81">
        <v>1159929.2819288557</v>
      </c>
      <c r="I6" s="81">
        <v>1011896.7065513673</v>
      </c>
      <c r="J6" s="81">
        <v>874189.60777134181</v>
      </c>
      <c r="K6" s="81">
        <v>1000548.9055383139</v>
      </c>
      <c r="L6" s="81">
        <v>766538.84680967382</v>
      </c>
      <c r="M6" s="81">
        <v>1069760.2684737833</v>
      </c>
      <c r="N6" s="81">
        <v>1248360.343877424</v>
      </c>
      <c r="P6" s="81">
        <v>2736847.7659978243</v>
      </c>
      <c r="Q6" s="81">
        <v>2690962.3267170223</v>
      </c>
      <c r="R6" s="81">
        <v>2886635.2198610231</v>
      </c>
      <c r="S6" s="81">
        <v>3084659.4591608811</v>
      </c>
      <c r="T6" s="91"/>
      <c r="U6" s="81">
        <v>11399104.77173675</v>
      </c>
    </row>
    <row r="7" spans="2:21" ht="15" customHeight="1" x14ac:dyDescent="0.2">
      <c r="B7" s="78" t="s">
        <v>11</v>
      </c>
      <c r="C7" s="81">
        <v>295727.45955507096</v>
      </c>
      <c r="D7" s="81">
        <v>163724.87274118402</v>
      </c>
      <c r="E7" s="81">
        <v>209872.6384231917</v>
      </c>
      <c r="F7" s="81">
        <v>282877.16579386062</v>
      </c>
      <c r="G7" s="81">
        <v>326734.8832226884</v>
      </c>
      <c r="H7" s="81">
        <v>289828.97181987535</v>
      </c>
      <c r="I7" s="81">
        <v>258136.91493657327</v>
      </c>
      <c r="J7" s="81">
        <v>263453.00189764332</v>
      </c>
      <c r="K7" s="81">
        <v>505437.1910678884</v>
      </c>
      <c r="L7" s="81">
        <v>58681.421454888339</v>
      </c>
      <c r="M7" s="81">
        <v>162242.88475419473</v>
      </c>
      <c r="N7" s="81">
        <v>505539.42350944749</v>
      </c>
      <c r="P7" s="81">
        <v>669324.97071944666</v>
      </c>
      <c r="Q7" s="81">
        <v>899441.02083642432</v>
      </c>
      <c r="R7" s="81">
        <v>1027027.107902105</v>
      </c>
      <c r="S7" s="81">
        <v>726463.72971853055</v>
      </c>
      <c r="T7" s="79"/>
      <c r="U7" s="81">
        <v>3322256.8291765065</v>
      </c>
    </row>
    <row r="8" spans="2:21" s="25" customFormat="1" ht="15" customHeight="1" x14ac:dyDescent="0.2">
      <c r="B8" s="51" t="s">
        <v>12</v>
      </c>
      <c r="C8" s="96">
        <v>721374.25132581848</v>
      </c>
      <c r="D8" s="96">
        <v>595242.65474325209</v>
      </c>
      <c r="E8" s="96">
        <v>1249710.3438458135</v>
      </c>
      <c r="F8" s="96">
        <v>708675.28488725773</v>
      </c>
      <c r="G8" s="96">
        <v>903837.01582346321</v>
      </c>
      <c r="H8" s="96">
        <v>1378195.5446574034</v>
      </c>
      <c r="I8" s="96">
        <v>1037250.3520580088</v>
      </c>
      <c r="J8" s="96">
        <v>767663.40366682317</v>
      </c>
      <c r="K8" s="96">
        <v>1064955.3437205083</v>
      </c>
      <c r="L8" s="96">
        <v>978466.69816156151</v>
      </c>
      <c r="M8" s="96">
        <v>1432889.9008914893</v>
      </c>
      <c r="N8" s="96">
        <v>944729.99244707869</v>
      </c>
      <c r="P8" s="96">
        <v>2566327.2499148841</v>
      </c>
      <c r="Q8" s="96">
        <v>2990707.8453681245</v>
      </c>
      <c r="R8" s="96">
        <v>2869869.0994453402</v>
      </c>
      <c r="S8" s="96">
        <v>3356086.5915001296</v>
      </c>
      <c r="T8" s="91"/>
      <c r="U8" s="96">
        <v>11782990.786228478</v>
      </c>
    </row>
    <row r="9" spans="2:21" s="25" customFormat="1" ht="15" customHeight="1" x14ac:dyDescent="0.2">
      <c r="B9" s="78" t="s">
        <v>10</v>
      </c>
      <c r="C9" s="81">
        <v>280387.13024097512</v>
      </c>
      <c r="D9" s="81">
        <v>371671.55899892846</v>
      </c>
      <c r="E9" s="81">
        <v>506998.66365879396</v>
      </c>
      <c r="F9" s="81">
        <v>513002.39174325723</v>
      </c>
      <c r="G9" s="81">
        <v>588858.86338006426</v>
      </c>
      <c r="H9" s="81">
        <v>1062092.8353568551</v>
      </c>
      <c r="I9" s="81">
        <v>792710.35184878763</v>
      </c>
      <c r="J9" s="81">
        <v>683730.56914685224</v>
      </c>
      <c r="K9" s="81">
        <v>798742.06590077106</v>
      </c>
      <c r="L9" s="81">
        <v>699678.83003006235</v>
      </c>
      <c r="M9" s="81">
        <v>1139585.0260586068</v>
      </c>
      <c r="N9" s="81">
        <v>650505.02564016473</v>
      </c>
      <c r="P9" s="81">
        <v>1159057.3528986976</v>
      </c>
      <c r="Q9" s="81">
        <v>2163954.0904801767</v>
      </c>
      <c r="R9" s="81">
        <v>2275182.9868964111</v>
      </c>
      <c r="S9" s="81">
        <v>2489768.8817288335</v>
      </c>
      <c r="T9" s="91"/>
      <c r="U9" s="81">
        <v>8087963.3120041192</v>
      </c>
    </row>
    <row r="10" spans="2:21" ht="15" customHeight="1" x14ac:dyDescent="0.2">
      <c r="B10" s="78" t="s">
        <v>11</v>
      </c>
      <c r="C10" s="81">
        <v>440987.1210848433</v>
      </c>
      <c r="D10" s="81">
        <v>223571.0957443236</v>
      </c>
      <c r="E10" s="81">
        <v>742711.68018701964</v>
      </c>
      <c r="F10" s="81">
        <v>195672.89314400047</v>
      </c>
      <c r="G10" s="81">
        <v>314978.1524433989</v>
      </c>
      <c r="H10" s="81">
        <v>316102.7093005483</v>
      </c>
      <c r="I10" s="81">
        <v>244540.00020922109</v>
      </c>
      <c r="J10" s="81">
        <v>83932.834519970944</v>
      </c>
      <c r="K10" s="81">
        <v>266213.27781973733</v>
      </c>
      <c r="L10" s="81">
        <v>278787.8681314991</v>
      </c>
      <c r="M10" s="81">
        <v>293304.87483288266</v>
      </c>
      <c r="N10" s="81">
        <v>294224.96680691402</v>
      </c>
      <c r="P10" s="81">
        <v>1407269.8970161865</v>
      </c>
      <c r="Q10" s="81">
        <v>826753.7548879477</v>
      </c>
      <c r="R10" s="81">
        <v>594686.11254892941</v>
      </c>
      <c r="S10" s="81">
        <v>866317.70977129578</v>
      </c>
      <c r="T10" s="79"/>
      <c r="U10" s="81">
        <v>3695027.4742243597</v>
      </c>
    </row>
    <row r="11" spans="2:21" ht="15" customHeight="1" x14ac:dyDescent="0.2">
      <c r="B11" s="31" t="s">
        <v>13</v>
      </c>
      <c r="C11" s="97">
        <v>198666.7339566247</v>
      </c>
      <c r="D11" s="97">
        <v>335025.21674858825</v>
      </c>
      <c r="E11" s="97">
        <v>544202.91708709358</v>
      </c>
      <c r="F11" s="97">
        <v>191992.52524787508</v>
      </c>
      <c r="G11" s="97">
        <v>275618.66244316887</v>
      </c>
      <c r="H11" s="97">
        <v>502574.68270423537</v>
      </c>
      <c r="I11" s="97">
        <v>521998.84660045261</v>
      </c>
      <c r="J11" s="97">
        <v>551237.32488633774</v>
      </c>
      <c r="K11" s="97">
        <v>705812.77652360452</v>
      </c>
      <c r="L11" s="97">
        <v>533039.95028882893</v>
      </c>
      <c r="M11" s="97">
        <v>230840.85304030988</v>
      </c>
      <c r="N11" s="97">
        <v>401875.72776858194</v>
      </c>
      <c r="P11" s="97">
        <v>1077894.8677923065</v>
      </c>
      <c r="Q11" s="97">
        <v>970185.87039527926</v>
      </c>
      <c r="R11" s="97">
        <v>1779048.9480103948</v>
      </c>
      <c r="S11" s="97">
        <v>1165756.5310977208</v>
      </c>
      <c r="T11" s="79"/>
      <c r="U11" s="97">
        <v>4992886.2172957007</v>
      </c>
    </row>
    <row r="12" spans="2:21" ht="15" customHeight="1" x14ac:dyDescent="0.2">
      <c r="B12" s="52" t="s">
        <v>14</v>
      </c>
      <c r="C12" s="82">
        <v>1838282.796139159</v>
      </c>
      <c r="D12" s="82">
        <v>2029089.9786570801</v>
      </c>
      <c r="E12" s="82">
        <v>3183022.0796282226</v>
      </c>
      <c r="F12" s="82">
        <v>1961124.9264270435</v>
      </c>
      <c r="G12" s="82">
        <v>2259643.6557794372</v>
      </c>
      <c r="H12" s="82">
        <v>3330528.4811103698</v>
      </c>
      <c r="I12" s="82">
        <v>2829282.8201464019</v>
      </c>
      <c r="J12" s="82">
        <v>2456543.338222146</v>
      </c>
      <c r="K12" s="82">
        <v>3276754.2168503152</v>
      </c>
      <c r="L12" s="82">
        <v>2336726.9167149523</v>
      </c>
      <c r="M12" s="82">
        <v>2895733.9071597774</v>
      </c>
      <c r="N12" s="82">
        <v>3100505.4876025319</v>
      </c>
      <c r="P12" s="82">
        <v>7050394.8544244617</v>
      </c>
      <c r="Q12" s="82">
        <v>7551297.06331685</v>
      </c>
      <c r="R12" s="82">
        <v>8562580.3752188645</v>
      </c>
      <c r="S12" s="82">
        <v>8332966.3114772616</v>
      </c>
      <c r="T12" s="79"/>
      <c r="U12" s="82"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v>6.7393931455971043E-2</v>
      </c>
      <c r="D15" s="101">
        <v>0.14484668328968767</v>
      </c>
      <c r="E15" s="101">
        <v>0.11567215284129743</v>
      </c>
      <c r="F15" s="101">
        <v>0.1462793629016185</v>
      </c>
      <c r="G15" s="101">
        <v>0.11740251602634331</v>
      </c>
      <c r="H15" s="101">
        <v>0.20384898186803421</v>
      </c>
      <c r="I15" s="101">
        <v>0.12675550059165933</v>
      </c>
      <c r="J15" s="101">
        <v>0.17077228679600875</v>
      </c>
      <c r="K15" s="101">
        <v>0.19781124572277028</v>
      </c>
      <c r="L15" s="101">
        <v>0.33258751868872005</v>
      </c>
      <c r="M15" s="101">
        <v>0.17732830917255957</v>
      </c>
      <c r="N15" s="101">
        <v>0.20561240301531233</v>
      </c>
      <c r="P15" s="101">
        <v>0.11465475654137559</v>
      </c>
      <c r="Q15" s="101">
        <v>0.16083750648016584</v>
      </c>
      <c r="R15" s="101">
        <v>0.16689292753926907</v>
      </c>
      <c r="S15" s="101">
        <v>0.22396298964093894</v>
      </c>
      <c r="T15" s="79"/>
      <c r="U15" s="101">
        <v>0.16810391600890268</v>
      </c>
    </row>
    <row r="16" spans="2:21" ht="15" customHeight="1" x14ac:dyDescent="0.2">
      <c r="B16" s="94" t="s">
        <v>10</v>
      </c>
      <c r="C16" s="99">
        <v>8.269779157262673E-2</v>
      </c>
      <c r="D16" s="99">
        <v>0.14520413222718045</v>
      </c>
      <c r="E16" s="99">
        <v>0.13561154879632886</v>
      </c>
      <c r="F16" s="99">
        <v>0.17832635139258812</v>
      </c>
      <c r="G16" s="99">
        <v>0.13885500252245264</v>
      </c>
      <c r="H16" s="99">
        <v>0.18952940132167459</v>
      </c>
      <c r="I16" s="99">
        <v>0.13185705933438946</v>
      </c>
      <c r="J16" s="99">
        <v>0.17459490622063628</v>
      </c>
      <c r="K16" s="99">
        <v>0.25025408643068464</v>
      </c>
      <c r="L16" s="99">
        <v>0.25312276989029103</v>
      </c>
      <c r="M16" s="99">
        <v>0.17053504999123692</v>
      </c>
      <c r="N16" s="99">
        <v>0.23583693040225787</v>
      </c>
      <c r="P16" s="99">
        <v>0.12685345296298783</v>
      </c>
      <c r="Q16" s="99">
        <v>0.17210364655718491</v>
      </c>
      <c r="R16" s="99">
        <v>0.1858379005624578</v>
      </c>
      <c r="S16" s="99">
        <v>0.21748576703966052</v>
      </c>
      <c r="T16" s="79"/>
      <c r="U16" s="99">
        <v>0.17699800259839513</v>
      </c>
    </row>
    <row r="17" spans="2:21" ht="15" customHeight="1" x14ac:dyDescent="0.2">
      <c r="B17" s="94" t="s">
        <v>11</v>
      </c>
      <c r="C17" s="100">
        <v>3.5178889378835419E-2</v>
      </c>
      <c r="D17" s="100">
        <v>0.14280515161950749</v>
      </c>
      <c r="E17" s="100">
        <v>4.5604790246004716E-2</v>
      </c>
      <c r="F17" s="100">
        <v>5.8187785575158441E-2</v>
      </c>
      <c r="G17" s="100">
        <v>6.7932921071297683E-2</v>
      </c>
      <c r="H17" s="100">
        <v>0.26115761004404708</v>
      </c>
      <c r="I17" s="100">
        <v>0.10675739032015726</v>
      </c>
      <c r="J17" s="100">
        <v>0.15808807309791401</v>
      </c>
      <c r="K17" s="100">
        <v>9.3996908746969907E-2</v>
      </c>
      <c r="L17" s="100">
        <v>1.3706131049093142</v>
      </c>
      <c r="M17" s="100">
        <v>0.22212015799005139</v>
      </c>
      <c r="N17" s="100">
        <v>0.13097707360742727</v>
      </c>
      <c r="P17" s="100">
        <v>6.4774688547365178E-2</v>
      </c>
      <c r="Q17" s="100">
        <v>0.1271312847130262</v>
      </c>
      <c r="R17" s="100">
        <v>0.11364484290033255</v>
      </c>
      <c r="S17" s="100">
        <v>0.25146611904543847</v>
      </c>
      <c r="T17" s="79"/>
      <c r="U17" s="100">
        <v>0.13758712272785661</v>
      </c>
    </row>
    <row r="18" spans="2:21" ht="15" customHeight="1" x14ac:dyDescent="0.2">
      <c r="B18" s="93" t="s">
        <v>12</v>
      </c>
      <c r="C18" s="101">
        <v>0.17841142091049092</v>
      </c>
      <c r="D18" s="101">
        <v>0.16576614011777902</v>
      </c>
      <c r="E18" s="101">
        <v>8.7735600019642646E-2</v>
      </c>
      <c r="F18" s="101">
        <v>0.19496123355955849</v>
      </c>
      <c r="G18" s="101">
        <v>0.12927223517600184</v>
      </c>
      <c r="H18" s="101">
        <v>0.12033628224965125</v>
      </c>
      <c r="I18" s="101">
        <v>0.12118049769423624</v>
      </c>
      <c r="J18" s="101">
        <v>9.4538332549951906E-2</v>
      </c>
      <c r="K18" s="101">
        <v>0.16041499448777996</v>
      </c>
      <c r="L18" s="101">
        <v>0.11049149223598738</v>
      </c>
      <c r="M18" s="101">
        <v>9.8512058859721238E-2</v>
      </c>
      <c r="N18" s="101">
        <v>0.16380225226010331</v>
      </c>
      <c r="P18" s="101">
        <v>0.130464673959654</v>
      </c>
      <c r="Q18" s="101">
        <v>0.14071991943780132</v>
      </c>
      <c r="R18" s="101">
        <v>0.12861316138153725</v>
      </c>
      <c r="S18" s="101">
        <v>0.12038368777580427</v>
      </c>
      <c r="T18" s="79"/>
      <c r="U18" s="101">
        <v>0.12974534740309565</v>
      </c>
    </row>
    <row r="19" spans="2:21" ht="15" customHeight="1" x14ac:dyDescent="0.2">
      <c r="B19" s="94" t="s">
        <v>10</v>
      </c>
      <c r="C19" s="99">
        <v>0.25513485939404251</v>
      </c>
      <c r="D19" s="99">
        <v>0.13216248357945287</v>
      </c>
      <c r="E19" s="99">
        <v>0.1076882767868082</v>
      </c>
      <c r="F19" s="99">
        <v>0.15435124114687773</v>
      </c>
      <c r="G19" s="99">
        <v>0.11540937166472348</v>
      </c>
      <c r="H19" s="99">
        <v>9.0990282613901921E-2</v>
      </c>
      <c r="I19" s="99">
        <v>0.10240525647455437</v>
      </c>
      <c r="J19" s="99">
        <v>4.614145810641769E-2</v>
      </c>
      <c r="K19" s="99">
        <v>0.1553360702956525</v>
      </c>
      <c r="L19" s="99">
        <v>0.10728859254871663</v>
      </c>
      <c r="M19" s="99">
        <v>9.4760413813254091E-2</v>
      </c>
      <c r="N19" s="99">
        <v>0.16792263506510405</v>
      </c>
      <c r="P19" s="99">
        <v>0.15120509726926629</v>
      </c>
      <c r="Q19" s="99">
        <v>0.11265604738223021</v>
      </c>
      <c r="R19" s="99">
        <v>0.10407931465914845</v>
      </c>
      <c r="S19" s="99">
        <v>0.1173962875543655</v>
      </c>
      <c r="T19" s="79"/>
      <c r="U19" s="99">
        <v>0.11722691700545769</v>
      </c>
    </row>
    <row r="20" spans="2:21" ht="15" customHeight="1" x14ac:dyDescent="0.2">
      <c r="B20" s="94" t="s">
        <v>11</v>
      </c>
      <c r="C20" s="99">
        <v>0.12962935061850114</v>
      </c>
      <c r="D20" s="99">
        <v>0.22162990628166296</v>
      </c>
      <c r="E20" s="99">
        <v>7.1151099980620497E-2</v>
      </c>
      <c r="F20" s="99">
        <v>0.30142985525591814</v>
      </c>
      <c r="G20" s="99">
        <v>0.15518917572289023</v>
      </c>
      <c r="H20" s="99">
        <v>0.21893770211245839</v>
      </c>
      <c r="I20" s="99">
        <v>0.18204304803596411</v>
      </c>
      <c r="J20" s="99">
        <v>0.48878717089143386</v>
      </c>
      <c r="K20" s="99">
        <v>0.17565371749587982</v>
      </c>
      <c r="L20" s="99">
        <v>0.11852986607525422</v>
      </c>
      <c r="M20" s="99">
        <v>0.11308842251708248</v>
      </c>
      <c r="N20" s="99">
        <v>0.15469245525238268</v>
      </c>
      <c r="P20" s="99">
        <v>0.11338242115924385</v>
      </c>
      <c r="Q20" s="99">
        <v>0.21417459729118007</v>
      </c>
      <c r="R20" s="99">
        <v>0.22247610771242296</v>
      </c>
      <c r="S20" s="99">
        <v>0.12896937871195249</v>
      </c>
      <c r="T20" s="79"/>
      <c r="U20" s="99">
        <v>0.1571466607860838</v>
      </c>
    </row>
    <row r="21" spans="2:21" s="36" customFormat="1" ht="15" customHeight="1" x14ac:dyDescent="0.2">
      <c r="B21" s="19" t="s">
        <v>13</v>
      </c>
      <c r="C21" s="102">
        <v>0.15169917201438265</v>
      </c>
      <c r="D21" s="102">
        <v>3.1052479234059648E-2</v>
      </c>
      <c r="E21" s="102">
        <v>0.13756140402794095</v>
      </c>
      <c r="F21" s="102">
        <v>0.19289808628569899</v>
      </c>
      <c r="G21" s="102">
        <v>0.29362421360352814</v>
      </c>
      <c r="H21" s="102">
        <v>0.20370342944125933</v>
      </c>
      <c r="I21" s="102">
        <v>6.3543024716316024E-2</v>
      </c>
      <c r="J21" s="102">
        <v>0.11695201728276121</v>
      </c>
      <c r="K21" s="102">
        <v>0.10441280328015808</v>
      </c>
      <c r="L21" s="102">
        <v>0.1948682263338565</v>
      </c>
      <c r="M21" s="102">
        <v>0.23822191395150702</v>
      </c>
      <c r="N21" s="102">
        <v>0.15173049442597039</v>
      </c>
      <c r="P21" s="102">
        <v>0.10706263053367782</v>
      </c>
      <c r="Q21" s="102">
        <v>0.22711059484224291</v>
      </c>
      <c r="R21" s="102">
        <v>9.6306284061393493E-2</v>
      </c>
      <c r="S21" s="102">
        <v>0.18858200363024816</v>
      </c>
      <c r="T21" s="85"/>
      <c r="U21" s="102">
        <v>0.1455903487896815</v>
      </c>
    </row>
    <row r="22" spans="2:21" ht="15" customHeight="1" x14ac:dyDescent="0.2">
      <c r="B22" s="95" t="s">
        <v>14</v>
      </c>
      <c r="C22" s="98">
        <v>9.9549306149495281E-2</v>
      </c>
      <c r="D22" s="98">
        <v>0.10960177195157539</v>
      </c>
      <c r="E22" s="98">
        <v>8.7049858779637571E-2</v>
      </c>
      <c r="F22" s="98">
        <v>0.13964829458312192</v>
      </c>
      <c r="G22" s="98">
        <v>0.11909489594017039</v>
      </c>
      <c r="H22" s="98">
        <v>0.1403396189289258</v>
      </c>
      <c r="I22" s="98">
        <v>9.3728128359109347E-2</v>
      </c>
      <c r="J22" s="98">
        <v>0.11182169263736468</v>
      </c>
      <c r="K22" s="98">
        <v>0.13724746376650401</v>
      </c>
      <c r="L22" s="98">
        <v>0.17259448997409876</v>
      </c>
      <c r="M22" s="98">
        <v>0.11871126583876601</v>
      </c>
      <c r="N22" s="98">
        <v>0.15411906819048526</v>
      </c>
      <c r="P22" s="98">
        <v>0.11924881246290682</v>
      </c>
      <c r="Q22" s="98">
        <v>0.16138461626597198</v>
      </c>
      <c r="R22" s="98">
        <v>0.13939712586080016</v>
      </c>
      <c r="S22" s="98">
        <v>0.1772969277453611</v>
      </c>
      <c r="T22" s="79"/>
      <c r="U22" s="98"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v>61883.925660884226</v>
      </c>
      <c r="D25" s="96">
        <v>159160.73774827071</v>
      </c>
      <c r="E25" s="96">
        <v>169489.24245703485</v>
      </c>
      <c r="F25" s="96">
        <v>155122.99135566823</v>
      </c>
      <c r="G25" s="96">
        <v>126816.78634141046</v>
      </c>
      <c r="H25" s="96">
        <v>295531.74398145801</v>
      </c>
      <c r="I25" s="96">
        <v>160983.74745994189</v>
      </c>
      <c r="J25" s="96">
        <v>194277.83000975178</v>
      </c>
      <c r="K25" s="96">
        <v>297900.98581084522</v>
      </c>
      <c r="L25" s="96">
        <v>274457.96139375068</v>
      </c>
      <c r="M25" s="96">
        <v>218469.0360571791</v>
      </c>
      <c r="N25" s="96">
        <v>360623.54582041199</v>
      </c>
      <c r="P25" s="96">
        <v>390533.90586618974</v>
      </c>
      <c r="Q25" s="96">
        <v>577471.52167853666</v>
      </c>
      <c r="R25" s="96">
        <v>653162.56328053889</v>
      </c>
      <c r="S25" s="96">
        <v>853550.54327134183</v>
      </c>
      <c r="T25" s="79"/>
      <c r="U25" s="96">
        <v>2474718.534096607</v>
      </c>
    </row>
    <row r="26" spans="2:21" ht="15" customHeight="1" x14ac:dyDescent="0.2">
      <c r="B26" s="78" t="s">
        <v>10</v>
      </c>
      <c r="C26" s="81">
        <v>51480.562074912355</v>
      </c>
      <c r="D26" s="81">
        <v>135779.98247258135</v>
      </c>
      <c r="E26" s="81">
        <v>159918.04480336962</v>
      </c>
      <c r="F26" s="81">
        <v>138662.99548834653</v>
      </c>
      <c r="G26" s="81">
        <v>104620.7313082039</v>
      </c>
      <c r="H26" s="81">
        <v>219840.70237945591</v>
      </c>
      <c r="I26" s="81">
        <v>133425.72407601692</v>
      </c>
      <c r="J26" s="81">
        <v>152629.05258789225</v>
      </c>
      <c r="K26" s="81">
        <v>250391.45228471214</v>
      </c>
      <c r="L26" s="81">
        <v>194028.43613297411</v>
      </c>
      <c r="M26" s="81">
        <v>182431.62086281565</v>
      </c>
      <c r="N26" s="81">
        <v>294409.47153595876</v>
      </c>
      <c r="P26" s="81">
        <v>347178.58935086336</v>
      </c>
      <c r="Q26" s="81">
        <v>463124.42917600635</v>
      </c>
      <c r="R26" s="81">
        <v>536446.22894862131</v>
      </c>
      <c r="S26" s="81">
        <v>670869.52853174857</v>
      </c>
      <c r="T26" s="79"/>
      <c r="U26" s="81">
        <v>2017618.7760072395</v>
      </c>
    </row>
    <row r="27" spans="2:21" ht="15" customHeight="1" x14ac:dyDescent="0.2">
      <c r="B27" s="78" t="s">
        <v>11</v>
      </c>
      <c r="C27" s="81">
        <v>10403.363585971867</v>
      </c>
      <c r="D27" s="81">
        <v>23380.755275689353</v>
      </c>
      <c r="E27" s="81">
        <v>9571.1976536652473</v>
      </c>
      <c r="F27" s="81">
        <v>16459.995867321704</v>
      </c>
      <c r="G27" s="81">
        <v>22196.055033206558</v>
      </c>
      <c r="H27" s="81">
        <v>75691.041602002122</v>
      </c>
      <c r="I27" s="81">
        <v>27558.023383924985</v>
      </c>
      <c r="J27" s="81">
        <v>41648.777421859515</v>
      </c>
      <c r="K27" s="81">
        <v>47509.533526133098</v>
      </c>
      <c r="L27" s="81">
        <v>80429.525260776558</v>
      </c>
      <c r="M27" s="81">
        <v>36037.415194363435</v>
      </c>
      <c r="N27" s="81">
        <v>66214.074284453251</v>
      </c>
      <c r="P27" s="81">
        <v>43355.316515326471</v>
      </c>
      <c r="Q27" s="81">
        <v>114347.09250253039</v>
      </c>
      <c r="R27" s="81">
        <v>116716.33433191761</v>
      </c>
      <c r="S27" s="81">
        <v>182681.01473959326</v>
      </c>
      <c r="T27" s="79"/>
      <c r="U27" s="81">
        <v>457099.75808936777</v>
      </c>
    </row>
    <row r="28" spans="2:21" ht="15" customHeight="1" x14ac:dyDescent="0.2">
      <c r="B28" s="51" t="s">
        <v>12</v>
      </c>
      <c r="C28" s="96">
        <v>128701.40518728085</v>
      </c>
      <c r="D28" s="96">
        <v>98671.077310248656</v>
      </c>
      <c r="E28" s="96">
        <v>107442.56543639135</v>
      </c>
      <c r="F28" s="96">
        <v>138164.20773479133</v>
      </c>
      <c r="G28" s="96">
        <v>116841.03127030641</v>
      </c>
      <c r="H28" s="96">
        <v>165846.92805710511</v>
      </c>
      <c r="I28" s="96">
        <v>125694.51389591125</v>
      </c>
      <c r="J28" s="96">
        <v>72573.618142282081</v>
      </c>
      <c r="K28" s="96">
        <v>170834.80559265718</v>
      </c>
      <c r="L28" s="96">
        <v>108112.24558309035</v>
      </c>
      <c r="M28" s="96">
        <v>141156.93425612256</v>
      </c>
      <c r="N28" s="96">
        <v>154748.90054050187</v>
      </c>
      <c r="P28" s="96">
        <v>334815.04793392087</v>
      </c>
      <c r="Q28" s="96">
        <v>420852.16706220282</v>
      </c>
      <c r="R28" s="96">
        <v>369102.93763085053</v>
      </c>
      <c r="S28" s="96">
        <v>404018.08037971478</v>
      </c>
      <c r="T28" s="79"/>
      <c r="U28" s="96">
        <v>1528788.233006689</v>
      </c>
    </row>
    <row r="29" spans="2:21" ht="15" customHeight="1" x14ac:dyDescent="0.2">
      <c r="B29" s="78" t="s">
        <v>10</v>
      </c>
      <c r="C29" s="81">
        <v>71536.531049930272</v>
      </c>
      <c r="D29" s="81">
        <v>49121.036313145531</v>
      </c>
      <c r="E29" s="81">
        <v>54597.812422630079</v>
      </c>
      <c r="F29" s="81">
        <v>79182.555876888538</v>
      </c>
      <c r="G29" s="81">
        <v>67959.831421896466</v>
      </c>
      <c r="H29" s="81">
        <v>96640.12725132065</v>
      </c>
      <c r="I29" s="81">
        <v>81177.706891109337</v>
      </c>
      <c r="J29" s="81">
        <v>31548.325412366608</v>
      </c>
      <c r="K29" s="81">
        <v>124073.45369685687</v>
      </c>
      <c r="L29" s="81">
        <v>75067.55691005812</v>
      </c>
      <c r="M29" s="81">
        <v>107987.54864470153</v>
      </c>
      <c r="N29" s="81">
        <v>109234.51802858953</v>
      </c>
      <c r="P29" s="81">
        <v>175255.37978570588</v>
      </c>
      <c r="Q29" s="81">
        <v>243782.51455010567</v>
      </c>
      <c r="R29" s="81">
        <v>236799.48600033281</v>
      </c>
      <c r="S29" s="81">
        <v>292289.62358334917</v>
      </c>
      <c r="T29" s="79"/>
      <c r="U29" s="81">
        <v>948127.00391949352</v>
      </c>
    </row>
    <row r="30" spans="2:21" ht="15" customHeight="1" x14ac:dyDescent="0.2">
      <c r="B30" s="78" t="s">
        <v>11</v>
      </c>
      <c r="C30" s="81">
        <v>57164.874137350569</v>
      </c>
      <c r="D30" s="81">
        <v>49550.040997103133</v>
      </c>
      <c r="E30" s="81">
        <v>52844.75301376127</v>
      </c>
      <c r="F30" s="81">
        <v>58981.651857902798</v>
      </c>
      <c r="G30" s="81">
        <v>48881.199848409939</v>
      </c>
      <c r="H30" s="81">
        <v>69206.800805784471</v>
      </c>
      <c r="I30" s="81">
        <v>44516.807004801907</v>
      </c>
      <c r="J30" s="81">
        <v>41025.292729915476</v>
      </c>
      <c r="K30" s="81">
        <v>46761.351895800311</v>
      </c>
      <c r="L30" s="81">
        <v>33044.688673032222</v>
      </c>
      <c r="M30" s="81">
        <v>33169.385611421028</v>
      </c>
      <c r="N30" s="81">
        <v>45514.382511912328</v>
      </c>
      <c r="P30" s="81">
        <v>159559.66814821499</v>
      </c>
      <c r="Q30" s="81">
        <v>177069.65251209721</v>
      </c>
      <c r="R30" s="81">
        <v>132303.45163051769</v>
      </c>
      <c r="S30" s="81">
        <v>111728.45679636559</v>
      </c>
      <c r="T30" s="79"/>
      <c r="U30" s="81">
        <v>580661.22908719548</v>
      </c>
    </row>
    <row r="31" spans="2:21" ht="15" customHeight="1" x14ac:dyDescent="0.2">
      <c r="B31" s="31" t="s">
        <v>13</v>
      </c>
      <c r="C31" s="97">
        <v>30137.579048021606</v>
      </c>
      <c r="D31" s="97">
        <v>10403.363585971869</v>
      </c>
      <c r="E31" s="97">
        <v>74861.317350601734</v>
      </c>
      <c r="F31" s="97">
        <v>37034.990701473849</v>
      </c>
      <c r="G31" s="97">
        <v>80928.313014331739</v>
      </c>
      <c r="H31" s="97">
        <v>102376.18641720551</v>
      </c>
      <c r="I31" s="97">
        <v>33169.385611421014</v>
      </c>
      <c r="J31" s="97">
        <v>64468.317147010028</v>
      </c>
      <c r="K31" s="97">
        <v>73695.890587781294</v>
      </c>
      <c r="L31" s="97">
        <v>103872.54967787114</v>
      </c>
      <c r="M31" s="97">
        <v>54991.349829461178</v>
      </c>
      <c r="N31" s="97">
        <v>60976.802872123619</v>
      </c>
      <c r="O31" s="36"/>
      <c r="P31" s="97">
        <v>115402.25998459521</v>
      </c>
      <c r="Q31" s="97">
        <v>220339.49013301107</v>
      </c>
      <c r="R31" s="97">
        <v>171333.59334621235</v>
      </c>
      <c r="S31" s="97">
        <v>219840.70237945591</v>
      </c>
      <c r="T31" s="85"/>
      <c r="U31" s="97">
        <v>726916.04584327457</v>
      </c>
    </row>
    <row r="32" spans="2:21" ht="15" customHeight="1" x14ac:dyDescent="0.2">
      <c r="B32" s="52" t="s">
        <v>14</v>
      </c>
      <c r="C32" s="82">
        <v>220722.9098961867</v>
      </c>
      <c r="D32" s="82">
        <v>268235.17864449124</v>
      </c>
      <c r="E32" s="82">
        <v>351793.12524402793</v>
      </c>
      <c r="F32" s="82">
        <v>330322.1897919334</v>
      </c>
      <c r="G32" s="82">
        <v>324586.1306260486</v>
      </c>
      <c r="H32" s="82">
        <v>563754.85845576867</v>
      </c>
      <c r="I32" s="82">
        <v>319847.6469672742</v>
      </c>
      <c r="J32" s="82">
        <v>331319.76529904385</v>
      </c>
      <c r="K32" s="82">
        <v>542431.68199128367</v>
      </c>
      <c r="L32" s="82">
        <v>486442.75665471214</v>
      </c>
      <c r="M32" s="82">
        <v>414617.32014276285</v>
      </c>
      <c r="N32" s="82">
        <v>576349.24923303747</v>
      </c>
      <c r="P32" s="82">
        <v>840751.21378470585</v>
      </c>
      <c r="Q32" s="82">
        <v>1218663.1788737508</v>
      </c>
      <c r="R32" s="82">
        <v>1193599.0942576015</v>
      </c>
      <c r="S32" s="82">
        <v>1477409.3260305123</v>
      </c>
      <c r="T32" s="79"/>
      <c r="U32" s="82"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v>168</v>
      </c>
      <c r="D34" s="86">
        <v>160</v>
      </c>
      <c r="E34" s="86">
        <v>184</v>
      </c>
      <c r="F34" s="86">
        <v>160</v>
      </c>
      <c r="G34" s="86">
        <v>184</v>
      </c>
      <c r="H34" s="86">
        <v>168</v>
      </c>
      <c r="I34" s="86">
        <v>160</v>
      </c>
      <c r="J34" s="86">
        <v>184</v>
      </c>
      <c r="K34" s="86">
        <v>160</v>
      </c>
      <c r="L34" s="86">
        <v>176</v>
      </c>
      <c r="M34" s="86">
        <v>168</v>
      </c>
      <c r="N34" s="86">
        <v>168</v>
      </c>
      <c r="O34" s="38"/>
      <c r="P34" s="86">
        <v>512</v>
      </c>
      <c r="Q34" s="86">
        <v>512</v>
      </c>
      <c r="R34" s="86">
        <v>504</v>
      </c>
      <c r="S34" s="86">
        <v>512</v>
      </c>
      <c r="T34" s="86"/>
      <c r="U34" s="86"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v>16</v>
      </c>
      <c r="D36" s="103">
        <v>16</v>
      </c>
      <c r="E36" s="103">
        <v>16</v>
      </c>
      <c r="F36" s="103">
        <v>17</v>
      </c>
      <c r="G36" s="103">
        <v>18</v>
      </c>
      <c r="H36" s="103">
        <v>18</v>
      </c>
      <c r="I36" s="103">
        <v>18</v>
      </c>
      <c r="J36" s="103">
        <v>19</v>
      </c>
      <c r="K36" s="103">
        <v>19</v>
      </c>
      <c r="L36" s="103">
        <v>19</v>
      </c>
      <c r="M36" s="103">
        <v>19</v>
      </c>
      <c r="N36" s="103">
        <v>20</v>
      </c>
      <c r="O36" s="37"/>
      <c r="P36" s="103">
        <v>16</v>
      </c>
      <c r="Q36" s="103">
        <v>17.70064874884152</v>
      </c>
      <c r="R36" s="103">
        <v>18.694915254237287</v>
      </c>
      <c r="S36" s="103">
        <v>19.339270568278202</v>
      </c>
      <c r="T36" s="87"/>
      <c r="U36" s="103">
        <v>18.038498912362567</v>
      </c>
    </row>
    <row r="37" spans="2:21" ht="15" customHeight="1" x14ac:dyDescent="0.2">
      <c r="B37" s="51" t="s">
        <v>1</v>
      </c>
      <c r="C37" s="103">
        <v>225</v>
      </c>
      <c r="D37" s="103">
        <v>225</v>
      </c>
      <c r="E37" s="103">
        <v>225</v>
      </c>
      <c r="F37" s="103">
        <v>235</v>
      </c>
      <c r="G37" s="103">
        <v>235</v>
      </c>
      <c r="H37" s="103">
        <v>235</v>
      </c>
      <c r="I37" s="103">
        <v>235</v>
      </c>
      <c r="J37" s="103">
        <v>235</v>
      </c>
      <c r="K37" s="103">
        <v>235</v>
      </c>
      <c r="L37" s="103">
        <v>235</v>
      </c>
      <c r="M37" s="103">
        <v>235</v>
      </c>
      <c r="N37" s="103">
        <v>235</v>
      </c>
      <c r="O37" s="37"/>
      <c r="P37" s="103">
        <v>225</v>
      </c>
      <c r="Q37" s="103">
        <v>235</v>
      </c>
      <c r="R37" s="103">
        <v>235</v>
      </c>
      <c r="S37" s="103">
        <v>235</v>
      </c>
      <c r="T37" s="87"/>
      <c r="U37" s="103">
        <v>232.83360380401808</v>
      </c>
    </row>
    <row r="38" spans="2:21" ht="15" customHeight="1" x14ac:dyDescent="0.2">
      <c r="B38" s="51" t="s">
        <v>2</v>
      </c>
      <c r="C38" s="103">
        <v>128</v>
      </c>
      <c r="D38" s="103">
        <v>128</v>
      </c>
      <c r="E38" s="103">
        <v>128</v>
      </c>
      <c r="F38" s="103">
        <v>136</v>
      </c>
      <c r="G38" s="103">
        <v>144</v>
      </c>
      <c r="H38" s="103">
        <v>144</v>
      </c>
      <c r="I38" s="103">
        <v>144</v>
      </c>
      <c r="J38" s="103">
        <v>152</v>
      </c>
      <c r="K38" s="103">
        <v>152</v>
      </c>
      <c r="L38" s="103">
        <v>152</v>
      </c>
      <c r="M38" s="103">
        <v>152</v>
      </c>
      <c r="N38" s="103">
        <v>160</v>
      </c>
      <c r="O38" s="38"/>
      <c r="P38" s="103">
        <v>384</v>
      </c>
      <c r="Q38" s="103">
        <v>424</v>
      </c>
      <c r="R38" s="103">
        <v>448</v>
      </c>
      <c r="S38" s="103">
        <v>464</v>
      </c>
      <c r="T38" s="86"/>
      <c r="U38" s="103">
        <v>1720</v>
      </c>
    </row>
    <row r="39" spans="2:21" ht="15" customHeight="1" x14ac:dyDescent="0.2">
      <c r="B39" s="51" t="s">
        <v>3</v>
      </c>
      <c r="C39" s="84">
        <v>0.75</v>
      </c>
      <c r="D39" s="84">
        <v>0.75</v>
      </c>
      <c r="E39" s="84">
        <v>0.75</v>
      </c>
      <c r="F39" s="84">
        <v>0.75</v>
      </c>
      <c r="G39" s="84">
        <v>0.75</v>
      </c>
      <c r="H39" s="84">
        <v>0.75</v>
      </c>
      <c r="I39" s="84">
        <v>0.75</v>
      </c>
      <c r="J39" s="84">
        <v>0.75</v>
      </c>
      <c r="K39" s="84">
        <v>0.75</v>
      </c>
      <c r="L39" s="84">
        <v>0.75</v>
      </c>
      <c r="M39" s="84">
        <v>0.75</v>
      </c>
      <c r="N39" s="84">
        <v>0.75</v>
      </c>
      <c r="P39" s="84">
        <v>0.75</v>
      </c>
      <c r="Q39" s="84">
        <v>0.75</v>
      </c>
      <c r="R39" s="84">
        <v>0.75</v>
      </c>
      <c r="S39" s="84">
        <v>0.75</v>
      </c>
      <c r="T39" s="79"/>
      <c r="U39" s="84">
        <v>0.75</v>
      </c>
    </row>
    <row r="40" spans="2:21" ht="15" customHeight="1" x14ac:dyDescent="0.2">
      <c r="B40" s="31" t="s">
        <v>6</v>
      </c>
      <c r="C40" s="104">
        <v>0.625</v>
      </c>
      <c r="D40" s="104">
        <v>0.625</v>
      </c>
      <c r="E40" s="104">
        <v>0.625</v>
      </c>
      <c r="F40" s="104">
        <v>0.625</v>
      </c>
      <c r="G40" s="104">
        <v>0.625</v>
      </c>
      <c r="H40" s="104">
        <v>0.625</v>
      </c>
      <c r="I40" s="104">
        <v>0.625</v>
      </c>
      <c r="J40" s="104">
        <v>0.625</v>
      </c>
      <c r="K40" s="104">
        <v>0.625</v>
      </c>
      <c r="L40" s="104">
        <v>0.625</v>
      </c>
      <c r="M40" s="104">
        <v>0.625</v>
      </c>
      <c r="N40" s="104">
        <v>0.625</v>
      </c>
      <c r="P40" s="104">
        <v>0.625</v>
      </c>
      <c r="Q40" s="104">
        <v>0.625</v>
      </c>
      <c r="R40" s="104">
        <v>0.625</v>
      </c>
      <c r="S40" s="104">
        <v>0.625</v>
      </c>
      <c r="T40" s="79"/>
      <c r="U40" s="104">
        <v>0.625</v>
      </c>
    </row>
    <row r="41" spans="2:21" ht="15" customHeight="1" x14ac:dyDescent="0.2">
      <c r="B41" s="52" t="s">
        <v>25</v>
      </c>
      <c r="C41" s="82">
        <v>360000</v>
      </c>
      <c r="D41" s="82">
        <v>342000</v>
      </c>
      <c r="E41" s="82">
        <v>396000</v>
      </c>
      <c r="F41" s="82">
        <v>379525</v>
      </c>
      <c r="G41" s="82">
        <v>465300</v>
      </c>
      <c r="H41" s="82">
        <v>423000</v>
      </c>
      <c r="I41" s="82">
        <v>401850</v>
      </c>
      <c r="J41" s="82">
        <v>491150</v>
      </c>
      <c r="K41" s="82">
        <v>424175</v>
      </c>
      <c r="L41" s="82">
        <v>468825</v>
      </c>
      <c r="M41" s="82">
        <v>446500</v>
      </c>
      <c r="N41" s="82">
        <v>470000</v>
      </c>
      <c r="P41" s="82">
        <v>1098000</v>
      </c>
      <c r="Q41" s="82">
        <v>1267825</v>
      </c>
      <c r="R41" s="82">
        <v>1317175</v>
      </c>
      <c r="S41" s="82">
        <v>1385325</v>
      </c>
      <c r="T41" s="79"/>
      <c r="U41" s="82"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v>5</v>
      </c>
      <c r="D43" s="103">
        <v>5</v>
      </c>
      <c r="E43" s="103">
        <v>5</v>
      </c>
      <c r="F43" s="103">
        <v>6</v>
      </c>
      <c r="G43" s="103">
        <v>6</v>
      </c>
      <c r="H43" s="103">
        <v>6</v>
      </c>
      <c r="I43" s="103">
        <v>6</v>
      </c>
      <c r="J43" s="103">
        <v>6</v>
      </c>
      <c r="K43" s="103">
        <v>6</v>
      </c>
      <c r="L43" s="103">
        <v>7</v>
      </c>
      <c r="M43" s="103">
        <v>7</v>
      </c>
      <c r="N43" s="103">
        <v>7</v>
      </c>
      <c r="P43" s="103">
        <v>5</v>
      </c>
      <c r="Q43" s="103">
        <v>6</v>
      </c>
      <c r="R43" s="103">
        <v>6</v>
      </c>
      <c r="S43" s="103">
        <v>7</v>
      </c>
      <c r="T43" s="87"/>
      <c r="U43" s="103">
        <v>6.0906966864910794</v>
      </c>
    </row>
    <row r="44" spans="2:21" ht="15" customHeight="1" x14ac:dyDescent="0.2">
      <c r="B44" s="51" t="s">
        <v>5</v>
      </c>
      <c r="C44" s="103">
        <v>315</v>
      </c>
      <c r="D44" s="103">
        <v>315</v>
      </c>
      <c r="E44" s="103">
        <v>315</v>
      </c>
      <c r="F44" s="103">
        <v>325</v>
      </c>
      <c r="G44" s="103">
        <v>325</v>
      </c>
      <c r="H44" s="103">
        <v>325</v>
      </c>
      <c r="I44" s="103">
        <v>325</v>
      </c>
      <c r="J44" s="103">
        <v>325</v>
      </c>
      <c r="K44" s="103">
        <v>325</v>
      </c>
      <c r="L44" s="103">
        <v>325</v>
      </c>
      <c r="M44" s="103">
        <v>325</v>
      </c>
      <c r="N44" s="103">
        <v>325</v>
      </c>
      <c r="P44" s="103">
        <v>315</v>
      </c>
      <c r="Q44" s="103">
        <v>325</v>
      </c>
      <c r="R44" s="103">
        <v>325</v>
      </c>
      <c r="S44" s="103">
        <v>325</v>
      </c>
      <c r="T44" s="87"/>
      <c r="U44" s="103">
        <v>322.95932455395069</v>
      </c>
    </row>
    <row r="45" spans="2:21" ht="15" customHeight="1" x14ac:dyDescent="0.2">
      <c r="B45" s="51" t="s">
        <v>2</v>
      </c>
      <c r="C45" s="103">
        <v>40</v>
      </c>
      <c r="D45" s="103">
        <v>40</v>
      </c>
      <c r="E45" s="103">
        <v>40</v>
      </c>
      <c r="F45" s="103">
        <v>48</v>
      </c>
      <c r="G45" s="103">
        <v>48</v>
      </c>
      <c r="H45" s="103">
        <v>48</v>
      </c>
      <c r="I45" s="103">
        <v>48</v>
      </c>
      <c r="J45" s="103">
        <v>48</v>
      </c>
      <c r="K45" s="103">
        <v>48</v>
      </c>
      <c r="L45" s="103">
        <v>56</v>
      </c>
      <c r="M45" s="103">
        <v>56</v>
      </c>
      <c r="N45" s="103">
        <v>56</v>
      </c>
      <c r="P45" s="103">
        <v>120</v>
      </c>
      <c r="Q45" s="103">
        <v>144</v>
      </c>
      <c r="R45" s="103">
        <v>144</v>
      </c>
      <c r="S45" s="103">
        <v>168</v>
      </c>
      <c r="T45" s="86"/>
      <c r="U45" s="103">
        <v>576</v>
      </c>
    </row>
    <row r="46" spans="2:21" ht="15" customHeight="1" x14ac:dyDescent="0.2">
      <c r="B46" s="31" t="s">
        <v>6</v>
      </c>
      <c r="C46" s="104">
        <v>0.375</v>
      </c>
      <c r="D46" s="104">
        <v>0.375</v>
      </c>
      <c r="E46" s="104">
        <v>0.375</v>
      </c>
      <c r="F46" s="104">
        <v>0.375</v>
      </c>
      <c r="G46" s="104">
        <v>0.375</v>
      </c>
      <c r="H46" s="104">
        <v>0.375</v>
      </c>
      <c r="I46" s="104">
        <v>0.375</v>
      </c>
      <c r="J46" s="104">
        <v>0.375</v>
      </c>
      <c r="K46" s="104">
        <v>0.375</v>
      </c>
      <c r="L46" s="104">
        <v>0.375</v>
      </c>
      <c r="M46" s="104">
        <v>0.375</v>
      </c>
      <c r="N46" s="104">
        <v>0.375</v>
      </c>
      <c r="P46" s="104">
        <v>0.375</v>
      </c>
      <c r="Q46" s="104">
        <v>0.375</v>
      </c>
      <c r="R46" s="104">
        <v>0.375</v>
      </c>
      <c r="S46" s="104">
        <v>0.375</v>
      </c>
      <c r="T46" s="79"/>
      <c r="U46" s="104">
        <v>0.375</v>
      </c>
    </row>
    <row r="47" spans="2:21" ht="15" customHeight="1" x14ac:dyDescent="0.2">
      <c r="B47" s="52" t="s">
        <v>25</v>
      </c>
      <c r="C47" s="82">
        <v>94500</v>
      </c>
      <c r="D47" s="82">
        <v>89775</v>
      </c>
      <c r="E47" s="82">
        <v>103950</v>
      </c>
      <c r="F47" s="82">
        <v>111150</v>
      </c>
      <c r="G47" s="82">
        <v>128700</v>
      </c>
      <c r="H47" s="82">
        <v>117000</v>
      </c>
      <c r="I47" s="82">
        <v>111150</v>
      </c>
      <c r="J47" s="82">
        <v>128700</v>
      </c>
      <c r="K47" s="82">
        <v>111150</v>
      </c>
      <c r="L47" s="82">
        <v>143325</v>
      </c>
      <c r="M47" s="82">
        <v>136500</v>
      </c>
      <c r="N47" s="82">
        <v>136500</v>
      </c>
      <c r="P47" s="82">
        <v>288225</v>
      </c>
      <c r="Q47" s="82">
        <v>356850</v>
      </c>
      <c r="R47" s="82">
        <v>351000</v>
      </c>
      <c r="S47" s="82">
        <v>416325</v>
      </c>
      <c r="T47" s="79"/>
      <c r="U47" s="82"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v>0</v>
      </c>
      <c r="D50" s="96">
        <v>153190.23301159657</v>
      </c>
      <c r="E50" s="96">
        <v>169090.83155475667</v>
      </c>
      <c r="F50" s="96">
        <v>265251.83996901853</v>
      </c>
      <c r="G50" s="96">
        <v>163427.07720225363</v>
      </c>
      <c r="H50" s="96">
        <v>188303.63798161977</v>
      </c>
      <c r="I50" s="96">
        <v>277544.04009253083</v>
      </c>
      <c r="J50" s="96">
        <v>235773.56834553348</v>
      </c>
      <c r="K50" s="96">
        <v>204711.9448518455</v>
      </c>
      <c r="L50" s="96">
        <v>273062.85140419292</v>
      </c>
      <c r="M50" s="96">
        <v>194727.24305957937</v>
      </c>
      <c r="N50" s="96">
        <v>241311.15892998144</v>
      </c>
      <c r="P50" s="96">
        <v>322281.06456635322</v>
      </c>
      <c r="Q50" s="96">
        <v>616982.5551528919</v>
      </c>
      <c r="R50" s="96">
        <v>718029.55328990985</v>
      </c>
      <c r="S50" s="96">
        <v>709101.25339375366</v>
      </c>
      <c r="T50" s="79"/>
      <c r="U50" s="96">
        <v>2366394.4264029087</v>
      </c>
    </row>
    <row r="51" spans="2:21" ht="15" customHeight="1" x14ac:dyDescent="0.2">
      <c r="B51" s="55" t="s">
        <v>67</v>
      </c>
      <c r="C51" s="96">
        <v>5500000</v>
      </c>
      <c r="D51" s="96">
        <v>5461041.666666666</v>
      </c>
      <c r="E51" s="96">
        <v>5422359.2881944431</v>
      </c>
      <c r="F51" s="96">
        <v>5383950.9099030662</v>
      </c>
      <c r="G51" s="96">
        <v>5345814.5909579201</v>
      </c>
      <c r="H51" s="96">
        <v>5307948.4042719677</v>
      </c>
      <c r="I51" s="96">
        <v>5270350.4364083745</v>
      </c>
      <c r="J51" s="96">
        <v>5233018.7874838151</v>
      </c>
      <c r="K51" s="96">
        <v>5195951.5710724704</v>
      </c>
      <c r="L51" s="96">
        <v>5159146.9141107062</v>
      </c>
      <c r="M51" s="96">
        <v>5122602.9568024222</v>
      </c>
      <c r="N51" s="96">
        <v>5086317.8525250712</v>
      </c>
      <c r="P51" s="96">
        <v>16383400.954861108</v>
      </c>
      <c r="Q51" s="96">
        <v>16037713.905132953</v>
      </c>
      <c r="R51" s="96">
        <v>15699320.79496466</v>
      </c>
      <c r="S51" s="96">
        <v>15368067.7234382</v>
      </c>
      <c r="T51" s="79"/>
      <c r="U51" s="96">
        <v>63488503.378396928</v>
      </c>
    </row>
    <row r="52" spans="2:21" ht="15" customHeight="1" x14ac:dyDescent="0.2">
      <c r="B52" s="105" t="s">
        <v>70</v>
      </c>
      <c r="C52" s="81">
        <v>2585000</v>
      </c>
      <c r="D52" s="81">
        <v>2566689.583333333</v>
      </c>
      <c r="E52" s="81">
        <v>2548508.8654513881</v>
      </c>
      <c r="F52" s="81">
        <v>2530456.927654441</v>
      </c>
      <c r="G52" s="81">
        <v>2512532.8577502221</v>
      </c>
      <c r="H52" s="81">
        <v>2494735.7500078245</v>
      </c>
      <c r="I52" s="81">
        <v>2477064.7051119357</v>
      </c>
      <c r="J52" s="81">
        <v>2459518.8301173928</v>
      </c>
      <c r="K52" s="81">
        <v>2442097.2384040612</v>
      </c>
      <c r="L52" s="81">
        <v>2424799.0496320319</v>
      </c>
      <c r="M52" s="81">
        <v>2407623.3896971382</v>
      </c>
      <c r="N52" s="81">
        <v>2390569.3906867835</v>
      </c>
      <c r="P52" s="81">
        <v>7700198.4487847211</v>
      </c>
      <c r="Q52" s="81">
        <v>7537725.5354124885</v>
      </c>
      <c r="R52" s="81">
        <v>7378680.7736333907</v>
      </c>
      <c r="S52" s="81">
        <v>7222991.8300159536</v>
      </c>
      <c r="T52" s="79"/>
      <c r="U52" s="81">
        <v>29839596.587846555</v>
      </c>
    </row>
    <row r="53" spans="2:21" ht="15" customHeight="1" x14ac:dyDescent="0.2">
      <c r="B53" s="105" t="s">
        <v>71</v>
      </c>
      <c r="C53" s="81">
        <v>2365000</v>
      </c>
      <c r="D53" s="81">
        <v>2348247.9166666665</v>
      </c>
      <c r="E53" s="81">
        <v>2331614.4939236105</v>
      </c>
      <c r="F53" s="81">
        <v>2315098.8912583184</v>
      </c>
      <c r="G53" s="81">
        <v>2298700.2741119056</v>
      </c>
      <c r="H53" s="81">
        <v>2282417.8138369462</v>
      </c>
      <c r="I53" s="81">
        <v>2266250.6876556012</v>
      </c>
      <c r="J53" s="81">
        <v>2250198.0786180403</v>
      </c>
      <c r="K53" s="81">
        <v>2234259.1755611622</v>
      </c>
      <c r="L53" s="81">
        <v>2218433.1730676037</v>
      </c>
      <c r="M53" s="81">
        <v>2202719.2714250414</v>
      </c>
      <c r="N53" s="81">
        <v>2187116.6765857805</v>
      </c>
      <c r="P53" s="81">
        <v>7044862.4105902761</v>
      </c>
      <c r="Q53" s="81">
        <v>6896216.9792071702</v>
      </c>
      <c r="R53" s="81">
        <v>6750707.9418348037</v>
      </c>
      <c r="S53" s="81">
        <v>6608269.121078426</v>
      </c>
      <c r="T53" s="79"/>
      <c r="U53" s="81">
        <v>27300056.452710673</v>
      </c>
    </row>
    <row r="54" spans="2:21" ht="15" customHeight="1" x14ac:dyDescent="0.2">
      <c r="B54" s="105" t="s">
        <v>72</v>
      </c>
      <c r="C54" s="81">
        <v>440000</v>
      </c>
      <c r="D54" s="81">
        <v>436883.33333333331</v>
      </c>
      <c r="E54" s="81">
        <v>433788.74305555545</v>
      </c>
      <c r="F54" s="81">
        <v>430716.07279224531</v>
      </c>
      <c r="G54" s="81">
        <v>427665.16727663361</v>
      </c>
      <c r="H54" s="81">
        <v>424635.87234175741</v>
      </c>
      <c r="I54" s="81">
        <v>421628.03491266997</v>
      </c>
      <c r="J54" s="81">
        <v>418641.5029987052</v>
      </c>
      <c r="K54" s="81">
        <v>415676.12568579766</v>
      </c>
      <c r="L54" s="81">
        <v>412731.75312885648</v>
      </c>
      <c r="M54" s="81">
        <v>409808.23654419376</v>
      </c>
      <c r="N54" s="81">
        <v>406905.42820200569</v>
      </c>
      <c r="P54" s="81">
        <v>1310672.0763888888</v>
      </c>
      <c r="Q54" s="81">
        <v>1283017.1124106364</v>
      </c>
      <c r="R54" s="81">
        <v>1255945.6635971728</v>
      </c>
      <c r="S54" s="81">
        <v>1229445.4178750559</v>
      </c>
      <c r="T54" s="79"/>
      <c r="U54" s="81">
        <v>5079080.2702717539</v>
      </c>
    </row>
    <row r="55" spans="2:21" ht="15" customHeight="1" x14ac:dyDescent="0.2">
      <c r="B55" s="105" t="s">
        <v>73</v>
      </c>
      <c r="C55" s="81">
        <v>110000</v>
      </c>
      <c r="D55" s="81">
        <v>109220.83333333333</v>
      </c>
      <c r="E55" s="81">
        <v>108447.18576388886</v>
      </c>
      <c r="F55" s="81">
        <v>107679.01819806133</v>
      </c>
      <c r="G55" s="81">
        <v>106916.2918191584</v>
      </c>
      <c r="H55" s="81">
        <v>106158.96808543935</v>
      </c>
      <c r="I55" s="81">
        <v>105407.00872816749</v>
      </c>
      <c r="J55" s="81">
        <v>104660.3757496763</v>
      </c>
      <c r="K55" s="81">
        <v>103919.03142144941</v>
      </c>
      <c r="L55" s="81">
        <v>103182.93828221412</v>
      </c>
      <c r="M55" s="81">
        <v>102452.05913604844</v>
      </c>
      <c r="N55" s="81">
        <v>101726.35705050142</v>
      </c>
      <c r="P55" s="81">
        <v>327668.01909722219</v>
      </c>
      <c r="Q55" s="81">
        <v>320754.2781026591</v>
      </c>
      <c r="R55" s="81">
        <v>313986.41589929321</v>
      </c>
      <c r="S55" s="81">
        <v>307361.35446876398</v>
      </c>
      <c r="T55" s="79"/>
      <c r="U55" s="81">
        <v>1269770.0675679385</v>
      </c>
    </row>
    <row r="56" spans="2:21" ht="15" customHeight="1" x14ac:dyDescent="0.2">
      <c r="B56" s="55" t="s">
        <v>68</v>
      </c>
      <c r="C56" s="107">
        <v>454500</v>
      </c>
      <c r="D56" s="107">
        <v>431775</v>
      </c>
      <c r="E56" s="107">
        <v>499950</v>
      </c>
      <c r="F56" s="107">
        <v>490675</v>
      </c>
      <c r="G56" s="107">
        <v>594000</v>
      </c>
      <c r="H56" s="107">
        <v>540000</v>
      </c>
      <c r="I56" s="107">
        <v>513000</v>
      </c>
      <c r="J56" s="107">
        <v>619850</v>
      </c>
      <c r="K56" s="107">
        <v>535325</v>
      </c>
      <c r="L56" s="107">
        <v>612150</v>
      </c>
      <c r="M56" s="107">
        <v>583000</v>
      </c>
      <c r="N56" s="107">
        <v>606500</v>
      </c>
      <c r="P56" s="107">
        <v>1386225</v>
      </c>
      <c r="Q56" s="107">
        <v>1624675</v>
      </c>
      <c r="R56" s="107">
        <v>1668175</v>
      </c>
      <c r="S56" s="107">
        <v>1801650</v>
      </c>
      <c r="T56" s="79"/>
      <c r="U56" s="107">
        <v>6480725</v>
      </c>
    </row>
    <row r="57" spans="2:21" ht="15" customHeight="1" x14ac:dyDescent="0.2">
      <c r="B57" s="105" t="s">
        <v>22</v>
      </c>
      <c r="C57" s="27">
        <v>360000</v>
      </c>
      <c r="D57" s="27">
        <v>342000</v>
      </c>
      <c r="E57" s="27">
        <v>396000</v>
      </c>
      <c r="F57" s="27">
        <v>379525</v>
      </c>
      <c r="G57" s="27">
        <v>465300</v>
      </c>
      <c r="H57" s="27">
        <v>423000</v>
      </c>
      <c r="I57" s="27">
        <v>401850</v>
      </c>
      <c r="J57" s="27">
        <v>491150</v>
      </c>
      <c r="K57" s="27">
        <v>424175</v>
      </c>
      <c r="L57" s="27">
        <v>468825</v>
      </c>
      <c r="M57" s="27">
        <v>446500</v>
      </c>
      <c r="N57" s="27">
        <v>470000</v>
      </c>
      <c r="P57" s="27">
        <v>1098000</v>
      </c>
      <c r="Q57" s="27">
        <v>1267825</v>
      </c>
      <c r="R57" s="27">
        <v>1317175</v>
      </c>
      <c r="S57" s="27">
        <v>1385325</v>
      </c>
      <c r="T57" s="79"/>
      <c r="U57" s="27">
        <v>5068325</v>
      </c>
    </row>
    <row r="58" spans="2:21" ht="15" customHeight="1" x14ac:dyDescent="0.2">
      <c r="B58" s="69" t="s">
        <v>23</v>
      </c>
      <c r="C58" s="106">
        <v>94500</v>
      </c>
      <c r="D58" s="106">
        <v>89775</v>
      </c>
      <c r="E58" s="106">
        <v>103950</v>
      </c>
      <c r="F58" s="106">
        <v>111150</v>
      </c>
      <c r="G58" s="106">
        <v>128700</v>
      </c>
      <c r="H58" s="106">
        <v>117000</v>
      </c>
      <c r="I58" s="106">
        <v>111150</v>
      </c>
      <c r="J58" s="106">
        <v>128700</v>
      </c>
      <c r="K58" s="106">
        <v>111150</v>
      </c>
      <c r="L58" s="106">
        <v>143325</v>
      </c>
      <c r="M58" s="106">
        <v>136500</v>
      </c>
      <c r="N58" s="106">
        <v>136500</v>
      </c>
      <c r="P58" s="106">
        <v>288225</v>
      </c>
      <c r="Q58" s="106">
        <v>356850</v>
      </c>
      <c r="R58" s="106">
        <v>351000</v>
      </c>
      <c r="S58" s="106">
        <v>416325</v>
      </c>
      <c r="T58" s="79"/>
      <c r="U58" s="106">
        <v>1412400</v>
      </c>
    </row>
    <row r="59" spans="2:21" ht="15" customHeight="1" x14ac:dyDescent="0.2">
      <c r="B59" s="52" t="s">
        <v>69</v>
      </c>
      <c r="C59" s="28">
        <v>5954500</v>
      </c>
      <c r="D59" s="28">
        <v>6046006.8996782629</v>
      </c>
      <c r="E59" s="28">
        <v>6091400.1197491996</v>
      </c>
      <c r="F59" s="28">
        <v>6139877.7498720847</v>
      </c>
      <c r="G59" s="28">
        <v>6103241.668160174</v>
      </c>
      <c r="H59" s="28">
        <v>6036252.0422535874</v>
      </c>
      <c r="I59" s="28">
        <v>6060894.4765009051</v>
      </c>
      <c r="J59" s="28">
        <v>6088642.3558293488</v>
      </c>
      <c r="K59" s="28">
        <v>5935988.5159243159</v>
      </c>
      <c r="L59" s="28">
        <v>6044359.765514899</v>
      </c>
      <c r="M59" s="28">
        <v>5900330.1998620015</v>
      </c>
      <c r="N59" s="28">
        <v>5934129.0114550525</v>
      </c>
      <c r="P59" s="28">
        <v>18091907.019427463</v>
      </c>
      <c r="Q59" s="28">
        <v>18279371.460285846</v>
      </c>
      <c r="R59" s="28">
        <v>18085525.348254569</v>
      </c>
      <c r="S59" s="28">
        <v>17878818.976831954</v>
      </c>
      <c r="T59" s="79"/>
      <c r="U59" s="28">
        <v>72335622.804799825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v>297725</v>
      </c>
      <c r="D62" s="26">
        <v>302300.34498391318</v>
      </c>
      <c r="E62" s="26">
        <v>304570.00598745997</v>
      </c>
      <c r="F62" s="26">
        <v>306993.88749360427</v>
      </c>
      <c r="G62" s="26">
        <v>305162.08340800874</v>
      </c>
      <c r="H62" s="26">
        <v>301812.60211267939</v>
      </c>
      <c r="I62" s="26">
        <v>303044.72382504528</v>
      </c>
      <c r="J62" s="26">
        <v>304432.11779146746</v>
      </c>
      <c r="K62" s="26">
        <v>296799.42579621583</v>
      </c>
      <c r="L62" s="26">
        <v>302217.98827574495</v>
      </c>
      <c r="M62" s="26">
        <v>295016.50999310007</v>
      </c>
      <c r="N62" s="26">
        <v>296706.45057275263</v>
      </c>
      <c r="P62" s="26">
        <v>904595.35097137326</v>
      </c>
      <c r="Q62" s="26">
        <v>913968.5730142924</v>
      </c>
      <c r="R62" s="26">
        <v>904276.26741272863</v>
      </c>
      <c r="S62" s="26">
        <v>893940.94884159765</v>
      </c>
      <c r="T62" s="79"/>
      <c r="U62" s="26">
        <v>3616781.1402399922</v>
      </c>
    </row>
    <row r="63" spans="2:21" ht="15" customHeight="1" x14ac:dyDescent="0.2">
      <c r="B63" s="57" t="s">
        <v>45</v>
      </c>
      <c r="C63" s="26">
        <v>178635</v>
      </c>
      <c r="D63" s="26">
        <v>181380.20699034788</v>
      </c>
      <c r="E63" s="26">
        <v>182742.00359247599</v>
      </c>
      <c r="F63" s="26">
        <v>184196.33249616253</v>
      </c>
      <c r="G63" s="26">
        <v>183097.2500448052</v>
      </c>
      <c r="H63" s="26">
        <v>181087.56126760761</v>
      </c>
      <c r="I63" s="26">
        <v>181826.83429502713</v>
      </c>
      <c r="J63" s="26">
        <v>182659.27067488045</v>
      </c>
      <c r="K63" s="26">
        <v>178079.65547772948</v>
      </c>
      <c r="L63" s="26">
        <v>181330.79296544698</v>
      </c>
      <c r="M63" s="26">
        <v>177009.90599586003</v>
      </c>
      <c r="N63" s="26">
        <v>178023.87034365156</v>
      </c>
      <c r="P63" s="26">
        <v>542757.21058282384</v>
      </c>
      <c r="Q63" s="26">
        <v>548381.14380857535</v>
      </c>
      <c r="R63" s="26">
        <v>542565.76044763706</v>
      </c>
      <c r="S63" s="26">
        <v>536364.56930495857</v>
      </c>
      <c r="T63" s="79"/>
      <c r="U63" s="26">
        <v>2170068.6841439949</v>
      </c>
    </row>
    <row r="64" spans="2:21" ht="15" customHeight="1" x14ac:dyDescent="0.2">
      <c r="B64" s="57" t="s">
        <v>74</v>
      </c>
      <c r="C64" s="26">
        <v>184589.5</v>
      </c>
      <c r="D64" s="26">
        <v>187426.21389002615</v>
      </c>
      <c r="E64" s="26">
        <v>188833.40371222518</v>
      </c>
      <c r="F64" s="26">
        <v>190336.21024603464</v>
      </c>
      <c r="G64" s="26">
        <v>189200.49171296539</v>
      </c>
      <c r="H64" s="26">
        <v>187123.8133098612</v>
      </c>
      <c r="I64" s="26">
        <v>187887.72877152805</v>
      </c>
      <c r="J64" s="26">
        <v>188747.91303070981</v>
      </c>
      <c r="K64" s="26">
        <v>184015.64399365379</v>
      </c>
      <c r="L64" s="26">
        <v>187375.15273096188</v>
      </c>
      <c r="M64" s="26">
        <v>182910.23619572204</v>
      </c>
      <c r="N64" s="26">
        <v>183957.99935510661</v>
      </c>
      <c r="P64" s="26">
        <v>560849.11760225135</v>
      </c>
      <c r="Q64" s="26">
        <v>566660.5152688612</v>
      </c>
      <c r="R64" s="26">
        <v>560651.28579589166</v>
      </c>
      <c r="S64" s="26">
        <v>554243.38828179054</v>
      </c>
      <c r="T64" s="79"/>
      <c r="U64" s="26">
        <v>2242404.306948795</v>
      </c>
    </row>
    <row r="65" spans="2:21" ht="15" customHeight="1" x14ac:dyDescent="0.2">
      <c r="B65" s="89" t="s">
        <v>75</v>
      </c>
      <c r="C65" s="32">
        <v>190544</v>
      </c>
      <c r="D65" s="32">
        <v>193472.22078970441</v>
      </c>
      <c r="E65" s="32">
        <v>194924.80383197439</v>
      </c>
      <c r="F65" s="32">
        <v>196476.08799590671</v>
      </c>
      <c r="G65" s="32">
        <v>195303.73338112558</v>
      </c>
      <c r="H65" s="32">
        <v>193160.06535211479</v>
      </c>
      <c r="I65" s="32">
        <v>193948.62324802898</v>
      </c>
      <c r="J65" s="32">
        <v>194836.55538653917</v>
      </c>
      <c r="K65" s="32">
        <v>189951.63250957811</v>
      </c>
      <c r="L65" s="32">
        <v>193419.51249647676</v>
      </c>
      <c r="M65" s="32">
        <v>188810.56639558406</v>
      </c>
      <c r="N65" s="32">
        <v>189892.12836656169</v>
      </c>
      <c r="P65" s="32">
        <v>578941.02462167875</v>
      </c>
      <c r="Q65" s="32">
        <v>584939.88672914705</v>
      </c>
      <c r="R65" s="32">
        <v>578736.81114414625</v>
      </c>
      <c r="S65" s="32">
        <v>572122.20725862251</v>
      </c>
      <c r="T65" s="79"/>
      <c r="U65" s="32">
        <v>2314739.9297535946</v>
      </c>
    </row>
    <row r="66" spans="2:21" ht="15" customHeight="1" x14ac:dyDescent="0.2">
      <c r="B66" s="52" t="s">
        <v>46</v>
      </c>
      <c r="C66" s="28">
        <v>851493.5</v>
      </c>
      <c r="D66" s="28">
        <v>864578.98665399174</v>
      </c>
      <c r="E66" s="28">
        <v>871070.21712413547</v>
      </c>
      <c r="F66" s="28">
        <v>878002.51823170821</v>
      </c>
      <c r="G66" s="28">
        <v>872763.55854690494</v>
      </c>
      <c r="H66" s="28">
        <v>863184.04204226309</v>
      </c>
      <c r="I66" s="28">
        <v>866707.91013962938</v>
      </c>
      <c r="J66" s="28">
        <v>870675.85688359698</v>
      </c>
      <c r="K66" s="28">
        <v>848846.35777717724</v>
      </c>
      <c r="L66" s="28">
        <v>864343.44646863057</v>
      </c>
      <c r="M66" s="28">
        <v>843747.21858026611</v>
      </c>
      <c r="N66" s="28">
        <v>848580.44863807259</v>
      </c>
      <c r="P66" s="28">
        <v>2587142.7037781272</v>
      </c>
      <c r="Q66" s="28">
        <v>2613950.1188208759</v>
      </c>
      <c r="R66" s="28">
        <v>2586230.1248004036</v>
      </c>
      <c r="S66" s="28">
        <v>2556671.1136869695</v>
      </c>
      <c r="T66" s="79"/>
      <c r="U66" s="28">
        <v>10343994.061086375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v>48384</v>
      </c>
      <c r="D68" s="26">
        <v>46080</v>
      </c>
      <c r="E68" s="26">
        <v>52992</v>
      </c>
      <c r="F68" s="26">
        <v>51136</v>
      </c>
      <c r="G68" s="26">
        <v>62265.600000000006</v>
      </c>
      <c r="H68" s="26">
        <v>56851.200000000004</v>
      </c>
      <c r="I68" s="26">
        <v>54144</v>
      </c>
      <c r="J68" s="26">
        <v>65724.800000000003</v>
      </c>
      <c r="K68" s="26">
        <v>57152</v>
      </c>
      <c r="L68" s="26">
        <v>62867.200000000004</v>
      </c>
      <c r="M68" s="26">
        <v>60009.600000000006</v>
      </c>
      <c r="N68" s="26">
        <v>63168</v>
      </c>
      <c r="P68" s="26">
        <v>147456</v>
      </c>
      <c r="Q68" s="26">
        <v>170252.80000000002</v>
      </c>
      <c r="R68" s="26">
        <v>177020.79999999999</v>
      </c>
      <c r="S68" s="26">
        <v>186044.80000000002</v>
      </c>
      <c r="T68" s="79"/>
      <c r="U68" s="26">
        <v>680774.4</v>
      </c>
    </row>
    <row r="69" spans="2:21" ht="15" customHeight="1" x14ac:dyDescent="0.2">
      <c r="B69" s="57" t="s">
        <v>77</v>
      </c>
      <c r="C69" s="26">
        <v>33075</v>
      </c>
      <c r="D69" s="26">
        <v>31500</v>
      </c>
      <c r="E69" s="26">
        <v>36225</v>
      </c>
      <c r="F69" s="26">
        <v>39000</v>
      </c>
      <c r="G69" s="26">
        <v>44850</v>
      </c>
      <c r="H69" s="26">
        <v>40950</v>
      </c>
      <c r="I69" s="26">
        <v>39000</v>
      </c>
      <c r="J69" s="26">
        <v>44850</v>
      </c>
      <c r="K69" s="26">
        <v>39000</v>
      </c>
      <c r="L69" s="26">
        <v>50050</v>
      </c>
      <c r="M69" s="26">
        <v>47775</v>
      </c>
      <c r="N69" s="26">
        <v>47775</v>
      </c>
      <c r="P69" s="26">
        <v>100800</v>
      </c>
      <c r="Q69" s="26">
        <v>124800</v>
      </c>
      <c r="R69" s="26">
        <v>122850</v>
      </c>
      <c r="S69" s="26">
        <v>145600</v>
      </c>
      <c r="T69" s="79"/>
      <c r="U69" s="26">
        <v>494050</v>
      </c>
    </row>
    <row r="70" spans="2:21" ht="15" customHeight="1" x14ac:dyDescent="0.2">
      <c r="B70" s="89" t="s">
        <v>27</v>
      </c>
      <c r="C70" s="32">
        <v>22978.53495173949</v>
      </c>
      <c r="D70" s="32">
        <v>25363.624733213503</v>
      </c>
      <c r="E70" s="32">
        <v>39787.775995352786</v>
      </c>
      <c r="F70" s="32">
        <v>24514.061580338046</v>
      </c>
      <c r="G70" s="32">
        <v>28245.545697242967</v>
      </c>
      <c r="H70" s="32">
        <v>41631.606013879624</v>
      </c>
      <c r="I70" s="32">
        <v>35366.035251830028</v>
      </c>
      <c r="J70" s="32">
        <v>30706.791727776828</v>
      </c>
      <c r="K70" s="32">
        <v>40959.427710628945</v>
      </c>
      <c r="L70" s="32">
        <v>29209.086458936905</v>
      </c>
      <c r="M70" s="32">
        <v>36196.67383949722</v>
      </c>
      <c r="N70" s="32">
        <v>38756.318595031647</v>
      </c>
      <c r="P70" s="32">
        <v>88129.935680305774</v>
      </c>
      <c r="Q70" s="32">
        <v>94391.213291460648</v>
      </c>
      <c r="R70" s="32">
        <v>107032.2546902358</v>
      </c>
      <c r="S70" s="32">
        <v>104162.07889346578</v>
      </c>
      <c r="T70" s="79"/>
      <c r="U70" s="32">
        <v>393715.48255546798</v>
      </c>
    </row>
    <row r="71" spans="2:21" ht="15" customHeight="1" x14ac:dyDescent="0.2">
      <c r="B71" s="52" t="s">
        <v>24</v>
      </c>
      <c r="C71" s="28">
        <v>104437.53495173949</v>
      </c>
      <c r="D71" s="28">
        <v>102943.62473321351</v>
      </c>
      <c r="E71" s="28">
        <v>129004.77599535279</v>
      </c>
      <c r="F71" s="28">
        <v>114650.06158033805</v>
      </c>
      <c r="G71" s="28">
        <v>135361.14569724299</v>
      </c>
      <c r="H71" s="28">
        <v>139432.80601387963</v>
      </c>
      <c r="I71" s="28">
        <v>128510.03525183004</v>
      </c>
      <c r="J71" s="28">
        <v>141281.59172777683</v>
      </c>
      <c r="K71" s="28">
        <v>137111.42771062895</v>
      </c>
      <c r="L71" s="28">
        <v>142126.28645893693</v>
      </c>
      <c r="M71" s="28">
        <v>143981.27383949724</v>
      </c>
      <c r="N71" s="28">
        <v>149699.31859503165</v>
      </c>
      <c r="P71" s="28">
        <v>336385.93568030576</v>
      </c>
      <c r="Q71" s="28">
        <v>389444.01329146069</v>
      </c>
      <c r="R71" s="28">
        <v>406903.05469023582</v>
      </c>
      <c r="S71" s="28">
        <v>435806.87889346585</v>
      </c>
      <c r="T71" s="79"/>
      <c r="U71" s="28">
        <v>1568539.882555468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v>4998568.9650482601</v>
      </c>
      <c r="D73" s="28">
        <v>5078484.2882910576</v>
      </c>
      <c r="E73" s="28">
        <v>5091325.1266297111</v>
      </c>
      <c r="F73" s="28">
        <v>5147225.1700600386</v>
      </c>
      <c r="G73" s="28">
        <v>5095116.963916027</v>
      </c>
      <c r="H73" s="28">
        <v>5033635.1941974452</v>
      </c>
      <c r="I73" s="28">
        <v>5065676.5311094457</v>
      </c>
      <c r="J73" s="28">
        <v>5076684.9072179757</v>
      </c>
      <c r="K73" s="28">
        <v>4950030.7304365095</v>
      </c>
      <c r="L73" s="28">
        <v>5037890.0325873317</v>
      </c>
      <c r="M73" s="28">
        <v>4912601.707442238</v>
      </c>
      <c r="N73" s="28">
        <v>4935849.244221949</v>
      </c>
      <c r="P73" s="28">
        <v>15168378.379969031</v>
      </c>
      <c r="Q73" s="28">
        <v>15275977.328173509</v>
      </c>
      <c r="R73" s="28">
        <v>15092392.16876393</v>
      </c>
      <c r="S73" s="28">
        <v>14886340.984251518</v>
      </c>
      <c r="T73" s="79"/>
      <c r="U73" s="28">
        <v>60423088.861157984</v>
      </c>
    </row>
    <row r="74" spans="2:21" ht="15" customHeight="1" x14ac:dyDescent="0.2">
      <c r="B74" s="52" t="s">
        <v>29</v>
      </c>
      <c r="C74" s="71">
        <v>0.83946073810534216</v>
      </c>
      <c r="D74" s="71">
        <v>0.83997328692451678</v>
      </c>
      <c r="E74" s="71">
        <v>0.83582181871831063</v>
      </c>
      <c r="F74" s="71">
        <v>0.83832697974601744</v>
      </c>
      <c r="G74" s="71">
        <v>0.83482143440208112</v>
      </c>
      <c r="H74" s="71">
        <v>0.8339007647397999</v>
      </c>
      <c r="I74" s="71">
        <v>0.83579685321199948</v>
      </c>
      <c r="J74" s="71">
        <v>0.83379587936504251</v>
      </c>
      <c r="K74" s="71">
        <v>0.83390166897344831</v>
      </c>
      <c r="L74" s="71">
        <v>0.83348613054606457</v>
      </c>
      <c r="M74" s="71">
        <v>0.83259775996216878</v>
      </c>
      <c r="N74" s="71">
        <v>0.83177316076107277</v>
      </c>
      <c r="P74" s="71">
        <v>0.83840682818460832</v>
      </c>
      <c r="Q74" s="71">
        <v>0.83569489035016464</v>
      </c>
      <c r="R74" s="71">
        <v>0.83450117583786387</v>
      </c>
      <c r="S74" s="71">
        <v>0.83262440340952037</v>
      </c>
      <c r="T74" s="79"/>
      <c r="U74" s="71">
        <v>0.83531580317227339</v>
      </c>
    </row>
    <row r="75" spans="2:21" ht="15" customHeight="1" x14ac:dyDescent="0.2">
      <c r="T75" s="79"/>
    </row>
    <row r="76" spans="2:21" ht="15" customHeight="1" x14ac:dyDescent="0.2">
      <c r="B76" s="52" t="s">
        <v>100</v>
      </c>
      <c r="T76" s="79"/>
    </row>
    <row r="77" spans="2:21" ht="15" customHeight="1" x14ac:dyDescent="0.2">
      <c r="B77" s="58" t="s">
        <v>84</v>
      </c>
      <c r="C77" s="26">
        <v>495712.125</v>
      </c>
      <c r="D77" s="26">
        <v>503330.07439821539</v>
      </c>
      <c r="E77" s="26">
        <v>507109.05996912078</v>
      </c>
      <c r="F77" s="26">
        <v>511144.82267685101</v>
      </c>
      <c r="G77" s="26">
        <v>508094.8688743345</v>
      </c>
      <c r="H77" s="26">
        <v>502517.98251761118</v>
      </c>
      <c r="I77" s="26">
        <v>504569.46516870044</v>
      </c>
      <c r="J77" s="26">
        <v>506879.47612279333</v>
      </c>
      <c r="K77" s="26">
        <v>494171.04395069933</v>
      </c>
      <c r="L77" s="26">
        <v>503192.95047911536</v>
      </c>
      <c r="M77" s="26">
        <v>491202.48913851171</v>
      </c>
      <c r="N77" s="26">
        <v>494016.24020363315</v>
      </c>
      <c r="P77" s="26">
        <v>1506151.2593673361</v>
      </c>
      <c r="Q77" s="26">
        <v>1521757.6740687967</v>
      </c>
      <c r="R77" s="26">
        <v>1505619.9852421931</v>
      </c>
      <c r="S77" s="26">
        <v>1488411.6798212603</v>
      </c>
      <c r="T77" s="33"/>
      <c r="U77" s="26">
        <v>6021940.5984995868</v>
      </c>
    </row>
    <row r="78" spans="2:21" ht="15" customHeight="1" x14ac:dyDescent="0.2">
      <c r="B78" s="58" t="s">
        <v>85</v>
      </c>
      <c r="C78" s="26">
        <v>1535903.73</v>
      </c>
      <c r="D78" s="26">
        <v>1559507.019703011</v>
      </c>
      <c r="E78" s="26">
        <v>1571215.7468881086</v>
      </c>
      <c r="F78" s="26">
        <v>1583720.0668020057</v>
      </c>
      <c r="G78" s="26">
        <v>1574270.1558852354</v>
      </c>
      <c r="H78" s="26">
        <v>1556990.8517788902</v>
      </c>
      <c r="I78" s="26">
        <v>1563347.1212686435</v>
      </c>
      <c r="J78" s="26">
        <v>1570504.4092626222</v>
      </c>
      <c r="K78" s="26">
        <v>1531128.8777975179</v>
      </c>
      <c r="L78" s="26">
        <v>1559082.157916913</v>
      </c>
      <c r="M78" s="26">
        <v>1521931.1717524044</v>
      </c>
      <c r="N78" s="26">
        <v>1530649.2372147164</v>
      </c>
      <c r="P78" s="26">
        <v>4666626.4965911191</v>
      </c>
      <c r="Q78" s="26">
        <v>4714981.0744661316</v>
      </c>
      <c r="R78" s="26">
        <v>4664980.4083287837</v>
      </c>
      <c r="S78" s="26">
        <v>4611662.5668840334</v>
      </c>
      <c r="T78" s="33"/>
      <c r="U78" s="26">
        <v>18658250.546270069</v>
      </c>
    </row>
    <row r="79" spans="2:21" ht="15" customHeight="1" x14ac:dyDescent="0.2">
      <c r="B79" s="121" t="s">
        <v>86</v>
      </c>
      <c r="C79" s="32">
        <v>36548.721000000005</v>
      </c>
      <c r="D79" s="32">
        <v>37110.390350225178</v>
      </c>
      <c r="E79" s="32">
        <v>37389.013935020586</v>
      </c>
      <c r="F79" s="32">
        <v>37686.56962871486</v>
      </c>
      <c r="G79" s="32">
        <v>37461.697359167149</v>
      </c>
      <c r="H79" s="32">
        <v>37050.515035352517</v>
      </c>
      <c r="I79" s="32">
        <v>37201.770296762559</v>
      </c>
      <c r="J79" s="32">
        <v>37372.086780080543</v>
      </c>
      <c r="K79" s="32">
        <v>36435.09751074345</v>
      </c>
      <c r="L79" s="32">
        <v>37100.280240730455</v>
      </c>
      <c r="M79" s="32">
        <v>36216.22676675296</v>
      </c>
      <c r="N79" s="32">
        <v>36423.683872311114</v>
      </c>
      <c r="P79" s="32">
        <v>111048.12528524577</v>
      </c>
      <c r="Q79" s="32">
        <v>112198.78202323453</v>
      </c>
      <c r="R79" s="32">
        <v>111008.95458758654</v>
      </c>
      <c r="S79" s="32">
        <v>109740.19087979454</v>
      </c>
      <c r="T79" s="33"/>
      <c r="U79" s="32">
        <v>443996.05277586135</v>
      </c>
    </row>
    <row r="80" spans="2:21" ht="15" customHeight="1" x14ac:dyDescent="0.2">
      <c r="B80" s="23" t="s">
        <v>87</v>
      </c>
      <c r="C80" s="28">
        <v>2068164.5759999999</v>
      </c>
      <c r="D80" s="28">
        <v>2099947.4844514518</v>
      </c>
      <c r="E80" s="28">
        <v>2115713.8207922499</v>
      </c>
      <c r="F80" s="28">
        <v>2132551.4591075717</v>
      </c>
      <c r="G80" s="28">
        <v>2119826.7221187372</v>
      </c>
      <c r="H80" s="28">
        <v>2096559.3493318539</v>
      </c>
      <c r="I80" s="28">
        <v>2105118.3567341068</v>
      </c>
      <c r="J80" s="28">
        <v>2114755.9721654961</v>
      </c>
      <c r="K80" s="28">
        <v>2061735.0192589606</v>
      </c>
      <c r="L80" s="28">
        <v>2099375.388636759</v>
      </c>
      <c r="M80" s="28">
        <v>2049349.8876576691</v>
      </c>
      <c r="N80" s="28">
        <v>2061089.1612906607</v>
      </c>
      <c r="P80" s="28">
        <v>6283825.881243702</v>
      </c>
      <c r="Q80" s="28">
        <v>6348937.5305581633</v>
      </c>
      <c r="R80" s="28">
        <v>6281609.3481585644</v>
      </c>
      <c r="S80" s="28">
        <v>6209814.4375850884</v>
      </c>
      <c r="T80" s="54"/>
      <c r="U80" s="28">
        <v>25124187.197545517</v>
      </c>
    </row>
    <row r="81" spans="2:21" ht="15" customHeight="1" x14ac:dyDescent="0.2">
      <c r="B81"/>
      <c r="N81" s="35"/>
      <c r="T81" s="51"/>
    </row>
    <row r="82" spans="2:21" ht="15" customHeight="1" x14ac:dyDescent="0.2">
      <c r="B82" s="23" t="s">
        <v>94</v>
      </c>
      <c r="C82" s="28">
        <v>2930404.3890482602</v>
      </c>
      <c r="D82" s="28">
        <v>2978536.8038396058</v>
      </c>
      <c r="E82" s="28">
        <v>2975611.3058374613</v>
      </c>
      <c r="F82" s="28">
        <v>3014673.7109524668</v>
      </c>
      <c r="G82" s="28">
        <v>2975290.2417972898</v>
      </c>
      <c r="H82" s="28">
        <v>2937075.8448655913</v>
      </c>
      <c r="I82" s="28">
        <v>2960558.1743753389</v>
      </c>
      <c r="J82" s="28">
        <v>2961928.9350524796</v>
      </c>
      <c r="K82" s="28">
        <v>2888295.7111775489</v>
      </c>
      <c r="L82" s="28">
        <v>2938514.6439505727</v>
      </c>
      <c r="M82" s="28">
        <v>2863251.8197845686</v>
      </c>
      <c r="N82" s="28">
        <v>2874760.0829312885</v>
      </c>
      <c r="P82" s="28">
        <v>8884552.4987253286</v>
      </c>
      <c r="Q82" s="28">
        <v>8927039.7976153456</v>
      </c>
      <c r="R82" s="28">
        <v>8810782.8206053656</v>
      </c>
      <c r="S82" s="28">
        <v>8676526.5466664284</v>
      </c>
      <c r="T82" s="54"/>
      <c r="U82" s="28">
        <v>35298901.66361247</v>
      </c>
    </row>
    <row r="83" spans="2:21" ht="15" customHeight="1" x14ac:dyDescent="0.2">
      <c r="B83" s="23" t="s">
        <v>95</v>
      </c>
      <c r="C83" s="71">
        <v>0.49213273810534219</v>
      </c>
      <c r="D83" s="71">
        <v>0.49264528692451676</v>
      </c>
      <c r="E83" s="71">
        <v>0.48849381871831066</v>
      </c>
      <c r="F83" s="71">
        <v>0.49099897974601742</v>
      </c>
      <c r="G83" s="71">
        <v>0.48749343440208109</v>
      </c>
      <c r="H83" s="71">
        <v>0.48657276473979988</v>
      </c>
      <c r="I83" s="71">
        <v>0.48846885321199945</v>
      </c>
      <c r="J83" s="71">
        <v>0.48646787936504249</v>
      </c>
      <c r="K83" s="71">
        <v>0.48657366897344834</v>
      </c>
      <c r="L83" s="71">
        <v>0.4861581305460646</v>
      </c>
      <c r="M83" s="71">
        <v>0.48526975996216876</v>
      </c>
      <c r="N83" s="71">
        <v>0.48444516076107275</v>
      </c>
      <c r="P83" s="71">
        <v>0.49107882818460835</v>
      </c>
      <c r="Q83" s="71">
        <v>0.48836689035016456</v>
      </c>
      <c r="R83" s="71">
        <v>0.48717317583786379</v>
      </c>
      <c r="S83" s="71">
        <v>0.4852964034095204</v>
      </c>
      <c r="T83" s="123"/>
      <c r="U83" s="71">
        <v>0.48798780317227342</v>
      </c>
    </row>
    <row r="84" spans="2:21" ht="15" customHeight="1" x14ac:dyDescent="0.2">
      <c r="B84"/>
      <c r="T84" s="51"/>
    </row>
    <row r="85" spans="2:21" ht="15" customHeight="1" x14ac:dyDescent="0.2">
      <c r="B85" s="58" t="s">
        <v>89</v>
      </c>
      <c r="C85" s="26">
        <v>149367.44160000002</v>
      </c>
      <c r="D85" s="26">
        <v>151662.87387704928</v>
      </c>
      <c r="E85" s="26">
        <v>152801.55372388475</v>
      </c>
      <c r="F85" s="26">
        <v>154017.60537999126</v>
      </c>
      <c r="G85" s="26">
        <v>153098.59659746438</v>
      </c>
      <c r="H85" s="26">
        <v>151418.17522952278</v>
      </c>
      <c r="I85" s="26">
        <v>152036.32576412993</v>
      </c>
      <c r="J85" s="26">
        <v>152732.37576750806</v>
      </c>
      <c r="K85" s="26">
        <v>148903.08472425831</v>
      </c>
      <c r="L85" s="26">
        <v>151621.55584598813</v>
      </c>
      <c r="M85" s="26">
        <v>148008.60299749832</v>
      </c>
      <c r="N85" s="26">
        <v>148856.43942654773</v>
      </c>
      <c r="P85" s="26">
        <v>453831.86920093407</v>
      </c>
      <c r="Q85" s="26">
        <v>458534.37720697839</v>
      </c>
      <c r="R85" s="26">
        <v>453671.78625589632</v>
      </c>
      <c r="S85" s="26">
        <v>448486.59827003418</v>
      </c>
      <c r="T85" s="33"/>
      <c r="U85" s="26">
        <v>1814524.6309338429</v>
      </c>
    </row>
    <row r="86" spans="2:21" ht="15" customHeight="1" x14ac:dyDescent="0.2">
      <c r="B86" s="58" t="s">
        <v>90</v>
      </c>
      <c r="C86" s="26">
        <v>45959.212800000008</v>
      </c>
      <c r="D86" s="26">
        <v>46665.499654476705</v>
      </c>
      <c r="E86" s="26">
        <v>47015.86268427223</v>
      </c>
      <c r="F86" s="26">
        <v>47390.032424612698</v>
      </c>
      <c r="G86" s="26">
        <v>47107.260491527501</v>
      </c>
      <c r="H86" s="26">
        <v>46590.207762930091</v>
      </c>
      <c r="I86" s="26">
        <v>46780.407927424596</v>
      </c>
      <c r="J86" s="26">
        <v>46994.577159233246</v>
      </c>
      <c r="K86" s="26">
        <v>45816.333761310249</v>
      </c>
      <c r="L86" s="26">
        <v>46652.7864141502</v>
      </c>
      <c r="M86" s="26">
        <v>45541.108614614874</v>
      </c>
      <c r="N86" s="26">
        <v>45801.981362014689</v>
      </c>
      <c r="P86" s="26">
        <v>139640.57513874894</v>
      </c>
      <c r="Q86" s="26">
        <v>141087.5006790703</v>
      </c>
      <c r="R86" s="26">
        <v>139591.31884796807</v>
      </c>
      <c r="S86" s="26">
        <v>137995.87639077977</v>
      </c>
      <c r="T86" s="33"/>
      <c r="U86" s="26">
        <v>558315.27105656709</v>
      </c>
    </row>
    <row r="87" spans="2:21" ht="15" customHeight="1" x14ac:dyDescent="0.2">
      <c r="B87" s="58" t="s">
        <v>91</v>
      </c>
      <c r="C87" s="26">
        <v>22979.606400000004</v>
      </c>
      <c r="D87" s="26">
        <v>23332.749827238353</v>
      </c>
      <c r="E87" s="26">
        <v>23507.931342136115</v>
      </c>
      <c r="F87" s="26">
        <v>23695.016212306349</v>
      </c>
      <c r="G87" s="26">
        <v>23553.63024576375</v>
      </c>
      <c r="H87" s="26">
        <v>23295.103881465046</v>
      </c>
      <c r="I87" s="26">
        <v>23390.203963712298</v>
      </c>
      <c r="J87" s="26">
        <v>23497.288579616623</v>
      </c>
      <c r="K87" s="26">
        <v>22908.166880655124</v>
      </c>
      <c r="L87" s="26">
        <v>23326.3932070751</v>
      </c>
      <c r="M87" s="26">
        <v>22770.554307307437</v>
      </c>
      <c r="N87" s="26">
        <v>22900.990681007344</v>
      </c>
      <c r="P87" s="26">
        <v>69820.287569374472</v>
      </c>
      <c r="Q87" s="26">
        <v>70543.750339535152</v>
      </c>
      <c r="R87" s="26">
        <v>69795.659423984034</v>
      </c>
      <c r="S87" s="26">
        <v>68997.938195389885</v>
      </c>
      <c r="T87" s="33"/>
      <c r="U87" s="26">
        <v>279157.63552828354</v>
      </c>
    </row>
    <row r="88" spans="2:21" ht="15" customHeight="1" x14ac:dyDescent="0.2">
      <c r="B88" s="121" t="s">
        <v>92</v>
      </c>
      <c r="C88" s="32">
        <v>11489.803200000002</v>
      </c>
      <c r="D88" s="32">
        <v>11666.374913619176</v>
      </c>
      <c r="E88" s="32">
        <v>11753.965671068057</v>
      </c>
      <c r="F88" s="32">
        <v>11847.508106153175</v>
      </c>
      <c r="G88" s="32">
        <v>11776.815122881875</v>
      </c>
      <c r="H88" s="32">
        <v>11647.551940732523</v>
      </c>
      <c r="I88" s="32">
        <v>11695.101981856149</v>
      </c>
      <c r="J88" s="32">
        <v>11748.644289808311</v>
      </c>
      <c r="K88" s="32">
        <v>11454.083440327562</v>
      </c>
      <c r="L88" s="32">
        <v>11663.19660353755</v>
      </c>
      <c r="M88" s="32">
        <v>11385.277153653718</v>
      </c>
      <c r="N88" s="32">
        <v>11450.495340503672</v>
      </c>
      <c r="P88" s="32">
        <v>34910.143784687236</v>
      </c>
      <c r="Q88" s="32">
        <v>35271.875169767576</v>
      </c>
      <c r="R88" s="32">
        <v>34897.829711992017</v>
      </c>
      <c r="S88" s="32">
        <v>34498.969097694942</v>
      </c>
      <c r="T88" s="33"/>
      <c r="U88" s="32">
        <v>139578.81776414177</v>
      </c>
    </row>
    <row r="89" spans="2:21" ht="15" customHeight="1" x14ac:dyDescent="0.2">
      <c r="B89" s="23" t="s">
        <v>93</v>
      </c>
      <c r="C89" s="28">
        <v>229796.06400000001</v>
      </c>
      <c r="D89" s="28">
        <v>233327.4982723835</v>
      </c>
      <c r="E89" s="28">
        <v>235079.31342136115</v>
      </c>
      <c r="F89" s="28">
        <v>236950.16212306349</v>
      </c>
      <c r="G89" s="28">
        <v>235536.3024576375</v>
      </c>
      <c r="H89" s="28">
        <v>232951.03881465044</v>
      </c>
      <c r="I89" s="28">
        <v>233902.03963712297</v>
      </c>
      <c r="J89" s="28">
        <v>234972.88579616623</v>
      </c>
      <c r="K89" s="28">
        <v>229081.66880655123</v>
      </c>
      <c r="L89" s="28">
        <v>233263.93207075098</v>
      </c>
      <c r="M89" s="28">
        <v>227705.54307307434</v>
      </c>
      <c r="N89" s="28">
        <v>229009.90681007341</v>
      </c>
      <c r="P89" s="28">
        <v>698202.87569374463</v>
      </c>
      <c r="Q89" s="28">
        <v>705437.50339535135</v>
      </c>
      <c r="R89" s="28">
        <v>697956.5942398404</v>
      </c>
      <c r="S89" s="28">
        <v>689979.3819538987</v>
      </c>
      <c r="T89" s="54"/>
      <c r="U89" s="28">
        <v>2791576.3552828352</v>
      </c>
    </row>
    <row r="90" spans="2:21" ht="15" customHeight="1" x14ac:dyDescent="0.2">
      <c r="B90"/>
    </row>
    <row r="91" spans="2:21" ht="15" customHeight="1" x14ac:dyDescent="0.2">
      <c r="B91" s="23" t="s">
        <v>96</v>
      </c>
      <c r="C91" s="28">
        <v>2700608.3250482604</v>
      </c>
      <c r="D91" s="28">
        <v>2745209.3055672222</v>
      </c>
      <c r="E91" s="28">
        <v>2740531.9924161001</v>
      </c>
      <c r="F91" s="28">
        <v>2777723.5488294032</v>
      </c>
      <c r="G91" s="28">
        <v>2739753.9393396522</v>
      </c>
      <c r="H91" s="28">
        <v>2704124.8060509409</v>
      </c>
      <c r="I91" s="28">
        <v>2726656.1347382162</v>
      </c>
      <c r="J91" s="28">
        <v>2726956.0492563136</v>
      </c>
      <c r="K91" s="28">
        <v>2659214.0423709978</v>
      </c>
      <c r="L91" s="28">
        <v>2705250.7118798215</v>
      </c>
      <c r="M91" s="28">
        <v>2635546.2767114942</v>
      </c>
      <c r="N91" s="28">
        <v>2645750.1761212153</v>
      </c>
      <c r="P91" s="28">
        <v>8186349.6230315836</v>
      </c>
      <c r="Q91" s="28">
        <v>8221602.294219994</v>
      </c>
      <c r="R91" s="28">
        <v>8112826.2263655253</v>
      </c>
      <c r="S91" s="28">
        <v>7986547.1647125296</v>
      </c>
      <c r="T91" s="28"/>
      <c r="U91" s="28">
        <v>32507325.308329634</v>
      </c>
    </row>
    <row r="92" spans="2:21" ht="15" customHeight="1" x14ac:dyDescent="0.2">
      <c r="B92" s="23" t="s">
        <v>97</v>
      </c>
      <c r="C92" s="71">
        <v>0.45354073810534223</v>
      </c>
      <c r="D92" s="71">
        <v>0.45405328692451674</v>
      </c>
      <c r="E92" s="71">
        <v>0.44990181871831064</v>
      </c>
      <c r="F92" s="71">
        <v>0.4524069797460174</v>
      </c>
      <c r="G92" s="71">
        <v>0.44890143440208108</v>
      </c>
      <c r="H92" s="71">
        <v>0.44798076473979986</v>
      </c>
      <c r="I92" s="71">
        <v>0.44987685321199949</v>
      </c>
      <c r="J92" s="71">
        <v>0.44787587936504247</v>
      </c>
      <c r="K92" s="71">
        <v>0.44798166897344838</v>
      </c>
      <c r="L92" s="71">
        <v>0.44756613054606459</v>
      </c>
      <c r="M92" s="71">
        <v>0.44667775996216874</v>
      </c>
      <c r="N92" s="71">
        <v>0.44585316076107279</v>
      </c>
      <c r="P92" s="71">
        <v>0.45248682818460828</v>
      </c>
      <c r="Q92" s="71">
        <v>0.44977489035016455</v>
      </c>
      <c r="R92" s="71">
        <v>0.44858117583786378</v>
      </c>
      <c r="S92" s="71">
        <v>0.44670440340952039</v>
      </c>
      <c r="T92" s="71"/>
      <c r="U92" s="71">
        <v>0.4493958031722734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2BD46-3146-4B50-A9FE-27C9C24DCD6A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0815-C11A-4760-81E3-0ACC78E7C13E}">
  <dimension ref="B2:V95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13" t="s">
        <v>106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4"/>
      <c r="R2" s="114"/>
      <c r="S2" s="114"/>
      <c r="T2" s="114"/>
      <c r="U2" s="116"/>
      <c r="V2" s="114"/>
    </row>
    <row r="3" spans="2:22" x14ac:dyDescent="0.2">
      <c r="B3" s="1"/>
    </row>
    <row r="4" spans="2:22" x14ac:dyDescent="0.2">
      <c r="B4" s="1" t="s">
        <v>16</v>
      </c>
      <c r="C4" s="3">
        <v>44927</v>
      </c>
      <c r="D4" s="3">
        <f>EOMONTH(C4,0)+1</f>
        <v>44958</v>
      </c>
      <c r="E4" s="3">
        <f t="shared" ref="E4:N4" si="0">EOMONTH(D4,0)+1</f>
        <v>44986</v>
      </c>
      <c r="F4" s="3">
        <f t="shared" si="0"/>
        <v>45017</v>
      </c>
      <c r="G4" s="3">
        <f t="shared" si="0"/>
        <v>45047</v>
      </c>
      <c r="H4" s="3">
        <f t="shared" si="0"/>
        <v>45078</v>
      </c>
      <c r="I4" s="3">
        <f t="shared" si="0"/>
        <v>45108</v>
      </c>
      <c r="J4" s="3">
        <f t="shared" si="0"/>
        <v>45139</v>
      </c>
      <c r="K4" s="3">
        <f t="shared" si="0"/>
        <v>45170</v>
      </c>
      <c r="L4" s="3">
        <f t="shared" si="0"/>
        <v>45200</v>
      </c>
      <c r="M4" s="3">
        <f t="shared" si="0"/>
        <v>45231</v>
      </c>
      <c r="N4" s="3">
        <f t="shared" si="0"/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4">
        <f>SUM(C6:C7)</f>
        <v>918241.81085671578</v>
      </c>
      <c r="D5" s="4">
        <f t="shared" ref="D5:N5" si="1">SUM(D6:D7)</f>
        <v>1098822.1071652398</v>
      </c>
      <c r="E5" s="4">
        <f t="shared" si="1"/>
        <v>1389108.8186953156</v>
      </c>
      <c r="F5" s="4">
        <f t="shared" si="1"/>
        <v>1060457.1162919106</v>
      </c>
      <c r="G5" s="4">
        <f t="shared" si="1"/>
        <v>1080187.977512805</v>
      </c>
      <c r="H5" s="4">
        <f t="shared" si="1"/>
        <v>1449758.253748731</v>
      </c>
      <c r="I5" s="4">
        <f t="shared" si="1"/>
        <v>1270033.6214879407</v>
      </c>
      <c r="J5" s="4">
        <f t="shared" si="1"/>
        <v>1137642.609668985</v>
      </c>
      <c r="K5" s="4">
        <f t="shared" si="1"/>
        <v>1505986.0966062024</v>
      </c>
      <c r="L5" s="4">
        <f t="shared" si="1"/>
        <v>825220.26826456212</v>
      </c>
      <c r="M5" s="4">
        <f t="shared" si="1"/>
        <v>1232003.1532279779</v>
      </c>
      <c r="N5" s="4">
        <f t="shared" si="1"/>
        <v>1753899.7673868714</v>
      </c>
      <c r="P5" s="75">
        <v>7.4999999999999997E-2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1">
        <v>622514.35130164481</v>
      </c>
      <c r="D6" s="11">
        <v>935097.23442405579</v>
      </c>
      <c r="E6" s="11">
        <v>1179236.180272124</v>
      </c>
      <c r="F6" s="11">
        <v>777579.95049804996</v>
      </c>
      <c r="G6" s="11">
        <v>753453.09429011669</v>
      </c>
      <c r="H6" s="11">
        <v>1159929.2819288557</v>
      </c>
      <c r="I6" s="11">
        <v>1011896.7065513673</v>
      </c>
      <c r="J6" s="11">
        <v>874189.60777134181</v>
      </c>
      <c r="K6" s="11">
        <v>1000548.9055383139</v>
      </c>
      <c r="L6" s="11">
        <v>766538.84680967382</v>
      </c>
      <c r="M6" s="11">
        <v>1069760.2684737833</v>
      </c>
      <c r="N6" s="11">
        <v>1248360.343877424</v>
      </c>
      <c r="P6" s="75">
        <v>0.13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1">
        <v>295727.45955507096</v>
      </c>
      <c r="D7" s="11">
        <v>163724.87274118402</v>
      </c>
      <c r="E7" s="11">
        <v>209872.6384231917</v>
      </c>
      <c r="F7" s="11">
        <v>282877.16579386062</v>
      </c>
      <c r="G7" s="11">
        <v>326734.8832226884</v>
      </c>
      <c r="H7" s="11">
        <v>289828.97181987535</v>
      </c>
      <c r="I7" s="11">
        <v>258136.91493657327</v>
      </c>
      <c r="J7" s="11">
        <v>263453.00189764332</v>
      </c>
      <c r="K7" s="11">
        <v>505437.1910678884</v>
      </c>
      <c r="L7" s="11">
        <v>58681.421454888339</v>
      </c>
      <c r="M7" s="11">
        <v>162242.88475419473</v>
      </c>
      <c r="N7" s="11">
        <v>505539.42350944749</v>
      </c>
      <c r="P7" s="75">
        <v>0.01</v>
      </c>
      <c r="Q7" t="s">
        <v>27</v>
      </c>
      <c r="U7" s="8">
        <v>44977</v>
      </c>
    </row>
    <row r="8" spans="2:22" x14ac:dyDescent="0.2">
      <c r="B8" t="s">
        <v>12</v>
      </c>
      <c r="C8" s="4">
        <f>SUM(C9:C10)</f>
        <v>721374.25132581848</v>
      </c>
      <c r="D8" s="4">
        <f t="shared" ref="D8:N8" si="2">SUM(D9:D10)</f>
        <v>595242.65474325209</v>
      </c>
      <c r="E8" s="4">
        <f t="shared" si="2"/>
        <v>1249710.3438458135</v>
      </c>
      <c r="F8" s="4">
        <f t="shared" si="2"/>
        <v>708675.28488725773</v>
      </c>
      <c r="G8" s="4">
        <f t="shared" si="2"/>
        <v>903837.01582346321</v>
      </c>
      <c r="H8" s="4">
        <f t="shared" si="2"/>
        <v>1378195.5446574034</v>
      </c>
      <c r="I8" s="4">
        <f t="shared" si="2"/>
        <v>1037250.3520580088</v>
      </c>
      <c r="J8" s="4">
        <f t="shared" si="2"/>
        <v>767663.40366682317</v>
      </c>
      <c r="K8" s="4">
        <f t="shared" si="2"/>
        <v>1064955.3437205083</v>
      </c>
      <c r="L8" s="4">
        <f t="shared" si="2"/>
        <v>978466.69816156151</v>
      </c>
      <c r="M8" s="4">
        <f t="shared" si="2"/>
        <v>1432889.9008914893</v>
      </c>
      <c r="N8" s="4">
        <f t="shared" si="2"/>
        <v>944729.99244707869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1">
        <v>280387.13024097512</v>
      </c>
      <c r="D9" s="11">
        <v>371671.55899892846</v>
      </c>
      <c r="E9" s="11">
        <v>506998.66365879396</v>
      </c>
      <c r="F9" s="11">
        <v>513002.39174325723</v>
      </c>
      <c r="G9" s="11">
        <v>588858.86338006426</v>
      </c>
      <c r="H9" s="11">
        <v>1062092.8353568551</v>
      </c>
      <c r="I9" s="11">
        <v>792710.35184878763</v>
      </c>
      <c r="J9" s="11">
        <v>683730.56914685224</v>
      </c>
      <c r="K9" s="11">
        <v>798742.06590077106</v>
      </c>
      <c r="L9" s="11">
        <v>699678.83003006235</v>
      </c>
      <c r="M9" s="11">
        <v>1139585.0260586068</v>
      </c>
      <c r="N9" s="11">
        <v>650505.02564016473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1">
        <v>440987.1210848433</v>
      </c>
      <c r="D10" s="11">
        <v>223571.0957443236</v>
      </c>
      <c r="E10" s="11">
        <v>742711.68018701964</v>
      </c>
      <c r="F10" s="11">
        <v>195672.89314400047</v>
      </c>
      <c r="G10" s="11">
        <v>314978.1524433989</v>
      </c>
      <c r="H10" s="11">
        <v>316102.7093005483</v>
      </c>
      <c r="I10" s="11">
        <v>244540.00020922109</v>
      </c>
      <c r="J10" s="11">
        <v>83932.834519970944</v>
      </c>
      <c r="K10" s="11">
        <v>266213.27781973733</v>
      </c>
      <c r="L10" s="11">
        <v>278787.8681314991</v>
      </c>
      <c r="M10" s="11">
        <v>293304.87483288266</v>
      </c>
      <c r="N10" s="11">
        <v>294224.96680691402</v>
      </c>
      <c r="P10" s="74">
        <f>0.1625*C37</f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4">
        <v>198666.7339566247</v>
      </c>
      <c r="D11" s="14">
        <v>335025.21674858825</v>
      </c>
      <c r="E11" s="14">
        <v>544202.91708709358</v>
      </c>
      <c r="F11" s="14">
        <v>191992.52524787508</v>
      </c>
      <c r="G11" s="14">
        <v>275618.66244316887</v>
      </c>
      <c r="H11" s="14">
        <v>502574.68270423537</v>
      </c>
      <c r="I11" s="14">
        <v>521998.84660045261</v>
      </c>
      <c r="J11" s="14">
        <v>551237.32488633774</v>
      </c>
      <c r="K11" s="14">
        <v>705812.77652360452</v>
      </c>
      <c r="L11" s="14">
        <v>533039.95028882893</v>
      </c>
      <c r="M11" s="14">
        <v>230840.85304030988</v>
      </c>
      <c r="N11" s="14">
        <v>401875.72776858194</v>
      </c>
      <c r="P11" s="74">
        <f>0.1625*C44</f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f>C5+C8+C11</f>
        <v>1838282.796139159</v>
      </c>
      <c r="D12" s="13">
        <f t="shared" ref="D12:N12" si="3">D5+D8+D11</f>
        <v>2029089.9786570801</v>
      </c>
      <c r="E12" s="13">
        <f t="shared" si="3"/>
        <v>3183022.0796282226</v>
      </c>
      <c r="F12" s="13">
        <f t="shared" si="3"/>
        <v>1961124.9264270435</v>
      </c>
      <c r="G12" s="13">
        <f t="shared" si="3"/>
        <v>2259643.6557794372</v>
      </c>
      <c r="H12" s="13">
        <f t="shared" si="3"/>
        <v>3330528.4811103698</v>
      </c>
      <c r="I12" s="13">
        <f t="shared" si="3"/>
        <v>2829282.8201464019</v>
      </c>
      <c r="J12" s="13">
        <f t="shared" si="3"/>
        <v>2456543.338222146</v>
      </c>
      <c r="K12" s="13">
        <f t="shared" si="3"/>
        <v>3276754.2168503152</v>
      </c>
      <c r="L12" s="13">
        <f t="shared" si="3"/>
        <v>2336726.9167149523</v>
      </c>
      <c r="M12" s="13">
        <f t="shared" si="3"/>
        <v>2895733.9071597774</v>
      </c>
      <c r="N12" s="13">
        <f t="shared" si="3"/>
        <v>3100505.4876025319</v>
      </c>
      <c r="P12" s="75">
        <v>4.5999999999999999E-2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6">
        <v>6.7393931455971043E-2</v>
      </c>
      <c r="D15" s="6">
        <v>0.14484668328968767</v>
      </c>
      <c r="E15" s="6">
        <v>0.11567215284129743</v>
      </c>
      <c r="F15" s="6">
        <v>0.1462793629016185</v>
      </c>
      <c r="G15" s="6">
        <v>0.11740251602634331</v>
      </c>
      <c r="H15" s="6">
        <v>0.20384898186803421</v>
      </c>
      <c r="I15" s="6">
        <v>0.12675550059165933</v>
      </c>
      <c r="J15" s="6">
        <v>0.17077228679600875</v>
      </c>
      <c r="K15" s="6">
        <v>0.19781124572277028</v>
      </c>
      <c r="L15" s="6">
        <v>0.33258751868872005</v>
      </c>
      <c r="M15" s="6">
        <v>0.17732830917255957</v>
      </c>
      <c r="N15" s="6">
        <v>0.20561240301531233</v>
      </c>
      <c r="P15" s="75">
        <v>0.91</v>
      </c>
      <c r="Q15" s="9" t="s">
        <v>78</v>
      </c>
      <c r="U15" s="8">
        <v>45208</v>
      </c>
    </row>
    <row r="16" spans="2:22" x14ac:dyDescent="0.2">
      <c r="B16" s="17" t="s">
        <v>10</v>
      </c>
      <c r="C16" s="21">
        <v>8.269779157262673E-2</v>
      </c>
      <c r="D16" s="21">
        <v>0.14520413222718045</v>
      </c>
      <c r="E16" s="21">
        <v>0.13561154879632886</v>
      </c>
      <c r="F16" s="21">
        <v>0.17832635139258812</v>
      </c>
      <c r="G16" s="21">
        <v>0.13885500252245264</v>
      </c>
      <c r="H16" s="21">
        <v>0.18952940132167459</v>
      </c>
      <c r="I16" s="21">
        <v>0.13185705933438946</v>
      </c>
      <c r="J16" s="21">
        <v>0.17459490622063628</v>
      </c>
      <c r="K16" s="21">
        <v>0.25025408643068464</v>
      </c>
      <c r="L16" s="21">
        <v>0.25312276989029103</v>
      </c>
      <c r="M16" s="21">
        <v>0.17053504999123692</v>
      </c>
      <c r="N16" s="21">
        <v>0.23583693040225787</v>
      </c>
      <c r="P16" s="75">
        <f>1/12</f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21">
        <v>3.5178889378835419E-2</v>
      </c>
      <c r="D17" s="21">
        <v>0.14280515161950749</v>
      </c>
      <c r="E17" s="21">
        <v>4.5604790246004716E-2</v>
      </c>
      <c r="F17" s="21">
        <v>5.8187785575158441E-2</v>
      </c>
      <c r="G17" s="21">
        <v>6.7932921071297683E-2</v>
      </c>
      <c r="H17" s="21">
        <v>0.26115761004404708</v>
      </c>
      <c r="I17" s="21">
        <v>0.10675739032015726</v>
      </c>
      <c r="J17" s="21">
        <v>0.15808807309791401</v>
      </c>
      <c r="K17" s="21">
        <v>9.3996908746969907E-2</v>
      </c>
      <c r="L17" s="21">
        <v>1.3706131049093142</v>
      </c>
      <c r="M17" s="21">
        <v>0.22212015799005139</v>
      </c>
      <c r="N17" s="21">
        <v>0.13097707360742727</v>
      </c>
      <c r="U17" s="8">
        <v>45254</v>
      </c>
    </row>
    <row r="18" spans="2:21" x14ac:dyDescent="0.2">
      <c r="B18" s="16" t="s">
        <v>12</v>
      </c>
      <c r="C18" s="6">
        <v>0.17841142091049092</v>
      </c>
      <c r="D18" s="6">
        <v>0.16576614011777902</v>
      </c>
      <c r="E18" s="6">
        <v>8.7735600019642646E-2</v>
      </c>
      <c r="F18" s="6">
        <v>0.19496123355955849</v>
      </c>
      <c r="G18" s="6">
        <v>0.12927223517600184</v>
      </c>
      <c r="H18" s="6">
        <v>0.12033628224965125</v>
      </c>
      <c r="I18" s="6">
        <v>0.12118049769423624</v>
      </c>
      <c r="J18" s="6">
        <v>9.4538332549951906E-2</v>
      </c>
      <c r="K18" s="6">
        <v>0.16041499448777996</v>
      </c>
      <c r="L18" s="6">
        <v>0.11049149223598738</v>
      </c>
      <c r="M18" s="6">
        <v>9.8512058859721238E-2</v>
      </c>
      <c r="N18" s="6">
        <v>0.16380225226010331</v>
      </c>
      <c r="P18" s="75">
        <v>0.46</v>
      </c>
      <c r="Q18" s="58" t="s">
        <v>70</v>
      </c>
      <c r="U18" s="8">
        <v>45285</v>
      </c>
    </row>
    <row r="19" spans="2:21" x14ac:dyDescent="0.2">
      <c r="B19" s="17" t="s">
        <v>10</v>
      </c>
      <c r="C19" s="21">
        <v>0.25513485939404251</v>
      </c>
      <c r="D19" s="21">
        <v>0.13216248357945287</v>
      </c>
      <c r="E19" s="21">
        <v>0.1076882767868082</v>
      </c>
      <c r="F19" s="21">
        <v>0.15435124114687773</v>
      </c>
      <c r="G19" s="21">
        <v>0.11540937166472348</v>
      </c>
      <c r="H19" s="21">
        <v>9.0990282613901921E-2</v>
      </c>
      <c r="I19" s="21">
        <v>0.10240525647455437</v>
      </c>
      <c r="J19" s="21">
        <v>4.614145810641769E-2</v>
      </c>
      <c r="K19" s="21">
        <v>0.1553360702956525</v>
      </c>
      <c r="L19" s="21">
        <v>0.10728859254871663</v>
      </c>
      <c r="M19" s="21">
        <v>9.4760413813254091E-2</v>
      </c>
      <c r="N19" s="21">
        <v>0.16792263506510405</v>
      </c>
      <c r="P19" s="75">
        <v>0.44</v>
      </c>
      <c r="Q19" s="58" t="s">
        <v>71</v>
      </c>
    </row>
    <row r="20" spans="2:21" x14ac:dyDescent="0.2">
      <c r="B20" s="17" t="s">
        <v>11</v>
      </c>
      <c r="C20" s="21">
        <v>0.12962935061850114</v>
      </c>
      <c r="D20" s="21">
        <v>0.22162990628166296</v>
      </c>
      <c r="E20" s="21">
        <v>7.1151099980620497E-2</v>
      </c>
      <c r="F20" s="21">
        <v>0.30142985525591814</v>
      </c>
      <c r="G20" s="21">
        <v>0.15518917572289023</v>
      </c>
      <c r="H20" s="21">
        <v>0.21893770211245839</v>
      </c>
      <c r="I20" s="21">
        <v>0.18204304803596411</v>
      </c>
      <c r="J20" s="21">
        <v>0.48878717089143386</v>
      </c>
      <c r="K20" s="21">
        <v>0.17565371749587982</v>
      </c>
      <c r="L20" s="21">
        <v>0.11852986607525422</v>
      </c>
      <c r="M20" s="21">
        <v>0.11308842251708248</v>
      </c>
      <c r="N20" s="21">
        <v>0.15469245525238268</v>
      </c>
      <c r="P20" s="75">
        <v>7.0000000000000007E-2</v>
      </c>
      <c r="Q20" s="58" t="s">
        <v>72</v>
      </c>
    </row>
    <row r="21" spans="2:21" x14ac:dyDescent="0.2">
      <c r="B21" s="19" t="s">
        <v>13</v>
      </c>
      <c r="C21" s="22">
        <v>0.15169917201438265</v>
      </c>
      <c r="D21" s="22">
        <v>3.1052479234059648E-2</v>
      </c>
      <c r="E21" s="22">
        <v>0.13756140402794095</v>
      </c>
      <c r="F21" s="22">
        <v>0.19289808628569899</v>
      </c>
      <c r="G21" s="22">
        <v>0.29362421360352814</v>
      </c>
      <c r="H21" s="22">
        <v>0.20370342944125933</v>
      </c>
      <c r="I21" s="22">
        <v>6.3543024716316024E-2</v>
      </c>
      <c r="J21" s="22">
        <v>0.11695201728276121</v>
      </c>
      <c r="K21" s="22">
        <v>0.10441280328015808</v>
      </c>
      <c r="L21" s="22">
        <v>0.1948682263338565</v>
      </c>
      <c r="M21" s="22">
        <v>0.23822191395150702</v>
      </c>
      <c r="N21" s="22">
        <v>0.15173049442597039</v>
      </c>
      <c r="P21" s="75">
        <v>0.03</v>
      </c>
      <c r="Q21" s="58" t="s">
        <v>73</v>
      </c>
    </row>
    <row r="22" spans="2:21" x14ac:dyDescent="0.2">
      <c r="B22" s="18" t="s">
        <v>14</v>
      </c>
      <c r="C22" s="20">
        <v>9.9549306149495281E-2</v>
      </c>
      <c r="D22" s="20">
        <v>0.10960177195157539</v>
      </c>
      <c r="E22" s="20">
        <v>8.7049858779637571E-2</v>
      </c>
      <c r="F22" s="20">
        <v>0.13964829458312192</v>
      </c>
      <c r="G22" s="20">
        <v>0.11909489594017039</v>
      </c>
      <c r="H22" s="20">
        <v>0.1403396189289258</v>
      </c>
      <c r="I22" s="20">
        <v>9.3728128359109347E-2</v>
      </c>
      <c r="J22" s="20">
        <v>0.11182169263736468</v>
      </c>
      <c r="K22" s="20">
        <v>0.13724746376650401</v>
      </c>
      <c r="L22" s="20">
        <v>0.17259448997409876</v>
      </c>
      <c r="M22" s="20">
        <v>0.11871126583876601</v>
      </c>
      <c r="N22" s="20">
        <v>0.15411906819048526</v>
      </c>
    </row>
    <row r="23" spans="2:21" x14ac:dyDescent="0.2">
      <c r="P23" s="75">
        <v>0.06</v>
      </c>
      <c r="Q23" s="58" t="s">
        <v>44</v>
      </c>
    </row>
    <row r="24" spans="2:21" x14ac:dyDescent="0.2">
      <c r="B24" s="1" t="s">
        <v>17</v>
      </c>
      <c r="P24" s="75">
        <v>0.04</v>
      </c>
      <c r="Q24" t="s">
        <v>45</v>
      </c>
    </row>
    <row r="25" spans="2:21" x14ac:dyDescent="0.2">
      <c r="B25" t="s">
        <v>9</v>
      </c>
      <c r="C25" s="4">
        <f>SUM(C26:C27)</f>
        <v>61883.925660884226</v>
      </c>
      <c r="D25" s="4">
        <f t="shared" ref="D25:N25" si="4">SUM(D26:D27)</f>
        <v>159160.73774827071</v>
      </c>
      <c r="E25" s="4">
        <f t="shared" si="4"/>
        <v>169489.24245703485</v>
      </c>
      <c r="F25" s="4">
        <f t="shared" si="4"/>
        <v>155122.99135566823</v>
      </c>
      <c r="G25" s="4">
        <f t="shared" si="4"/>
        <v>126816.78634141046</v>
      </c>
      <c r="H25" s="4">
        <f t="shared" si="4"/>
        <v>295531.74398145801</v>
      </c>
      <c r="I25" s="4">
        <f t="shared" si="4"/>
        <v>160983.74745994189</v>
      </c>
      <c r="J25" s="4">
        <f t="shared" si="4"/>
        <v>194277.83000975178</v>
      </c>
      <c r="K25" s="4">
        <f t="shared" si="4"/>
        <v>297900.98581084522</v>
      </c>
      <c r="L25" s="4">
        <f t="shared" si="4"/>
        <v>274457.96139375068</v>
      </c>
      <c r="M25" s="4">
        <f t="shared" si="4"/>
        <v>218469.0360571791</v>
      </c>
      <c r="N25" s="4">
        <f t="shared" si="4"/>
        <v>360623.54582041199</v>
      </c>
      <c r="P25" s="75">
        <v>4.1000000000000002E-2</v>
      </c>
      <c r="Q25" t="s">
        <v>74</v>
      </c>
    </row>
    <row r="26" spans="2:21" x14ac:dyDescent="0.2">
      <c r="B26" s="10" t="s">
        <v>10</v>
      </c>
      <c r="C26" s="11">
        <f>C6*C16</f>
        <v>51480.562074912355</v>
      </c>
      <c r="D26" s="11">
        <f t="shared" ref="D26:N27" si="5">D6*D16</f>
        <v>135779.98247258135</v>
      </c>
      <c r="E26" s="11">
        <f t="shared" si="5"/>
        <v>159918.04480336962</v>
      </c>
      <c r="F26" s="11">
        <f t="shared" si="5"/>
        <v>138662.99548834653</v>
      </c>
      <c r="G26" s="11">
        <f t="shared" si="5"/>
        <v>104620.7313082039</v>
      </c>
      <c r="H26" s="11">
        <f t="shared" si="5"/>
        <v>219840.70237945591</v>
      </c>
      <c r="I26" s="11">
        <f t="shared" si="5"/>
        <v>133425.72407601692</v>
      </c>
      <c r="J26" s="11">
        <f t="shared" si="5"/>
        <v>152629.05258789225</v>
      </c>
      <c r="K26" s="11">
        <f t="shared" si="5"/>
        <v>250391.45228471214</v>
      </c>
      <c r="L26" s="11">
        <f t="shared" si="5"/>
        <v>194028.43613297411</v>
      </c>
      <c r="M26" s="11">
        <f t="shared" si="5"/>
        <v>182431.62086281565</v>
      </c>
      <c r="N26" s="11">
        <f t="shared" si="5"/>
        <v>294409.47153595876</v>
      </c>
      <c r="P26" s="75">
        <v>4.4999999999999998E-2</v>
      </c>
      <c r="Q26" t="s">
        <v>75</v>
      </c>
    </row>
    <row r="27" spans="2:21" x14ac:dyDescent="0.2">
      <c r="B27" s="10" t="s">
        <v>11</v>
      </c>
      <c r="C27" s="11">
        <f>C7*C17</f>
        <v>10403.363585971867</v>
      </c>
      <c r="D27" s="11">
        <f t="shared" si="5"/>
        <v>23380.755275689353</v>
      </c>
      <c r="E27" s="11">
        <f t="shared" si="5"/>
        <v>9571.1976536652473</v>
      </c>
      <c r="F27" s="11">
        <f t="shared" si="5"/>
        <v>16459.995867321704</v>
      </c>
      <c r="G27" s="11">
        <f t="shared" si="5"/>
        <v>22196.055033206558</v>
      </c>
      <c r="H27" s="11">
        <f t="shared" si="5"/>
        <v>75691.041602002122</v>
      </c>
      <c r="I27" s="11">
        <f t="shared" si="5"/>
        <v>27558.023383924985</v>
      </c>
      <c r="J27" s="11">
        <f t="shared" si="5"/>
        <v>41648.777421859515</v>
      </c>
      <c r="K27" s="11">
        <f t="shared" si="5"/>
        <v>47509.533526133098</v>
      </c>
      <c r="L27" s="11">
        <f t="shared" si="5"/>
        <v>80429.525260776558</v>
      </c>
      <c r="M27" s="11">
        <f t="shared" si="5"/>
        <v>36037.415194363435</v>
      </c>
      <c r="N27" s="11">
        <f t="shared" si="5"/>
        <v>66214.074284453251</v>
      </c>
    </row>
    <row r="28" spans="2:21" x14ac:dyDescent="0.2">
      <c r="B28" t="s">
        <v>12</v>
      </c>
      <c r="C28" s="4">
        <f>SUM(C29:C30)</f>
        <v>128701.40518728085</v>
      </c>
      <c r="D28" s="4">
        <f t="shared" ref="D28:N28" si="6">SUM(D29:D30)</f>
        <v>98671.077310248656</v>
      </c>
      <c r="E28" s="4">
        <f t="shared" si="6"/>
        <v>107442.56543639135</v>
      </c>
      <c r="F28" s="4">
        <f t="shared" si="6"/>
        <v>138164.20773479133</v>
      </c>
      <c r="G28" s="4">
        <f t="shared" si="6"/>
        <v>116841.03127030641</v>
      </c>
      <c r="H28" s="4">
        <f t="shared" si="6"/>
        <v>165846.92805710511</v>
      </c>
      <c r="I28" s="4">
        <f t="shared" si="6"/>
        <v>125694.51389591125</v>
      </c>
      <c r="J28" s="4">
        <f t="shared" si="6"/>
        <v>72573.618142282081</v>
      </c>
      <c r="K28" s="4">
        <f t="shared" si="6"/>
        <v>170834.80559265718</v>
      </c>
      <c r="L28" s="4">
        <f t="shared" si="6"/>
        <v>108112.24558309035</v>
      </c>
      <c r="M28" s="4">
        <f t="shared" si="6"/>
        <v>141156.93425612256</v>
      </c>
      <c r="N28" s="4">
        <f t="shared" si="6"/>
        <v>154748.90054050187</v>
      </c>
      <c r="P28" s="75">
        <v>0.16750000000000001</v>
      </c>
      <c r="Q28" t="s">
        <v>47</v>
      </c>
    </row>
    <row r="29" spans="2:21" x14ac:dyDescent="0.2">
      <c r="B29" s="10" t="s">
        <v>10</v>
      </c>
      <c r="C29" s="11">
        <f t="shared" ref="C29:N31" si="7">C9*C19</f>
        <v>71536.531049930272</v>
      </c>
      <c r="D29" s="11">
        <f t="shared" si="7"/>
        <v>49121.036313145531</v>
      </c>
      <c r="E29" s="11">
        <f t="shared" si="7"/>
        <v>54597.812422630079</v>
      </c>
      <c r="F29" s="11">
        <f t="shared" si="7"/>
        <v>79182.555876888538</v>
      </c>
      <c r="G29" s="11">
        <f t="shared" si="7"/>
        <v>67959.831421896466</v>
      </c>
      <c r="H29" s="11">
        <f t="shared" si="7"/>
        <v>96640.12725132065</v>
      </c>
      <c r="I29" s="11">
        <f t="shared" si="7"/>
        <v>81177.706891109337</v>
      </c>
      <c r="J29" s="11">
        <f t="shared" si="7"/>
        <v>31548.325412366608</v>
      </c>
      <c r="K29" s="11">
        <f t="shared" si="7"/>
        <v>124073.45369685687</v>
      </c>
      <c r="L29" s="11">
        <f t="shared" si="7"/>
        <v>75067.55691005812</v>
      </c>
      <c r="M29" s="11">
        <f t="shared" si="7"/>
        <v>107987.54864470153</v>
      </c>
      <c r="N29" s="11">
        <f t="shared" si="7"/>
        <v>109234.51802858953</v>
      </c>
      <c r="P29" s="75">
        <v>0.1</v>
      </c>
      <c r="Q29" t="s">
        <v>48</v>
      </c>
    </row>
    <row r="30" spans="2:21" x14ac:dyDescent="0.2">
      <c r="B30" s="10" t="s">
        <v>11</v>
      </c>
      <c r="C30" s="11">
        <f t="shared" si="7"/>
        <v>57164.874137350569</v>
      </c>
      <c r="D30" s="11">
        <f t="shared" si="7"/>
        <v>49550.040997103133</v>
      </c>
      <c r="E30" s="11">
        <f t="shared" si="7"/>
        <v>52844.75301376127</v>
      </c>
      <c r="F30" s="11">
        <f t="shared" si="7"/>
        <v>58981.651857902798</v>
      </c>
      <c r="G30" s="11">
        <f t="shared" si="7"/>
        <v>48881.199848409939</v>
      </c>
      <c r="H30" s="11">
        <f t="shared" si="7"/>
        <v>69206.800805784471</v>
      </c>
      <c r="I30" s="11">
        <f t="shared" si="7"/>
        <v>44516.807004801907</v>
      </c>
      <c r="J30" s="11">
        <f t="shared" si="7"/>
        <v>41025.292729915476</v>
      </c>
      <c r="K30" s="11">
        <f t="shared" si="7"/>
        <v>46761.351895800311</v>
      </c>
      <c r="L30" s="11">
        <f t="shared" si="7"/>
        <v>33044.688673032222</v>
      </c>
      <c r="M30" s="11">
        <f t="shared" si="7"/>
        <v>33169.385611421028</v>
      </c>
      <c r="N30" s="11">
        <f t="shared" si="7"/>
        <v>45514.382511912328</v>
      </c>
      <c r="P30" s="75">
        <v>0.08</v>
      </c>
      <c r="Q30" t="s">
        <v>49</v>
      </c>
    </row>
    <row r="31" spans="2:21" x14ac:dyDescent="0.2">
      <c r="B31" s="15" t="s">
        <v>13</v>
      </c>
      <c r="C31" s="14">
        <f t="shared" si="7"/>
        <v>30137.579048021606</v>
      </c>
      <c r="D31" s="14">
        <f t="shared" si="7"/>
        <v>10403.363585971869</v>
      </c>
      <c r="E31" s="14">
        <f t="shared" si="7"/>
        <v>74861.317350601734</v>
      </c>
      <c r="F31" s="14">
        <f t="shared" si="7"/>
        <v>37034.990701473849</v>
      </c>
      <c r="G31" s="14">
        <f t="shared" si="7"/>
        <v>80928.313014331739</v>
      </c>
      <c r="H31" s="14">
        <f t="shared" si="7"/>
        <v>102376.18641720551</v>
      </c>
      <c r="I31" s="14">
        <f t="shared" si="7"/>
        <v>33169.385611421014</v>
      </c>
      <c r="J31" s="14">
        <f t="shared" si="7"/>
        <v>64468.317147010028</v>
      </c>
      <c r="K31" s="14">
        <f t="shared" si="7"/>
        <v>73695.890587781294</v>
      </c>
      <c r="L31" s="14">
        <f t="shared" si="7"/>
        <v>103872.54967787114</v>
      </c>
      <c r="M31" s="14">
        <f t="shared" si="7"/>
        <v>54991.349829461178</v>
      </c>
      <c r="N31" s="14">
        <f t="shared" si="7"/>
        <v>60976.802872123619</v>
      </c>
      <c r="P31" s="75">
        <v>1.4999999999999999E-2</v>
      </c>
      <c r="Q31" t="s">
        <v>50</v>
      </c>
    </row>
    <row r="32" spans="2:21" x14ac:dyDescent="0.2">
      <c r="B32" s="1" t="s">
        <v>14</v>
      </c>
      <c r="C32" s="13">
        <f>C25+C28+C31</f>
        <v>220722.9098961867</v>
      </c>
      <c r="D32" s="13">
        <f t="shared" ref="D32:N32" si="8">D25+D28+D31</f>
        <v>268235.17864449124</v>
      </c>
      <c r="E32" s="13">
        <f t="shared" si="8"/>
        <v>351793.12524402793</v>
      </c>
      <c r="F32" s="13">
        <f t="shared" si="8"/>
        <v>330322.1897919334</v>
      </c>
      <c r="G32" s="13">
        <f t="shared" si="8"/>
        <v>324586.1306260486</v>
      </c>
      <c r="H32" s="13">
        <f t="shared" si="8"/>
        <v>563754.85845576867</v>
      </c>
      <c r="I32" s="13">
        <f t="shared" si="8"/>
        <v>319847.6469672742</v>
      </c>
      <c r="J32" s="13">
        <f t="shared" si="8"/>
        <v>331319.76529904385</v>
      </c>
      <c r="K32" s="13">
        <f t="shared" si="8"/>
        <v>542431.68199128367</v>
      </c>
      <c r="L32" s="13">
        <f t="shared" si="8"/>
        <v>486442.75665471214</v>
      </c>
      <c r="M32" s="13">
        <f t="shared" si="8"/>
        <v>414617.32014276285</v>
      </c>
      <c r="N32" s="13">
        <f t="shared" si="8"/>
        <v>576349.24923303747</v>
      </c>
    </row>
    <row r="33" spans="2:17" x14ac:dyDescent="0.2">
      <c r="P33" s="77">
        <v>1.4999999999999999E-4</v>
      </c>
      <c r="Q33" t="s">
        <v>52</v>
      </c>
    </row>
    <row r="34" spans="2:17" x14ac:dyDescent="0.2">
      <c r="B34" t="s">
        <v>8</v>
      </c>
      <c r="C34" s="2">
        <f>NETWORKDAYS(C$4,EOMONTH(C$4,0)+1,$U$5:$U$20)*8</f>
        <v>168</v>
      </c>
      <c r="D34" s="2">
        <f>NETWORKDAYS(D$4,EOMONTH(D$4,0)+1,$U$5:$U$20)*8</f>
        <v>160</v>
      </c>
      <c r="E34" s="2">
        <f>NETWORKDAYS(E$4,EOMONTH(E$4,0)+1,$U$5:$U$20)*8</f>
        <v>184</v>
      </c>
      <c r="F34" s="2">
        <f>NETWORKDAYS(F$4,EOMONTH(F$4,0)+1,$U$5:$U$20)*8</f>
        <v>160</v>
      </c>
      <c r="G34" s="2">
        <f>NETWORKDAYS(G$4,EOMONTH(G$4,0)+1,$U$5:$U$20)*8</f>
        <v>184</v>
      </c>
      <c r="H34" s="2">
        <f>NETWORKDAYS(H$4,EOMONTH(H$4,0)+1,$U$5:$U$20)*8</f>
        <v>168</v>
      </c>
      <c r="I34" s="2">
        <f>NETWORKDAYS(I$4,EOMONTH(I$4,0)+1,$U$5:$U$20)*8</f>
        <v>160</v>
      </c>
      <c r="J34" s="2">
        <f>NETWORKDAYS(J$4,EOMONTH(J$4,0)+1,$U$5:$U$20)*8</f>
        <v>184</v>
      </c>
      <c r="K34" s="2">
        <f>NETWORKDAYS(K$4,EOMONTH(K$4,0)+1,$U$5:$U$20)*8</f>
        <v>160</v>
      </c>
      <c r="L34" s="2">
        <f>NETWORKDAYS(L$4,EOMONTH(L$4,0)+1,$U$5:$U$20)*8</f>
        <v>176</v>
      </c>
      <c r="M34" s="2">
        <f>NETWORKDAYS(M$4,EOMONTH(M$4,0)+1,$U$5:$U$20)*8</f>
        <v>168</v>
      </c>
      <c r="N34" s="2">
        <f>NETWORKDAYS(N$4,EOMONTH(N$4,0)+1,$U$5:$U$20)*8</f>
        <v>168</v>
      </c>
      <c r="P34" s="77">
        <v>1.7000000000000001E-4</v>
      </c>
      <c r="Q34" t="s">
        <v>53</v>
      </c>
    </row>
    <row r="35" spans="2:17" x14ac:dyDescent="0.2"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77">
        <v>5.0000000000000002E-5</v>
      </c>
      <c r="Q35" t="s">
        <v>54</v>
      </c>
    </row>
    <row r="36" spans="2:17" x14ac:dyDescent="0.2">
      <c r="B36" t="s">
        <v>0</v>
      </c>
      <c r="C36" s="2">
        <v>16</v>
      </c>
      <c r="D36" s="2">
        <v>16</v>
      </c>
      <c r="E36" s="2">
        <v>16</v>
      </c>
      <c r="F36" s="2">
        <v>17</v>
      </c>
      <c r="G36" s="2">
        <v>18</v>
      </c>
      <c r="H36" s="2">
        <v>18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v>2.5000000000000001E-3</v>
      </c>
      <c r="Q36" t="s">
        <v>55</v>
      </c>
    </row>
    <row r="37" spans="2:17" x14ac:dyDescent="0.2">
      <c r="B37" t="s">
        <v>1</v>
      </c>
      <c r="C37" s="5">
        <v>225</v>
      </c>
      <c r="D37" s="5">
        <v>225</v>
      </c>
      <c r="E37" s="5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v>3.5000000000000001E-3</v>
      </c>
      <c r="Q37" t="s">
        <v>56</v>
      </c>
    </row>
    <row r="38" spans="2:17" x14ac:dyDescent="0.2">
      <c r="B38" t="s">
        <v>2</v>
      </c>
      <c r="C38" s="2">
        <f>C36*8</f>
        <v>128</v>
      </c>
      <c r="D38" s="2">
        <f t="shared" ref="D38:N38" si="9">D36*8</f>
        <v>128</v>
      </c>
      <c r="E38" s="2">
        <f t="shared" si="9"/>
        <v>128</v>
      </c>
      <c r="F38" s="2">
        <f t="shared" si="9"/>
        <v>136</v>
      </c>
      <c r="G38" s="2">
        <f t="shared" si="9"/>
        <v>144</v>
      </c>
      <c r="H38" s="2">
        <f t="shared" si="9"/>
        <v>144</v>
      </c>
      <c r="I38" s="2">
        <f t="shared" si="9"/>
        <v>144</v>
      </c>
      <c r="J38" s="2">
        <f t="shared" si="9"/>
        <v>152</v>
      </c>
      <c r="K38" s="2">
        <f t="shared" si="9"/>
        <v>152</v>
      </c>
      <c r="L38" s="2">
        <f t="shared" si="9"/>
        <v>152</v>
      </c>
      <c r="M38" s="2">
        <f t="shared" si="9"/>
        <v>152</v>
      </c>
      <c r="N38" s="2">
        <f t="shared" si="9"/>
        <v>160</v>
      </c>
      <c r="P38" s="77">
        <v>5.0000000000000001E-4</v>
      </c>
      <c r="Q38" t="s">
        <v>57</v>
      </c>
    </row>
    <row r="39" spans="2:17" x14ac:dyDescent="0.2">
      <c r="B39" t="s">
        <v>3</v>
      </c>
      <c r="C39" s="6">
        <f>6/8</f>
        <v>0.75</v>
      </c>
      <c r="D39" s="6">
        <f t="shared" ref="D39:N39" si="10">6/8</f>
        <v>0.75</v>
      </c>
      <c r="E39" s="6">
        <f t="shared" si="10"/>
        <v>0.75</v>
      </c>
      <c r="F39" s="6">
        <f t="shared" si="10"/>
        <v>0.75</v>
      </c>
      <c r="G39" s="6">
        <f t="shared" si="10"/>
        <v>0.75</v>
      </c>
      <c r="H39" s="6">
        <f t="shared" si="10"/>
        <v>0.75</v>
      </c>
      <c r="I39" s="6">
        <f t="shared" si="10"/>
        <v>0.75</v>
      </c>
      <c r="J39" s="6">
        <f t="shared" si="10"/>
        <v>0.75</v>
      </c>
      <c r="K39" s="6">
        <f t="shared" si="10"/>
        <v>0.75</v>
      </c>
      <c r="L39" s="6">
        <f t="shared" si="10"/>
        <v>0.75</v>
      </c>
      <c r="M39" s="6">
        <f t="shared" si="10"/>
        <v>0.75</v>
      </c>
      <c r="N39" s="6">
        <f t="shared" si="10"/>
        <v>0.75</v>
      </c>
      <c r="P39" s="77">
        <v>6.4999999999999997E-3</v>
      </c>
      <c r="Q39" t="s">
        <v>58</v>
      </c>
    </row>
    <row r="40" spans="2:17" x14ac:dyDescent="0.2">
      <c r="B40" s="41" t="s">
        <v>6</v>
      </c>
      <c r="C40" s="22">
        <f>5/8</f>
        <v>0.625</v>
      </c>
      <c r="D40" s="22">
        <f t="shared" ref="D40:N40" si="11">5/8</f>
        <v>0.625</v>
      </c>
      <c r="E40" s="22">
        <f t="shared" si="11"/>
        <v>0.625</v>
      </c>
      <c r="F40" s="22">
        <f t="shared" si="11"/>
        <v>0.625</v>
      </c>
      <c r="G40" s="22">
        <f t="shared" si="11"/>
        <v>0.625</v>
      </c>
      <c r="H40" s="22">
        <f t="shared" si="11"/>
        <v>0.625</v>
      </c>
      <c r="I40" s="22">
        <f t="shared" si="11"/>
        <v>0.625</v>
      </c>
      <c r="J40" s="22">
        <f t="shared" si="11"/>
        <v>0.625</v>
      </c>
      <c r="K40" s="22">
        <f t="shared" si="11"/>
        <v>0.625</v>
      </c>
      <c r="L40" s="22">
        <f t="shared" si="11"/>
        <v>0.625</v>
      </c>
      <c r="M40" s="22">
        <f t="shared" si="11"/>
        <v>0.625</v>
      </c>
      <c r="N40" s="22">
        <f t="shared" si="11"/>
        <v>0.625</v>
      </c>
      <c r="P40" s="77">
        <v>7.4999999999999997E-3</v>
      </c>
      <c r="Q40" t="s">
        <v>59</v>
      </c>
    </row>
    <row r="41" spans="2:17" x14ac:dyDescent="0.2">
      <c r="B41" s="1" t="s">
        <v>25</v>
      </c>
      <c r="C41" s="13">
        <f>((C34*C36)-C38)*C37*C40</f>
        <v>360000</v>
      </c>
      <c r="D41" s="13">
        <f t="shared" ref="D41:N41" si="12">((D34*D36)-D38)*D37*D40</f>
        <v>342000</v>
      </c>
      <c r="E41" s="13">
        <f t="shared" si="12"/>
        <v>396000</v>
      </c>
      <c r="F41" s="13">
        <f t="shared" si="12"/>
        <v>379525</v>
      </c>
      <c r="G41" s="13">
        <f t="shared" si="12"/>
        <v>465300</v>
      </c>
      <c r="H41" s="13">
        <f t="shared" si="12"/>
        <v>423000</v>
      </c>
      <c r="I41" s="13">
        <f t="shared" si="12"/>
        <v>401850</v>
      </c>
      <c r="J41" s="13">
        <f t="shared" si="12"/>
        <v>491150</v>
      </c>
      <c r="K41" s="13">
        <f t="shared" si="12"/>
        <v>424175</v>
      </c>
      <c r="L41" s="13">
        <f t="shared" si="12"/>
        <v>468825</v>
      </c>
      <c r="M41" s="13">
        <f t="shared" si="12"/>
        <v>446500</v>
      </c>
      <c r="N41" s="13">
        <f t="shared" si="12"/>
        <v>470000</v>
      </c>
      <c r="P41" s="77">
        <v>7.4999999999999997E-3</v>
      </c>
      <c r="Q41" t="s">
        <v>60</v>
      </c>
    </row>
    <row r="43" spans="2:17" x14ac:dyDescent="0.2">
      <c r="B43" t="s">
        <v>4</v>
      </c>
      <c r="C43" s="2">
        <v>5</v>
      </c>
      <c r="D43" s="2">
        <v>5</v>
      </c>
      <c r="E43" s="2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</row>
    <row r="44" spans="2:17" x14ac:dyDescent="0.2">
      <c r="B44" t="s">
        <v>5</v>
      </c>
      <c r="C44" s="5">
        <v>315</v>
      </c>
      <c r="D44" s="5">
        <v>315</v>
      </c>
      <c r="E44" s="5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</row>
    <row r="45" spans="2:17" x14ac:dyDescent="0.2">
      <c r="B45" t="s">
        <v>2</v>
      </c>
      <c r="C45" s="2">
        <f>C43*8</f>
        <v>40</v>
      </c>
      <c r="D45" s="2">
        <f t="shared" ref="D45:N45" si="13">D43*8</f>
        <v>40</v>
      </c>
      <c r="E45" s="2">
        <f t="shared" si="13"/>
        <v>40</v>
      </c>
      <c r="F45" s="2">
        <f t="shared" si="13"/>
        <v>48</v>
      </c>
      <c r="G45" s="2">
        <f t="shared" si="13"/>
        <v>48</v>
      </c>
      <c r="H45" s="2">
        <f t="shared" si="13"/>
        <v>48</v>
      </c>
      <c r="I45" s="2">
        <f t="shared" si="13"/>
        <v>48</v>
      </c>
      <c r="J45" s="2">
        <f t="shared" si="13"/>
        <v>48</v>
      </c>
      <c r="K45" s="2">
        <f t="shared" si="13"/>
        <v>48</v>
      </c>
      <c r="L45" s="2">
        <f t="shared" si="13"/>
        <v>56</v>
      </c>
      <c r="M45" s="2">
        <f t="shared" si="13"/>
        <v>56</v>
      </c>
      <c r="N45" s="2">
        <f t="shared" si="13"/>
        <v>56</v>
      </c>
    </row>
    <row r="46" spans="2:17" x14ac:dyDescent="0.2">
      <c r="B46" s="41" t="s">
        <v>6</v>
      </c>
      <c r="C46" s="22">
        <f>3/8</f>
        <v>0.375</v>
      </c>
      <c r="D46" s="22">
        <f t="shared" ref="D46:N46" si="14">3/8</f>
        <v>0.375</v>
      </c>
      <c r="E46" s="22">
        <f t="shared" si="14"/>
        <v>0.375</v>
      </c>
      <c r="F46" s="22">
        <f t="shared" si="14"/>
        <v>0.375</v>
      </c>
      <c r="G46" s="22">
        <f t="shared" si="14"/>
        <v>0.375</v>
      </c>
      <c r="H46" s="22">
        <f t="shared" si="14"/>
        <v>0.375</v>
      </c>
      <c r="I46" s="22">
        <f t="shared" si="14"/>
        <v>0.375</v>
      </c>
      <c r="J46" s="22">
        <f t="shared" si="14"/>
        <v>0.375</v>
      </c>
      <c r="K46" s="22">
        <f t="shared" si="14"/>
        <v>0.375</v>
      </c>
      <c r="L46" s="22">
        <f t="shared" si="14"/>
        <v>0.375</v>
      </c>
      <c r="M46" s="22">
        <f t="shared" si="14"/>
        <v>0.375</v>
      </c>
      <c r="N46" s="22">
        <f t="shared" si="14"/>
        <v>0.375</v>
      </c>
    </row>
    <row r="47" spans="2:17" x14ac:dyDescent="0.2">
      <c r="B47" s="1" t="s">
        <v>25</v>
      </c>
      <c r="C47" s="13">
        <f>((C34*C43)-C45)*C44*C46</f>
        <v>94500</v>
      </c>
      <c r="D47" s="13">
        <f t="shared" ref="D47:N47" si="15">((D34*D43)-D45)*D44*D46</f>
        <v>89775</v>
      </c>
      <c r="E47" s="13">
        <f t="shared" si="15"/>
        <v>103950</v>
      </c>
      <c r="F47" s="13">
        <f t="shared" si="15"/>
        <v>111150</v>
      </c>
      <c r="G47" s="13">
        <f t="shared" si="15"/>
        <v>128700</v>
      </c>
      <c r="H47" s="13">
        <f t="shared" si="15"/>
        <v>117000</v>
      </c>
      <c r="I47" s="13">
        <f t="shared" si="15"/>
        <v>111150</v>
      </c>
      <c r="J47" s="13">
        <f t="shared" si="15"/>
        <v>128700</v>
      </c>
      <c r="K47" s="13">
        <f t="shared" si="15"/>
        <v>111150</v>
      </c>
      <c r="L47" s="13">
        <f t="shared" si="15"/>
        <v>143325</v>
      </c>
      <c r="M47" s="13">
        <f t="shared" si="15"/>
        <v>136500</v>
      </c>
      <c r="N47" s="13">
        <f t="shared" si="15"/>
        <v>136500</v>
      </c>
    </row>
    <row r="49" spans="2:14" x14ac:dyDescent="0.2">
      <c r="B49" s="23" t="s">
        <v>66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26">
        <v>0</v>
      </c>
      <c r="D50" s="26">
        <f>C12/12</f>
        <v>153190.23301159657</v>
      </c>
      <c r="E50" s="26">
        <f t="shared" ref="E50:N50" si="16">D12/12</f>
        <v>169090.83155475667</v>
      </c>
      <c r="F50" s="26">
        <f t="shared" si="16"/>
        <v>265251.83996901853</v>
      </c>
      <c r="G50" s="26">
        <f t="shared" si="16"/>
        <v>163427.07720225363</v>
      </c>
      <c r="H50" s="26">
        <f t="shared" si="16"/>
        <v>188303.63798161977</v>
      </c>
      <c r="I50" s="26">
        <f t="shared" si="16"/>
        <v>277544.04009253083</v>
      </c>
      <c r="J50" s="26">
        <f t="shared" si="16"/>
        <v>235773.56834553348</v>
      </c>
      <c r="K50" s="26">
        <f t="shared" si="16"/>
        <v>204711.9448518455</v>
      </c>
      <c r="L50" s="26">
        <f t="shared" si="16"/>
        <v>273062.85140419292</v>
      </c>
      <c r="M50" s="26">
        <f t="shared" si="16"/>
        <v>194727.24305957937</v>
      </c>
      <c r="N50" s="26">
        <f t="shared" si="16"/>
        <v>241311.15892998144</v>
      </c>
    </row>
    <row r="51" spans="2:14" x14ac:dyDescent="0.2">
      <c r="B51" s="58" t="s">
        <v>67</v>
      </c>
      <c r="C51" s="26">
        <v>5500000</v>
      </c>
      <c r="D51" s="26">
        <f>C51*$P$15*$P$16+((1-$P$16)*C51)</f>
        <v>5458749.9999999991</v>
      </c>
      <c r="E51" s="26">
        <f>D51*$P$15*$P$16+((1-$P$16)*D51)</f>
        <v>5417809.3749999991</v>
      </c>
      <c r="F51" s="26">
        <f>E51*$P$15*$P$16+((1-$P$16)*E51)</f>
        <v>5377175.8046874991</v>
      </c>
      <c r="G51" s="26">
        <f>F51*$P$15*$P$16+((1-$P$16)*F51)</f>
        <v>5336846.9861523435</v>
      </c>
      <c r="H51" s="26">
        <f>G51*$P$15*$P$16+((1-$P$16)*G51)</f>
        <v>5296820.6337562008</v>
      </c>
      <c r="I51" s="26">
        <f>H51*$P$15*$P$16+((1-$P$16)*H51)</f>
        <v>5257094.4790030289</v>
      </c>
      <c r="J51" s="26">
        <f>I51*$P$15*$P$16+((1-$P$16)*I51)</f>
        <v>5217666.2704105061</v>
      </c>
      <c r="K51" s="26">
        <f>J51*$P$15*$P$16+((1-$P$16)*J51)</f>
        <v>5178533.7733824272</v>
      </c>
      <c r="L51" s="26">
        <f>K51*$P$15*$P$16+((1-$P$16)*K51)</f>
        <v>5139694.7700820584</v>
      </c>
      <c r="M51" s="26">
        <f>L51*$P$15*$P$16+((1-$P$16)*L51)</f>
        <v>5101147.0593064427</v>
      </c>
      <c r="N51" s="26">
        <f>M51*$P$15*$P$16+((1-$P$16)*M51)</f>
        <v>5062888.456361644</v>
      </c>
    </row>
    <row r="52" spans="2:14" x14ac:dyDescent="0.2">
      <c r="B52" s="67" t="s">
        <v>70</v>
      </c>
      <c r="C52" s="68">
        <f>C$51*$P18</f>
        <v>2530000</v>
      </c>
      <c r="D52" s="68">
        <f>D$51*$P18</f>
        <v>2511024.9999999995</v>
      </c>
      <c r="E52" s="68">
        <f>E$51*$P18</f>
        <v>2492192.3124999995</v>
      </c>
      <c r="F52" s="68">
        <f>F$51*$P18</f>
        <v>2473500.8701562495</v>
      </c>
      <c r="G52" s="68">
        <f>G$51*$P18</f>
        <v>2454949.6136300783</v>
      </c>
      <c r="H52" s="68">
        <f>H$51*$P18</f>
        <v>2436537.4915278526</v>
      </c>
      <c r="I52" s="68">
        <f>I$51*$P18</f>
        <v>2418263.4603413935</v>
      </c>
      <c r="J52" s="68">
        <f>J$51*$P18</f>
        <v>2400126.4843888329</v>
      </c>
      <c r="K52" s="68">
        <f>K$51*$P18</f>
        <v>2382125.5357559165</v>
      </c>
      <c r="L52" s="68">
        <f>L$51*$P18</f>
        <v>2364259.5942377471</v>
      </c>
      <c r="M52" s="68">
        <f>M$51*$P18</f>
        <v>2346527.6472809636</v>
      </c>
      <c r="N52" s="68">
        <f>N$51*$P18</f>
        <v>2328928.6899263565</v>
      </c>
    </row>
    <row r="53" spans="2:14" x14ac:dyDescent="0.2">
      <c r="B53" s="67" t="s">
        <v>71</v>
      </c>
      <c r="C53" s="68">
        <f>C$51*$P19</f>
        <v>2420000</v>
      </c>
      <c r="D53" s="68">
        <f>D$51*$P19</f>
        <v>2401849.9999999995</v>
      </c>
      <c r="E53" s="68">
        <f>E$51*$P19</f>
        <v>2383836.1249999995</v>
      </c>
      <c r="F53" s="68">
        <f>F$51*$P19</f>
        <v>2365957.3540624995</v>
      </c>
      <c r="G53" s="68">
        <f>G$51*$P19</f>
        <v>2348212.6739070313</v>
      </c>
      <c r="H53" s="68">
        <f>H$51*$P19</f>
        <v>2330601.0788527285</v>
      </c>
      <c r="I53" s="68">
        <f>I$51*$P19</f>
        <v>2313121.5707613328</v>
      </c>
      <c r="J53" s="68">
        <f>J$51*$P19</f>
        <v>2295773.1589806229</v>
      </c>
      <c r="K53" s="68">
        <f>K$51*$P19</f>
        <v>2278554.860288268</v>
      </c>
      <c r="L53" s="68">
        <f>L$51*$P19</f>
        <v>2261465.6988361059</v>
      </c>
      <c r="M53" s="68">
        <f>M$51*$P19</f>
        <v>2244504.706094835</v>
      </c>
      <c r="N53" s="68">
        <f>N$51*$P19</f>
        <v>2227670.9207991236</v>
      </c>
    </row>
    <row r="54" spans="2:14" x14ac:dyDescent="0.2">
      <c r="B54" s="67" t="s">
        <v>72</v>
      </c>
      <c r="C54" s="68">
        <f>C$51*$P20</f>
        <v>385000.00000000006</v>
      </c>
      <c r="D54" s="68">
        <f>D$51*$P20</f>
        <v>382112.5</v>
      </c>
      <c r="E54" s="68">
        <f>E$51*$P20</f>
        <v>379246.65625</v>
      </c>
      <c r="F54" s="68">
        <f>F$51*$P20</f>
        <v>376402.30632812495</v>
      </c>
      <c r="G54" s="68">
        <f>G$51*$P20</f>
        <v>373579.28903066408</v>
      </c>
      <c r="H54" s="68">
        <f>H$51*$P20</f>
        <v>370777.4443629341</v>
      </c>
      <c r="I54" s="68">
        <f>I$51*$P20</f>
        <v>367996.61353021208</v>
      </c>
      <c r="J54" s="68">
        <f>J$51*$P20</f>
        <v>365236.63892873545</v>
      </c>
      <c r="K54" s="68">
        <f>K$51*$P20</f>
        <v>362497.36413676996</v>
      </c>
      <c r="L54" s="68">
        <f>L$51*$P20</f>
        <v>359778.63390574412</v>
      </c>
      <c r="M54" s="68">
        <f>M$51*$P20</f>
        <v>357080.29415145103</v>
      </c>
      <c r="N54" s="68">
        <f>N$51*$P20</f>
        <v>354402.19194531511</v>
      </c>
    </row>
    <row r="55" spans="2:14" x14ac:dyDescent="0.2">
      <c r="B55" s="67" t="s">
        <v>73</v>
      </c>
      <c r="C55" s="68">
        <f>C$51*$P21</f>
        <v>165000</v>
      </c>
      <c r="D55" s="68">
        <f>D$51*$P21</f>
        <v>163762.49999999997</v>
      </c>
      <c r="E55" s="68">
        <f>E$51*$P21</f>
        <v>162534.28124999997</v>
      </c>
      <c r="F55" s="68">
        <f>F$51*$P21</f>
        <v>161315.27414062497</v>
      </c>
      <c r="G55" s="68">
        <f>G$51*$P21</f>
        <v>160105.4095845703</v>
      </c>
      <c r="H55" s="68">
        <f>H$51*$P21</f>
        <v>158904.61901268602</v>
      </c>
      <c r="I55" s="68">
        <f>I$51*$P21</f>
        <v>157712.83437009086</v>
      </c>
      <c r="J55" s="68">
        <f>J$51*$P21</f>
        <v>156529.98811231519</v>
      </c>
      <c r="K55" s="68">
        <f>K$51*$P21</f>
        <v>155356.01320147282</v>
      </c>
      <c r="L55" s="68">
        <f>L$51*$P21</f>
        <v>154190.84310246175</v>
      </c>
      <c r="M55" s="68">
        <f>M$51*$P21</f>
        <v>153034.41177919327</v>
      </c>
      <c r="N55" s="68">
        <f>N$51*$P21</f>
        <v>151886.65369084931</v>
      </c>
    </row>
    <row r="56" spans="2:14" x14ac:dyDescent="0.2">
      <c r="B56" s="58" t="s">
        <v>68</v>
      </c>
      <c r="C56" s="26">
        <f>SUM(C57:C58)</f>
        <v>454500</v>
      </c>
      <c r="D56" s="26">
        <f t="shared" ref="D56:N56" si="17">SUM(D57:D58)</f>
        <v>431775</v>
      </c>
      <c r="E56" s="26">
        <f t="shared" si="17"/>
        <v>499950</v>
      </c>
      <c r="F56" s="26">
        <f t="shared" si="17"/>
        <v>490675</v>
      </c>
      <c r="G56" s="26">
        <f t="shared" si="17"/>
        <v>594000</v>
      </c>
      <c r="H56" s="26">
        <f t="shared" si="17"/>
        <v>540000</v>
      </c>
      <c r="I56" s="26">
        <f t="shared" si="17"/>
        <v>513000</v>
      </c>
      <c r="J56" s="26">
        <f t="shared" si="17"/>
        <v>619850</v>
      </c>
      <c r="K56" s="26">
        <f t="shared" si="17"/>
        <v>535325</v>
      </c>
      <c r="L56" s="26">
        <f t="shared" si="17"/>
        <v>612150</v>
      </c>
      <c r="M56" s="26">
        <f t="shared" si="17"/>
        <v>583000</v>
      </c>
      <c r="N56" s="26">
        <f t="shared" si="17"/>
        <v>606500</v>
      </c>
    </row>
    <row r="57" spans="2:14" x14ac:dyDescent="0.2">
      <c r="B57" s="67" t="s">
        <v>22</v>
      </c>
      <c r="C57" s="68">
        <f>C41</f>
        <v>360000</v>
      </c>
      <c r="D57" s="68">
        <f t="shared" ref="D57:N57" si="18">D41</f>
        <v>342000</v>
      </c>
      <c r="E57" s="68">
        <f t="shared" si="18"/>
        <v>396000</v>
      </c>
      <c r="F57" s="68">
        <f t="shared" si="18"/>
        <v>379525</v>
      </c>
      <c r="G57" s="68">
        <f t="shared" si="18"/>
        <v>465300</v>
      </c>
      <c r="H57" s="68">
        <f t="shared" si="18"/>
        <v>423000</v>
      </c>
      <c r="I57" s="68">
        <f t="shared" si="18"/>
        <v>401850</v>
      </c>
      <c r="J57" s="68">
        <f t="shared" si="18"/>
        <v>491150</v>
      </c>
      <c r="K57" s="68">
        <f t="shared" si="18"/>
        <v>424175</v>
      </c>
      <c r="L57" s="68">
        <f t="shared" si="18"/>
        <v>468825</v>
      </c>
      <c r="M57" s="68">
        <f t="shared" si="18"/>
        <v>446500</v>
      </c>
      <c r="N57" s="68">
        <f t="shared" si="18"/>
        <v>470000</v>
      </c>
    </row>
    <row r="58" spans="2:14" x14ac:dyDescent="0.2">
      <c r="B58" s="69" t="s">
        <v>23</v>
      </c>
      <c r="C58" s="70">
        <f>C47</f>
        <v>94500</v>
      </c>
      <c r="D58" s="70">
        <f t="shared" ref="D58:N58" si="19">D47</f>
        <v>89775</v>
      </c>
      <c r="E58" s="70">
        <f t="shared" si="19"/>
        <v>103950</v>
      </c>
      <c r="F58" s="70">
        <f t="shared" si="19"/>
        <v>111150</v>
      </c>
      <c r="G58" s="70">
        <f t="shared" si="19"/>
        <v>128700</v>
      </c>
      <c r="H58" s="70">
        <f t="shared" si="19"/>
        <v>117000</v>
      </c>
      <c r="I58" s="70">
        <f t="shared" si="19"/>
        <v>111150</v>
      </c>
      <c r="J58" s="70">
        <f t="shared" si="19"/>
        <v>128700</v>
      </c>
      <c r="K58" s="70">
        <f t="shared" si="19"/>
        <v>111150</v>
      </c>
      <c r="L58" s="70">
        <f t="shared" si="19"/>
        <v>143325</v>
      </c>
      <c r="M58" s="70">
        <f t="shared" si="19"/>
        <v>136500</v>
      </c>
      <c r="N58" s="70">
        <f t="shared" si="19"/>
        <v>136500</v>
      </c>
    </row>
    <row r="59" spans="2:14" x14ac:dyDescent="0.2">
      <c r="B59" s="23" t="s">
        <v>69</v>
      </c>
      <c r="C59" s="28">
        <f>C50+C51+C56</f>
        <v>5954500</v>
      </c>
      <c r="D59" s="28">
        <f t="shared" ref="D59:N59" si="20">D50+D51+D56</f>
        <v>6043715.2330115959</v>
      </c>
      <c r="E59" s="28">
        <f t="shared" si="20"/>
        <v>6086850.2065547556</v>
      </c>
      <c r="F59" s="28">
        <f t="shared" si="20"/>
        <v>6133102.6446565175</v>
      </c>
      <c r="G59" s="28">
        <f t="shared" si="20"/>
        <v>6094274.0633545974</v>
      </c>
      <c r="H59" s="28">
        <f t="shared" si="20"/>
        <v>6025124.2717378205</v>
      </c>
      <c r="I59" s="28">
        <f t="shared" si="20"/>
        <v>6047638.5190955596</v>
      </c>
      <c r="J59" s="28">
        <f t="shared" si="20"/>
        <v>6073289.8387560397</v>
      </c>
      <c r="K59" s="28">
        <f t="shared" si="20"/>
        <v>5918570.7182342727</v>
      </c>
      <c r="L59" s="28">
        <f t="shared" si="20"/>
        <v>6024907.6214862512</v>
      </c>
      <c r="M59" s="28">
        <f t="shared" si="20"/>
        <v>5878874.302366022</v>
      </c>
      <c r="N59" s="28">
        <f t="shared" si="20"/>
        <v>5910699.6152916253</v>
      </c>
    </row>
    <row r="60" spans="2:14" x14ac:dyDescent="0.2">
      <c r="B60" s="5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26">
        <f>C$59*$P23</f>
        <v>357270</v>
      </c>
      <c r="D62" s="26">
        <f>D$59*$P23</f>
        <v>362622.91398069577</v>
      </c>
      <c r="E62" s="26">
        <f>E$59*$P23</f>
        <v>365211.01239328535</v>
      </c>
      <c r="F62" s="26">
        <f>F$59*$P23</f>
        <v>367986.15867939102</v>
      </c>
      <c r="G62" s="26">
        <f>G$59*$P23</f>
        <v>365656.4438012758</v>
      </c>
      <c r="H62" s="26">
        <f>H$59*$P23</f>
        <v>361507.4563042692</v>
      </c>
      <c r="I62" s="26">
        <f>I$59*$P23</f>
        <v>362858.31114573358</v>
      </c>
      <c r="J62" s="26">
        <f>J$59*$P23</f>
        <v>364397.39032536239</v>
      </c>
      <c r="K62" s="26">
        <f>K$59*$P23</f>
        <v>355114.24309405632</v>
      </c>
      <c r="L62" s="26">
        <f>L$59*$P23</f>
        <v>361494.45728917507</v>
      </c>
      <c r="M62" s="26">
        <f>M$59*$P23</f>
        <v>352732.45814196131</v>
      </c>
      <c r="N62" s="26">
        <f>N$59*$P23</f>
        <v>354641.97691749752</v>
      </c>
    </row>
    <row r="63" spans="2:14" x14ac:dyDescent="0.2">
      <c r="B63" s="64" t="s">
        <v>45</v>
      </c>
      <c r="C63" s="26">
        <f>C$59*$P24</f>
        <v>238180</v>
      </c>
      <c r="D63" s="26">
        <f>D$59*$P24</f>
        <v>241748.60932046385</v>
      </c>
      <c r="E63" s="26">
        <f>E$59*$P24</f>
        <v>243474.00826219024</v>
      </c>
      <c r="F63" s="26">
        <f>F$59*$P24</f>
        <v>245324.10578626071</v>
      </c>
      <c r="G63" s="26">
        <f>G$59*$P24</f>
        <v>243770.9625341839</v>
      </c>
      <c r="H63" s="26">
        <f>H$59*$P24</f>
        <v>241004.97086951282</v>
      </c>
      <c r="I63" s="26">
        <f>I$59*$P24</f>
        <v>241905.54076382238</v>
      </c>
      <c r="J63" s="26">
        <f>J$59*$P24</f>
        <v>242931.59355024158</v>
      </c>
      <c r="K63" s="26">
        <f>K$59*$P24</f>
        <v>236742.8287293709</v>
      </c>
      <c r="L63" s="26">
        <f>L$59*$P24</f>
        <v>240996.30485945006</v>
      </c>
      <c r="M63" s="26">
        <f>M$59*$P24</f>
        <v>235154.97209464089</v>
      </c>
      <c r="N63" s="26">
        <f>N$59*$P24</f>
        <v>236427.98461166502</v>
      </c>
    </row>
    <row r="64" spans="2:14" x14ac:dyDescent="0.2">
      <c r="B64" s="64" t="s">
        <v>74</v>
      </c>
      <c r="C64" s="26">
        <f>C$59*$P25</f>
        <v>244134.5</v>
      </c>
      <c r="D64" s="26">
        <f>D$59*$P25</f>
        <v>247792.32455347545</v>
      </c>
      <c r="E64" s="26">
        <f>E$59*$P25</f>
        <v>249560.85846874499</v>
      </c>
      <c r="F64" s="26">
        <f>F$59*$P25</f>
        <v>251457.20843091724</v>
      </c>
      <c r="G64" s="26">
        <f>G$59*$P25</f>
        <v>249865.23659753852</v>
      </c>
      <c r="H64" s="26">
        <f>H$59*$P25</f>
        <v>247030.09514125064</v>
      </c>
      <c r="I64" s="26">
        <f>I$59*$P25</f>
        <v>247953.17928291796</v>
      </c>
      <c r="J64" s="26">
        <f>J$59*$P25</f>
        <v>249004.88338899764</v>
      </c>
      <c r="K64" s="26">
        <f>K$59*$P25</f>
        <v>242661.39944760519</v>
      </c>
      <c r="L64" s="26">
        <f>L$59*$P25</f>
        <v>247021.21248093632</v>
      </c>
      <c r="M64" s="26">
        <f>M$59*$P25</f>
        <v>241033.84639700691</v>
      </c>
      <c r="N64" s="26">
        <f>N$59*$P25</f>
        <v>242338.68422695666</v>
      </c>
    </row>
    <row r="65" spans="2:14" x14ac:dyDescent="0.2">
      <c r="B65" s="65" t="s">
        <v>75</v>
      </c>
      <c r="C65" s="32">
        <f>C$59*$P26</f>
        <v>267952.5</v>
      </c>
      <c r="D65" s="32">
        <f>D$59*$P26</f>
        <v>271967.1854855218</v>
      </c>
      <c r="E65" s="32">
        <f>E$59*$P26</f>
        <v>273908.25929496397</v>
      </c>
      <c r="F65" s="32">
        <f>F$59*$P26</f>
        <v>275989.61900954327</v>
      </c>
      <c r="G65" s="32">
        <f>G$59*$P26</f>
        <v>274242.33285095688</v>
      </c>
      <c r="H65" s="32">
        <f>H$59*$P26</f>
        <v>271130.59222820192</v>
      </c>
      <c r="I65" s="32">
        <f>I$59*$P26</f>
        <v>272143.73335930018</v>
      </c>
      <c r="J65" s="32">
        <f>J$59*$P26</f>
        <v>273298.0427440218</v>
      </c>
      <c r="K65" s="32">
        <f>K$59*$P26</f>
        <v>266335.68232054228</v>
      </c>
      <c r="L65" s="32">
        <f>L$59*$P26</f>
        <v>271120.84296688129</v>
      </c>
      <c r="M65" s="32">
        <f>M$59*$P26</f>
        <v>264549.34360647097</v>
      </c>
      <c r="N65" s="32">
        <f>N$59*$P26</f>
        <v>265981.48268812313</v>
      </c>
    </row>
    <row r="66" spans="2:14" x14ac:dyDescent="0.2">
      <c r="B66" s="23" t="s">
        <v>46</v>
      </c>
      <c r="C66" s="42">
        <f>SUM(C62:C65)</f>
        <v>1107537</v>
      </c>
      <c r="D66" s="42">
        <f>SUM(D62:D65)</f>
        <v>1124131.033340157</v>
      </c>
      <c r="E66" s="42">
        <f>SUM(E62:E65)</f>
        <v>1132154.1384191846</v>
      </c>
      <c r="F66" s="42">
        <f>SUM(F62:F65)</f>
        <v>1140757.0919061122</v>
      </c>
      <c r="G66" s="42">
        <f>SUM(G62:G65)</f>
        <v>1133534.9757839551</v>
      </c>
      <c r="H66" s="42">
        <f>SUM(H62:H65)</f>
        <v>1120673.1145432345</v>
      </c>
      <c r="I66" s="42">
        <f>SUM(I62:I65)</f>
        <v>1124860.7645517741</v>
      </c>
      <c r="J66" s="42">
        <f>SUM(J62:J65)</f>
        <v>1129631.9100086235</v>
      </c>
      <c r="K66" s="42">
        <f>SUM(K62:K65)</f>
        <v>1100854.1535915746</v>
      </c>
      <c r="L66" s="42">
        <f>SUM(L62:L65)</f>
        <v>1120632.8175964428</v>
      </c>
      <c r="M66" s="42">
        <f>SUM(M62:M65)</f>
        <v>1093470.6202400802</v>
      </c>
      <c r="N66" s="42">
        <f>SUM(N62:N65)</f>
        <v>1099390.1284442423</v>
      </c>
    </row>
    <row r="67" spans="2:14" x14ac:dyDescent="0.2">
      <c r="B67" s="58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26">
        <f>(C34*C36)*(C37*$P$5)</f>
        <v>45360</v>
      </c>
      <c r="D68" s="26">
        <f>(D34*D36)*(D37*$P$5)</f>
        <v>43200</v>
      </c>
      <c r="E68" s="26">
        <f>(E34*E36)*(E37*$P$5)</f>
        <v>49680</v>
      </c>
      <c r="F68" s="26">
        <f>(F34*F36)*(F37*$P$5)</f>
        <v>47940</v>
      </c>
      <c r="G68" s="26">
        <f>(G34*G36)*(G37*$P$5)</f>
        <v>58374</v>
      </c>
      <c r="H68" s="26">
        <f>(H34*H36)*(H37*$P$5)</f>
        <v>53298</v>
      </c>
      <c r="I68" s="26">
        <f>(I34*I36)*(I37*$P$5)</f>
        <v>50760</v>
      </c>
      <c r="J68" s="26">
        <f>(J34*J36)*(J37*$P$5)</f>
        <v>61617</v>
      </c>
      <c r="K68" s="26">
        <f>(K34*K36)*(K37*$P$5)</f>
        <v>53580</v>
      </c>
      <c r="L68" s="26">
        <f>(L34*L36)*(L37*$P$5)</f>
        <v>58938</v>
      </c>
      <c r="M68" s="26">
        <f>(M34*M36)*(M37*$P$5)</f>
        <v>56259</v>
      </c>
      <c r="N68" s="26">
        <f>(N34*N36)*(N37*$P$5)</f>
        <v>59220</v>
      </c>
    </row>
    <row r="69" spans="2:14" x14ac:dyDescent="0.2">
      <c r="B69" s="64" t="s">
        <v>77</v>
      </c>
      <c r="C69" s="26">
        <f>(C34*C43)*(C44*$P$6)</f>
        <v>34398</v>
      </c>
      <c r="D69" s="26">
        <f>(D34*D43)*(D44*$P$6)</f>
        <v>32760.000000000004</v>
      </c>
      <c r="E69" s="26">
        <f>(E34*E43)*(E44*$P$6)</f>
        <v>37674</v>
      </c>
      <c r="F69" s="26">
        <f>(F34*F43)*(F44*$P$6)</f>
        <v>40560</v>
      </c>
      <c r="G69" s="26">
        <f>(G34*G43)*(G44*$P$6)</f>
        <v>46644</v>
      </c>
      <c r="H69" s="26">
        <f>(H34*H43)*(H44*$P$6)</f>
        <v>42588</v>
      </c>
      <c r="I69" s="26">
        <f>(I34*I43)*(I44*$P$6)</f>
        <v>40560</v>
      </c>
      <c r="J69" s="26">
        <f>(J34*J43)*(J44*$P$6)</f>
        <v>46644</v>
      </c>
      <c r="K69" s="26">
        <f>(K34*K43)*(K44*$P$6)</f>
        <v>40560</v>
      </c>
      <c r="L69" s="26">
        <f>(L34*L43)*(L44*$P$6)</f>
        <v>52052</v>
      </c>
      <c r="M69" s="26">
        <f>(M34*M43)*(M44*$P$6)</f>
        <v>49686</v>
      </c>
      <c r="N69" s="26">
        <f>(N34*N43)*(N44*$P$6)</f>
        <v>49686</v>
      </c>
    </row>
    <row r="70" spans="2:14" x14ac:dyDescent="0.2">
      <c r="B70" s="65" t="s">
        <v>27</v>
      </c>
      <c r="C70" s="32">
        <f>$P$7*C12</f>
        <v>18382.827961391591</v>
      </c>
      <c r="D70" s="32">
        <f>$P$7*D12</f>
        <v>20290.899786570801</v>
      </c>
      <c r="E70" s="32">
        <f>$P$7*E12</f>
        <v>31830.220796282229</v>
      </c>
      <c r="F70" s="32">
        <f>$P$7*F12</f>
        <v>19611.249264270435</v>
      </c>
      <c r="G70" s="32">
        <f>$P$7*G12</f>
        <v>22596.436557794372</v>
      </c>
      <c r="H70" s="32">
        <f>$P$7*H12</f>
        <v>33305.284811103702</v>
      </c>
      <c r="I70" s="32">
        <f>$P$7*I12</f>
        <v>28292.828201464021</v>
      </c>
      <c r="J70" s="32">
        <f>$P$7*J12</f>
        <v>24565.433382221461</v>
      </c>
      <c r="K70" s="32">
        <f>$P$7*K12</f>
        <v>32767.542168503154</v>
      </c>
      <c r="L70" s="32">
        <f>$P$7*L12</f>
        <v>23367.269167149523</v>
      </c>
      <c r="M70" s="32">
        <f>$P$7*M12</f>
        <v>28957.339071597773</v>
      </c>
      <c r="N70" s="32">
        <f>$P$7*N12</f>
        <v>31005.054876025319</v>
      </c>
    </row>
    <row r="71" spans="2:14" x14ac:dyDescent="0.2">
      <c r="B71" s="23" t="s">
        <v>24</v>
      </c>
      <c r="C71" s="42">
        <f>SUM(C68:C70)</f>
        <v>98140.827961391595</v>
      </c>
      <c r="D71" s="42">
        <f t="shared" ref="D71:N71" si="21">SUM(D68:D70)</f>
        <v>96250.899786570808</v>
      </c>
      <c r="E71" s="42">
        <f t="shared" si="21"/>
        <v>119184.22079628223</v>
      </c>
      <c r="F71" s="42">
        <f t="shared" si="21"/>
        <v>108111.24926427043</v>
      </c>
      <c r="G71" s="42">
        <f t="shared" si="21"/>
        <v>127614.43655779437</v>
      </c>
      <c r="H71" s="42">
        <f t="shared" si="21"/>
        <v>129191.2848111037</v>
      </c>
      <c r="I71" s="42">
        <f t="shared" si="21"/>
        <v>119612.82820146403</v>
      </c>
      <c r="J71" s="42">
        <f t="shared" si="21"/>
        <v>132826.43338222147</v>
      </c>
      <c r="K71" s="42">
        <f t="shared" si="21"/>
        <v>126907.54216850316</v>
      </c>
      <c r="L71" s="42">
        <f t="shared" si="21"/>
        <v>134357.26916714953</v>
      </c>
      <c r="M71" s="42">
        <f t="shared" si="21"/>
        <v>134902.33907159779</v>
      </c>
      <c r="N71" s="42">
        <f t="shared" si="21"/>
        <v>139911.05487602533</v>
      </c>
    </row>
    <row r="72" spans="2:14" x14ac:dyDescent="0.2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42">
        <f>C59-C66-C71</f>
        <v>4748822.1720386082</v>
      </c>
      <c r="D73" s="42">
        <f t="shared" ref="D73:N73" si="22">D59-D66-D71</f>
        <v>4823333.2998848679</v>
      </c>
      <c r="E73" s="42">
        <f t="shared" si="22"/>
        <v>4835511.8473392883</v>
      </c>
      <c r="F73" s="42">
        <f t="shared" si="22"/>
        <v>4884234.3034861349</v>
      </c>
      <c r="G73" s="42">
        <f t="shared" si="22"/>
        <v>4833124.6510128481</v>
      </c>
      <c r="H73" s="42">
        <f t="shared" si="22"/>
        <v>4775259.8723834828</v>
      </c>
      <c r="I73" s="42">
        <f t="shared" si="22"/>
        <v>4803164.9263423206</v>
      </c>
      <c r="J73" s="42">
        <f t="shared" si="22"/>
        <v>4810831.495365195</v>
      </c>
      <c r="K73" s="42">
        <f t="shared" si="22"/>
        <v>4690809.0224741939</v>
      </c>
      <c r="L73" s="42">
        <f t="shared" si="22"/>
        <v>4769917.5347226588</v>
      </c>
      <c r="M73" s="42">
        <f t="shared" si="22"/>
        <v>4650501.3430543439</v>
      </c>
      <c r="N73" s="42">
        <f t="shared" si="22"/>
        <v>4671398.4319713572</v>
      </c>
    </row>
    <row r="74" spans="2:14" x14ac:dyDescent="0.2">
      <c r="B74" s="23" t="s">
        <v>29</v>
      </c>
      <c r="C74" s="71">
        <f>C73/C59</f>
        <v>0.79751820842028853</v>
      </c>
      <c r="D74" s="71">
        <f t="shared" ref="D74:N74" si="23">D73/D59</f>
        <v>0.79807421659100752</v>
      </c>
      <c r="E74" s="71">
        <f t="shared" si="23"/>
        <v>0.7944193931587249</v>
      </c>
      <c r="F74" s="71">
        <f t="shared" si="23"/>
        <v>0.79637250287039263</v>
      </c>
      <c r="G74" s="71">
        <f t="shared" si="23"/>
        <v>0.79305994459206375</v>
      </c>
      <c r="H74" s="71">
        <f t="shared" si="23"/>
        <v>0.792557905366848</v>
      </c>
      <c r="I74" s="71">
        <f t="shared" si="23"/>
        <v>0.79422156452906623</v>
      </c>
      <c r="J74" s="71">
        <f t="shared" si="23"/>
        <v>0.79212940977481361</v>
      </c>
      <c r="K74" s="71">
        <f t="shared" si="23"/>
        <v>0.79255773831044718</v>
      </c>
      <c r="L74" s="71">
        <f t="shared" si="23"/>
        <v>0.79169969639235638</v>
      </c>
      <c r="M74" s="71">
        <f t="shared" si="23"/>
        <v>0.79105303224168189</v>
      </c>
      <c r="N74" s="71">
        <f t="shared" si="23"/>
        <v>0.79032918876234881</v>
      </c>
    </row>
    <row r="75" spans="2:14" x14ac:dyDescent="0.2">
      <c r="B75" s="24"/>
      <c r="C75" s="4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33">
        <f>C$59*$P28</f>
        <v>997378.75000000012</v>
      </c>
      <c r="D77" s="33">
        <f>D$59*$P28</f>
        <v>1012322.3015294424</v>
      </c>
      <c r="E77" s="33">
        <f>E$59*$P28</f>
        <v>1019547.4095979217</v>
      </c>
      <c r="F77" s="33">
        <f>F$59*$P28</f>
        <v>1027294.6929799668</v>
      </c>
      <c r="G77" s="33">
        <f>G$59*$P28</f>
        <v>1020790.9056118951</v>
      </c>
      <c r="H77" s="33">
        <f>H$59*$P28</f>
        <v>1009208.315516085</v>
      </c>
      <c r="I77" s="33">
        <f>I$59*$P28</f>
        <v>1012979.4519485063</v>
      </c>
      <c r="J77" s="33">
        <f>J$59*$P28</f>
        <v>1017276.0479916367</v>
      </c>
      <c r="K77" s="33">
        <f>K$59*$P28</f>
        <v>991360.59530424071</v>
      </c>
      <c r="L77" s="33">
        <f>L$59*$P28</f>
        <v>1009172.0265989471</v>
      </c>
      <c r="M77" s="33">
        <f>M$59*$P28</f>
        <v>984711.44564630871</v>
      </c>
      <c r="N77" s="33">
        <f>N$59*$P28</f>
        <v>990042.18556134729</v>
      </c>
    </row>
    <row r="78" spans="2:14" x14ac:dyDescent="0.2">
      <c r="B78" s="29" t="s">
        <v>48</v>
      </c>
      <c r="C78" s="33">
        <f>C$59*$P29</f>
        <v>595450</v>
      </c>
      <c r="D78" s="33">
        <f>D$59*$P29</f>
        <v>604371.52330115961</v>
      </c>
      <c r="E78" s="33">
        <f>E$59*$P29</f>
        <v>608685.02065547556</v>
      </c>
      <c r="F78" s="33">
        <f>F$59*$P29</f>
        <v>613310.26446565182</v>
      </c>
      <c r="G78" s="33">
        <f>G$59*$P29</f>
        <v>609427.40633545979</v>
      </c>
      <c r="H78" s="33">
        <f>H$59*$P29</f>
        <v>602512.42717378202</v>
      </c>
      <c r="I78" s="33">
        <f>I$59*$P29</f>
        <v>604763.85190955596</v>
      </c>
      <c r="J78" s="33">
        <f>J$59*$P29</f>
        <v>607328.983875604</v>
      </c>
      <c r="K78" s="33">
        <f>K$59*$P29</f>
        <v>591857.07182342734</v>
      </c>
      <c r="L78" s="33">
        <f>L$59*$P29</f>
        <v>602490.7621486251</v>
      </c>
      <c r="M78" s="33">
        <f>M$59*$P29</f>
        <v>587887.4302366022</v>
      </c>
      <c r="N78" s="33">
        <f>N$59*$P29</f>
        <v>591069.9615291626</v>
      </c>
    </row>
    <row r="79" spans="2:14" x14ac:dyDescent="0.2">
      <c r="B79" s="29" t="s">
        <v>49</v>
      </c>
      <c r="C79" s="33">
        <f>C$59*$P30</f>
        <v>476360</v>
      </c>
      <c r="D79" s="33">
        <f>D$59*$P30</f>
        <v>483497.21864092769</v>
      </c>
      <c r="E79" s="33">
        <f>E$59*$P30</f>
        <v>486948.01652438048</v>
      </c>
      <c r="F79" s="33">
        <f>F$59*$P30</f>
        <v>490648.21157252142</v>
      </c>
      <c r="G79" s="33">
        <f>G$59*$P30</f>
        <v>487541.9250683678</v>
      </c>
      <c r="H79" s="33">
        <f>H$59*$P30</f>
        <v>482009.94173902564</v>
      </c>
      <c r="I79" s="33">
        <f>I$59*$P30</f>
        <v>483811.08152764477</v>
      </c>
      <c r="J79" s="33">
        <f>J$59*$P30</f>
        <v>485863.18710048316</v>
      </c>
      <c r="K79" s="33">
        <f>K$59*$P30</f>
        <v>473485.6574587418</v>
      </c>
      <c r="L79" s="33">
        <f>L$59*$P30</f>
        <v>481992.60971890012</v>
      </c>
      <c r="M79" s="33">
        <f>M$59*$P30</f>
        <v>470309.94418928178</v>
      </c>
      <c r="N79" s="33">
        <f>N$59*$P30</f>
        <v>472855.96922333003</v>
      </c>
    </row>
    <row r="80" spans="2:14" x14ac:dyDescent="0.2">
      <c r="B80" s="30" t="s">
        <v>50</v>
      </c>
      <c r="C80" s="32">
        <f>C$59*$P31</f>
        <v>89317.5</v>
      </c>
      <c r="D80" s="32">
        <f>D$59*$P31</f>
        <v>90655.728495173942</v>
      </c>
      <c r="E80" s="32">
        <f>E$59*$P31</f>
        <v>91302.753098321336</v>
      </c>
      <c r="F80" s="32">
        <f>F$59*$P31</f>
        <v>91996.539669847756</v>
      </c>
      <c r="G80" s="32">
        <f>G$59*$P31</f>
        <v>91414.110950318951</v>
      </c>
      <c r="H80" s="32">
        <f>H$59*$P31</f>
        <v>90376.864076067301</v>
      </c>
      <c r="I80" s="32">
        <f>I$59*$P31</f>
        <v>90714.577786433394</v>
      </c>
      <c r="J80" s="32">
        <f>J$59*$P31</f>
        <v>91099.347581340597</v>
      </c>
      <c r="K80" s="32">
        <f>K$59*$P31</f>
        <v>88778.56077351408</v>
      </c>
      <c r="L80" s="32">
        <f>L$59*$P31</f>
        <v>90373.614322293768</v>
      </c>
      <c r="M80" s="32">
        <f>M$59*$P31</f>
        <v>88183.114535490327</v>
      </c>
      <c r="N80" s="32">
        <f>N$59*$P31</f>
        <v>88660.494229374381</v>
      </c>
    </row>
    <row r="81" spans="2:21" x14ac:dyDescent="0.2">
      <c r="B81" s="23" t="s">
        <v>51</v>
      </c>
      <c r="C81" s="54">
        <f>SUM(C77:C80)</f>
        <v>2158506.25</v>
      </c>
      <c r="D81" s="54">
        <f t="shared" ref="D81:N81" si="24">SUM(D77:D80)</f>
        <v>2190846.7719667037</v>
      </c>
      <c r="E81" s="54">
        <f t="shared" si="24"/>
        <v>2206483.1998760989</v>
      </c>
      <c r="F81" s="54">
        <f t="shared" si="24"/>
        <v>2223249.7086879876</v>
      </c>
      <c r="G81" s="54">
        <f t="shared" si="24"/>
        <v>2209174.3479660419</v>
      </c>
      <c r="H81" s="54">
        <f t="shared" si="24"/>
        <v>2184107.5485049598</v>
      </c>
      <c r="I81" s="54">
        <f t="shared" si="24"/>
        <v>2192268.9631721405</v>
      </c>
      <c r="J81" s="54">
        <f t="shared" si="24"/>
        <v>2201567.5665490641</v>
      </c>
      <c r="K81" s="54">
        <f t="shared" si="24"/>
        <v>2145481.8853599238</v>
      </c>
      <c r="L81" s="54">
        <f t="shared" si="24"/>
        <v>2184029.0127887661</v>
      </c>
      <c r="M81" s="54">
        <f t="shared" si="24"/>
        <v>2131091.9346076832</v>
      </c>
      <c r="N81" s="54">
        <f t="shared" si="24"/>
        <v>2142628.6105432143</v>
      </c>
    </row>
    <row r="82" spans="2:21" x14ac:dyDescent="0.2">
      <c r="B82" s="24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33">
        <f>C$59*$P33</f>
        <v>893.17499999999995</v>
      </c>
      <c r="D83" s="33">
        <f>D$59*$P33</f>
        <v>906.55728495173935</v>
      </c>
      <c r="E83" s="33">
        <f>E$59*$P33</f>
        <v>913.0275309832133</v>
      </c>
      <c r="F83" s="33">
        <f>F$59*$P33</f>
        <v>919.96539669847755</v>
      </c>
      <c r="G83" s="33">
        <f>G$59*$P33</f>
        <v>914.14110950318957</v>
      </c>
      <c r="H83" s="33">
        <f>H$59*$P33</f>
        <v>903.76864076067295</v>
      </c>
      <c r="I83" s="33">
        <f>I$59*$P33</f>
        <v>907.14577786433381</v>
      </c>
      <c r="J83" s="33">
        <f>J$59*$P33</f>
        <v>910.99347581340589</v>
      </c>
      <c r="K83" s="33">
        <f>K$59*$P33</f>
        <v>887.78560773514084</v>
      </c>
      <c r="L83" s="33">
        <f>L$59*$P33</f>
        <v>903.73614322293759</v>
      </c>
      <c r="M83" s="33">
        <f>M$59*$P33</f>
        <v>881.83114535490324</v>
      </c>
      <c r="N83" s="33">
        <f>N$59*$P33</f>
        <v>886.60494229374376</v>
      </c>
      <c r="U83"/>
    </row>
    <row r="84" spans="2:21" x14ac:dyDescent="0.2">
      <c r="B84" s="53" t="s">
        <v>53</v>
      </c>
      <c r="C84" s="33">
        <f>C$59*$P34</f>
        <v>1012.2650000000001</v>
      </c>
      <c r="D84" s="33">
        <f>D$59*$P34</f>
        <v>1027.4315896119713</v>
      </c>
      <c r="E84" s="33">
        <f>E$59*$P34</f>
        <v>1034.7645351143085</v>
      </c>
      <c r="F84" s="33">
        <f>F$59*$P34</f>
        <v>1042.627449591608</v>
      </c>
      <c r="G84" s="33">
        <f>G$59*$P34</f>
        <v>1036.0265907702817</v>
      </c>
      <c r="H84" s="33">
        <f>H$59*$P34</f>
        <v>1024.2711261954296</v>
      </c>
      <c r="I84" s="33">
        <f>I$59*$P34</f>
        <v>1028.0985482462452</v>
      </c>
      <c r="J84" s="33">
        <f>J$59*$P34</f>
        <v>1032.4592725885268</v>
      </c>
      <c r="K84" s="33">
        <f>K$59*$P34</f>
        <v>1006.1570220998265</v>
      </c>
      <c r="L84" s="33">
        <f>L$59*$P34</f>
        <v>1024.2342956526627</v>
      </c>
      <c r="M84" s="33">
        <f>M$59*$P34</f>
        <v>999.40863140222382</v>
      </c>
      <c r="N84" s="33">
        <f>N$59*$P34</f>
        <v>1004.8189345995763</v>
      </c>
      <c r="U84"/>
    </row>
    <row r="85" spans="2:21" x14ac:dyDescent="0.2">
      <c r="B85" s="53" t="s">
        <v>54</v>
      </c>
      <c r="C85" s="33">
        <f>C$59*$P35</f>
        <v>297.72500000000002</v>
      </c>
      <c r="D85" s="33">
        <f>D$59*$P35</f>
        <v>302.18576165057982</v>
      </c>
      <c r="E85" s="33">
        <f>E$59*$P35</f>
        <v>304.34251032773778</v>
      </c>
      <c r="F85" s="33">
        <f>F$59*$P35</f>
        <v>306.65513223282591</v>
      </c>
      <c r="G85" s="33">
        <f>G$59*$P35</f>
        <v>304.71370316772988</v>
      </c>
      <c r="H85" s="33">
        <f>H$59*$P35</f>
        <v>301.25621358689102</v>
      </c>
      <c r="I85" s="33">
        <f>I$59*$P35</f>
        <v>302.38192595477801</v>
      </c>
      <c r="J85" s="33">
        <f>J$59*$P35</f>
        <v>303.66449193780198</v>
      </c>
      <c r="K85" s="33">
        <f>K$59*$P35</f>
        <v>295.92853591171365</v>
      </c>
      <c r="L85" s="33">
        <f>L$59*$P35</f>
        <v>301.2453810743126</v>
      </c>
      <c r="M85" s="33">
        <f>M$59*$P35</f>
        <v>293.9437151183011</v>
      </c>
      <c r="N85" s="33">
        <f>N$59*$P35</f>
        <v>295.53498076458129</v>
      </c>
      <c r="U85"/>
    </row>
    <row r="86" spans="2:21" x14ac:dyDescent="0.2">
      <c r="B86" s="53" t="s">
        <v>55</v>
      </c>
      <c r="C86" s="33">
        <f>C$59*$P36</f>
        <v>14886.25</v>
      </c>
      <c r="D86" s="33">
        <f>D$59*$P36</f>
        <v>15109.28808252899</v>
      </c>
      <c r="E86" s="33">
        <f>E$59*$P36</f>
        <v>15217.12551638689</v>
      </c>
      <c r="F86" s="33">
        <f>F$59*$P36</f>
        <v>15332.756611641295</v>
      </c>
      <c r="G86" s="33">
        <f>G$59*$P36</f>
        <v>15235.685158386494</v>
      </c>
      <c r="H86" s="33">
        <f>H$59*$P36</f>
        <v>15062.810679344551</v>
      </c>
      <c r="I86" s="33">
        <f>I$59*$P36</f>
        <v>15119.096297738899</v>
      </c>
      <c r="J86" s="33">
        <f>J$59*$P36</f>
        <v>15183.224596890099</v>
      </c>
      <c r="K86" s="33">
        <f>K$59*$P36</f>
        <v>14796.426795585681</v>
      </c>
      <c r="L86" s="33">
        <f>L$59*$P36</f>
        <v>15062.269053715629</v>
      </c>
      <c r="M86" s="33">
        <f>M$59*$P36</f>
        <v>14697.185755915056</v>
      </c>
      <c r="N86" s="33">
        <f>N$59*$P36</f>
        <v>14776.749038229063</v>
      </c>
      <c r="U86"/>
    </row>
    <row r="87" spans="2:21" x14ac:dyDescent="0.2">
      <c r="B87" s="53" t="s">
        <v>56</v>
      </c>
      <c r="C87" s="33">
        <f>C$59*$P37</f>
        <v>20840.75</v>
      </c>
      <c r="D87" s="33">
        <f>D$59*$P37</f>
        <v>21153.003315540587</v>
      </c>
      <c r="E87" s="33">
        <f>E$59*$P37</f>
        <v>21303.975722941646</v>
      </c>
      <c r="F87" s="33">
        <f>F$59*$P37</f>
        <v>21465.859256297812</v>
      </c>
      <c r="G87" s="33">
        <f>G$59*$P37</f>
        <v>21329.95922174109</v>
      </c>
      <c r="H87" s="33">
        <f>H$59*$P37</f>
        <v>21087.93495108237</v>
      </c>
      <c r="I87" s="33">
        <f>I$59*$P37</f>
        <v>21166.734816834458</v>
      </c>
      <c r="J87" s="33">
        <f>J$59*$P37</f>
        <v>21256.514435646139</v>
      </c>
      <c r="K87" s="33">
        <f>K$59*$P37</f>
        <v>20714.997513819955</v>
      </c>
      <c r="L87" s="33">
        <f>L$59*$P37</f>
        <v>21087.176675201881</v>
      </c>
      <c r="M87" s="33">
        <f>M$59*$P37</f>
        <v>20576.060058281077</v>
      </c>
      <c r="N87" s="33">
        <f>N$59*$P37</f>
        <v>20687.448653520689</v>
      </c>
      <c r="U87"/>
    </row>
    <row r="88" spans="2:21" x14ac:dyDescent="0.2">
      <c r="B88" s="53" t="s">
        <v>57</v>
      </c>
      <c r="C88" s="33">
        <f>C$59*$P38</f>
        <v>2977.25</v>
      </c>
      <c r="D88" s="33">
        <f>D$59*$P38</f>
        <v>3021.857616505798</v>
      </c>
      <c r="E88" s="33">
        <f>E$59*$P38</f>
        <v>3043.4251032773777</v>
      </c>
      <c r="F88" s="33">
        <f>F$59*$P38</f>
        <v>3066.5513223282587</v>
      </c>
      <c r="G88" s="33">
        <f>G$59*$P38</f>
        <v>3047.1370316772986</v>
      </c>
      <c r="H88" s="33">
        <f>H$59*$P38</f>
        <v>3012.5621358689104</v>
      </c>
      <c r="I88" s="33">
        <f>I$59*$P38</f>
        <v>3023.8192595477799</v>
      </c>
      <c r="J88" s="33">
        <f>J$59*$P38</f>
        <v>3036.6449193780199</v>
      </c>
      <c r="K88" s="33">
        <f>K$59*$P38</f>
        <v>2959.2853591171365</v>
      </c>
      <c r="L88" s="33">
        <f>L$59*$P38</f>
        <v>3012.4538107431258</v>
      </c>
      <c r="M88" s="33">
        <f>M$59*$P38</f>
        <v>2939.4371511830109</v>
      </c>
      <c r="N88" s="33">
        <f>N$59*$P38</f>
        <v>2955.3498076458127</v>
      </c>
      <c r="U88"/>
    </row>
    <row r="89" spans="2:21" x14ac:dyDescent="0.2">
      <c r="B89" s="53" t="s">
        <v>58</v>
      </c>
      <c r="C89" s="33">
        <f>C$59*$P39</f>
        <v>38704.25</v>
      </c>
      <c r="D89" s="33">
        <f>D$59*$P39</f>
        <v>39284.149014575371</v>
      </c>
      <c r="E89" s="33">
        <f>E$59*$P39</f>
        <v>39564.52634260591</v>
      </c>
      <c r="F89" s="33">
        <f>F$59*$P39</f>
        <v>39865.167190267362</v>
      </c>
      <c r="G89" s="33">
        <f>G$59*$P39</f>
        <v>39612.781411804885</v>
      </c>
      <c r="H89" s="33">
        <f>H$59*$P39</f>
        <v>39163.307766295831</v>
      </c>
      <c r="I89" s="33">
        <f>I$59*$P39</f>
        <v>39309.650374121135</v>
      </c>
      <c r="J89" s="33">
        <f>J$59*$P39</f>
        <v>39476.383951914257</v>
      </c>
      <c r="K89" s="33">
        <f>K$59*$P39</f>
        <v>38470.709668522773</v>
      </c>
      <c r="L89" s="33">
        <f>L$59*$P39</f>
        <v>39161.899539660633</v>
      </c>
      <c r="M89" s="33">
        <f>M$59*$P39</f>
        <v>38212.682965379143</v>
      </c>
      <c r="N89" s="33">
        <f>N$59*$P39</f>
        <v>38419.547499395565</v>
      </c>
      <c r="U89"/>
    </row>
    <row r="90" spans="2:21" x14ac:dyDescent="0.2">
      <c r="B90" s="53" t="s">
        <v>59</v>
      </c>
      <c r="C90" s="33">
        <f>C$59*$P40</f>
        <v>44658.75</v>
      </c>
      <c r="D90" s="33">
        <f>D$59*$P40</f>
        <v>45327.864247586971</v>
      </c>
      <c r="E90" s="33">
        <f>E$59*$P40</f>
        <v>45651.376549160668</v>
      </c>
      <c r="F90" s="33">
        <f>F$59*$P40</f>
        <v>45998.269834923878</v>
      </c>
      <c r="G90" s="33">
        <f>G$59*$P40</f>
        <v>45707.055475159475</v>
      </c>
      <c r="H90" s="33">
        <f>H$59*$P40</f>
        <v>45188.43203803365</v>
      </c>
      <c r="I90" s="33">
        <f>I$59*$P40</f>
        <v>45357.288893216697</v>
      </c>
      <c r="J90" s="33">
        <f>J$59*$P40</f>
        <v>45549.673790670298</v>
      </c>
      <c r="K90" s="33">
        <f>K$59*$P40</f>
        <v>44389.28038675704</v>
      </c>
      <c r="L90" s="33">
        <f>L$59*$P40</f>
        <v>45186.807161146884</v>
      </c>
      <c r="M90" s="33">
        <f>M$59*$P40</f>
        <v>44091.557267745164</v>
      </c>
      <c r="N90" s="33">
        <f>N$59*$P40</f>
        <v>44330.24711468719</v>
      </c>
      <c r="U90"/>
    </row>
    <row r="91" spans="2:21" x14ac:dyDescent="0.2">
      <c r="B91" s="30" t="s">
        <v>60</v>
      </c>
      <c r="C91" s="32">
        <f>C$59*$P41</f>
        <v>44658.75</v>
      </c>
      <c r="D91" s="32">
        <f>D$59*$P41</f>
        <v>45327.864247586971</v>
      </c>
      <c r="E91" s="32">
        <f>E$59*$P41</f>
        <v>45651.376549160668</v>
      </c>
      <c r="F91" s="32">
        <f>F$59*$P41</f>
        <v>45998.269834923878</v>
      </c>
      <c r="G91" s="32">
        <f>G$59*$P41</f>
        <v>45707.055475159475</v>
      </c>
      <c r="H91" s="32">
        <f>H$59*$P41</f>
        <v>45188.43203803365</v>
      </c>
      <c r="I91" s="32">
        <f>I$59*$P41</f>
        <v>45357.288893216697</v>
      </c>
      <c r="J91" s="32">
        <f>J$59*$P41</f>
        <v>45549.673790670298</v>
      </c>
      <c r="K91" s="32">
        <f>K$59*$P41</f>
        <v>44389.28038675704</v>
      </c>
      <c r="L91" s="32">
        <f>L$59*$P41</f>
        <v>45186.807161146884</v>
      </c>
      <c r="M91" s="32">
        <f>M$59*$P41</f>
        <v>44091.557267745164</v>
      </c>
      <c r="N91" s="32">
        <f>N$59*$P41</f>
        <v>44330.24711468719</v>
      </c>
      <c r="U91"/>
    </row>
    <row r="92" spans="2:21" x14ac:dyDescent="0.2">
      <c r="B92" s="52" t="s">
        <v>61</v>
      </c>
      <c r="C92" s="54">
        <f>SUM(C83:C91)</f>
        <v>168929.16500000001</v>
      </c>
      <c r="D92" s="54">
        <f t="shared" ref="D92:N92" si="25">SUM(D83:D91)</f>
        <v>171460.20116053897</v>
      </c>
      <c r="E92" s="54">
        <f t="shared" si="25"/>
        <v>172683.94035995842</v>
      </c>
      <c r="F92" s="54">
        <f t="shared" si="25"/>
        <v>173996.1220289054</v>
      </c>
      <c r="G92" s="54">
        <f t="shared" si="25"/>
        <v>172894.55517736991</v>
      </c>
      <c r="H92" s="54">
        <f t="shared" si="25"/>
        <v>170932.77558920195</v>
      </c>
      <c r="I92" s="54">
        <f t="shared" si="25"/>
        <v>171571.50478674102</v>
      </c>
      <c r="J92" s="54">
        <f t="shared" si="25"/>
        <v>172299.23272550883</v>
      </c>
      <c r="K92" s="54">
        <f t="shared" si="25"/>
        <v>167909.85127630632</v>
      </c>
      <c r="L92" s="54">
        <f t="shared" si="25"/>
        <v>170926.62922156497</v>
      </c>
      <c r="M92" s="54">
        <f t="shared" si="25"/>
        <v>166783.66395812406</v>
      </c>
      <c r="N92" s="54">
        <f t="shared" si="25"/>
        <v>167686.54808582342</v>
      </c>
      <c r="U92"/>
    </row>
    <row r="93" spans="2:21" x14ac:dyDescent="0.2">
      <c r="B93" s="51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42">
        <f>C73-C81-C92</f>
        <v>2421386.7570386082</v>
      </c>
      <c r="D94" s="42">
        <f t="shared" ref="D94:N94" si="26">D73-D81-D92</f>
        <v>2461026.3267576252</v>
      </c>
      <c r="E94" s="42">
        <f t="shared" si="26"/>
        <v>2456344.707103231</v>
      </c>
      <c r="F94" s="42">
        <f t="shared" si="26"/>
        <v>2486988.4727692418</v>
      </c>
      <c r="G94" s="42">
        <f t="shared" si="26"/>
        <v>2451055.7478694362</v>
      </c>
      <c r="H94" s="42">
        <f t="shared" si="26"/>
        <v>2420219.5482893209</v>
      </c>
      <c r="I94" s="42">
        <f t="shared" si="26"/>
        <v>2439324.4583834391</v>
      </c>
      <c r="J94" s="42">
        <f t="shared" si="26"/>
        <v>2436964.6960906219</v>
      </c>
      <c r="K94" s="42">
        <f t="shared" si="26"/>
        <v>2377417.2858379637</v>
      </c>
      <c r="L94" s="42">
        <f t="shared" si="26"/>
        <v>2414961.8927123277</v>
      </c>
      <c r="M94" s="42">
        <f t="shared" si="26"/>
        <v>2352625.7444885368</v>
      </c>
      <c r="N94" s="42">
        <f t="shared" si="26"/>
        <v>2361083.2733423198</v>
      </c>
    </row>
    <row r="95" spans="2:21" x14ac:dyDescent="0.2">
      <c r="B95" s="23" t="s">
        <v>34</v>
      </c>
      <c r="C95" s="71">
        <f>C94/C59</f>
        <v>0.40664820842028854</v>
      </c>
      <c r="D95" s="71">
        <f t="shared" ref="D95:N95" si="27">D94/D59</f>
        <v>0.40720421659100747</v>
      </c>
      <c r="E95" s="71">
        <f t="shared" si="27"/>
        <v>0.4035493931587249</v>
      </c>
      <c r="F95" s="71">
        <f t="shared" si="27"/>
        <v>0.40550250287039258</v>
      </c>
      <c r="G95" s="71">
        <f t="shared" si="27"/>
        <v>0.40218994459206364</v>
      </c>
      <c r="H95" s="71">
        <f t="shared" si="27"/>
        <v>0.40168790536684806</v>
      </c>
      <c r="I95" s="71">
        <f t="shared" si="27"/>
        <v>0.40335156452906623</v>
      </c>
      <c r="J95" s="71">
        <f t="shared" si="27"/>
        <v>0.40125940977481367</v>
      </c>
      <c r="K95" s="71">
        <f t="shared" si="27"/>
        <v>0.40168773831044713</v>
      </c>
      <c r="L95" s="71">
        <f t="shared" si="27"/>
        <v>0.40082969639235633</v>
      </c>
      <c r="M95" s="71">
        <f t="shared" si="27"/>
        <v>0.40018303224168189</v>
      </c>
      <c r="N95" s="71">
        <f t="shared" si="27"/>
        <v>0.39945918876234882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7509B-5EA3-49F7-8E95-B4F29033F48A}">
  <dimension ref="B2:U95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104</v>
      </c>
    </row>
    <row r="3" spans="2:21" ht="15" customHeight="1" x14ac:dyDescent="0.2">
      <c r="B3" s="52"/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f>'Nat View - Data-Driven'!C5</f>
        <v>918241.81085671578</v>
      </c>
      <c r="D5" s="96">
        <f>'Nat View - Data-Driven'!D5</f>
        <v>1098822.1071652398</v>
      </c>
      <c r="E5" s="96">
        <f>'Nat View - Data-Driven'!E5</f>
        <v>1389108.8186953156</v>
      </c>
      <c r="F5" s="96">
        <f>'Nat View - Data-Driven'!F5</f>
        <v>1060457.1162919106</v>
      </c>
      <c r="G5" s="96">
        <f>'Nat View - Data-Driven'!G5</f>
        <v>1080187.977512805</v>
      </c>
      <c r="H5" s="96">
        <f>'Nat View - Data-Driven'!H5</f>
        <v>1449758.253748731</v>
      </c>
      <c r="I5" s="96">
        <f>'Nat View - Data-Driven'!I5</f>
        <v>1270033.6214879407</v>
      </c>
      <c r="J5" s="96">
        <f>'Nat View - Data-Driven'!J5</f>
        <v>1137642.609668985</v>
      </c>
      <c r="K5" s="96">
        <f>'Nat View - Data-Driven'!K5</f>
        <v>1505986.0966062024</v>
      </c>
      <c r="L5" s="96">
        <f>'Nat View - Data-Driven'!L5</f>
        <v>825220.26826456212</v>
      </c>
      <c r="M5" s="96">
        <f>'Nat View - Data-Driven'!M5</f>
        <v>1232003.1532279779</v>
      </c>
      <c r="N5" s="96">
        <f>'Nat View - Data-Driven'!N5</f>
        <v>1753899.7673868714</v>
      </c>
      <c r="P5" s="96">
        <f t="shared" ref="P5:P12" si="1">SUM(C5:E5)</f>
        <v>3406172.7367172712</v>
      </c>
      <c r="Q5" s="96">
        <f t="shared" ref="Q5:Q12" si="2">SUM(F5:H5)</f>
        <v>3590403.3475534469</v>
      </c>
      <c r="R5" s="96">
        <f t="shared" ref="R5:R12" si="3">SUM(I5:K5)</f>
        <v>3913662.3277631281</v>
      </c>
      <c r="S5" s="96">
        <f t="shared" ref="S5:S12" si="4">SUM(L5:N5)</f>
        <v>3811123.1888794117</v>
      </c>
      <c r="T5" s="91"/>
      <c r="U5" s="96">
        <f t="shared" ref="U5:U12" si="5">SUM(P5:S5)</f>
        <v>14721361.600913256</v>
      </c>
    </row>
    <row r="6" spans="2:21" s="25" customFormat="1" ht="15" customHeight="1" x14ac:dyDescent="0.2">
      <c r="B6" s="78" t="s">
        <v>10</v>
      </c>
      <c r="C6" s="81">
        <f>'Nat View - Data-Driven'!C6</f>
        <v>622514.35130164481</v>
      </c>
      <c r="D6" s="81">
        <f>'Nat View - Data-Driven'!D6</f>
        <v>935097.23442405579</v>
      </c>
      <c r="E6" s="81">
        <f>'Nat View - Data-Driven'!E6</f>
        <v>1179236.180272124</v>
      </c>
      <c r="F6" s="81">
        <f>'Nat View - Data-Driven'!F6</f>
        <v>777579.95049804996</v>
      </c>
      <c r="G6" s="81">
        <f>'Nat View - Data-Driven'!G6</f>
        <v>753453.09429011669</v>
      </c>
      <c r="H6" s="81">
        <f>'Nat View - Data-Driven'!H6</f>
        <v>1159929.2819288557</v>
      </c>
      <c r="I6" s="81">
        <f>'Nat View - Data-Driven'!I6</f>
        <v>1011896.7065513673</v>
      </c>
      <c r="J6" s="81">
        <f>'Nat View - Data-Driven'!J6</f>
        <v>874189.60777134181</v>
      </c>
      <c r="K6" s="81">
        <f>'Nat View - Data-Driven'!K6</f>
        <v>1000548.9055383139</v>
      </c>
      <c r="L6" s="81">
        <f>'Nat View - Data-Driven'!L6</f>
        <v>766538.84680967382</v>
      </c>
      <c r="M6" s="81">
        <f>'Nat View - Data-Driven'!M6</f>
        <v>1069760.2684737833</v>
      </c>
      <c r="N6" s="81">
        <f>'Nat View - Data-Driven'!N6</f>
        <v>1248360.343877424</v>
      </c>
      <c r="P6" s="81">
        <f t="shared" si="1"/>
        <v>2736847.7659978243</v>
      </c>
      <c r="Q6" s="81">
        <f t="shared" si="2"/>
        <v>2690962.3267170223</v>
      </c>
      <c r="R6" s="81">
        <f t="shared" si="3"/>
        <v>2886635.2198610231</v>
      </c>
      <c r="S6" s="81">
        <f t="shared" si="4"/>
        <v>3084659.4591608811</v>
      </c>
      <c r="T6" s="91"/>
      <c r="U6" s="81">
        <f t="shared" si="5"/>
        <v>11399104.77173675</v>
      </c>
    </row>
    <row r="7" spans="2:21" ht="15" customHeight="1" x14ac:dyDescent="0.2">
      <c r="B7" s="78" t="s">
        <v>11</v>
      </c>
      <c r="C7" s="81">
        <f>'Nat View - Data-Driven'!C7</f>
        <v>295727.45955507096</v>
      </c>
      <c r="D7" s="81">
        <f>'Nat View - Data-Driven'!D7</f>
        <v>163724.87274118402</v>
      </c>
      <c r="E7" s="81">
        <f>'Nat View - Data-Driven'!E7</f>
        <v>209872.6384231917</v>
      </c>
      <c r="F7" s="81">
        <f>'Nat View - Data-Driven'!F7</f>
        <v>282877.16579386062</v>
      </c>
      <c r="G7" s="81">
        <f>'Nat View - Data-Driven'!G7</f>
        <v>326734.8832226884</v>
      </c>
      <c r="H7" s="81">
        <f>'Nat View - Data-Driven'!H7</f>
        <v>289828.97181987535</v>
      </c>
      <c r="I7" s="81">
        <f>'Nat View - Data-Driven'!I7</f>
        <v>258136.91493657327</v>
      </c>
      <c r="J7" s="81">
        <f>'Nat View - Data-Driven'!J7</f>
        <v>263453.00189764332</v>
      </c>
      <c r="K7" s="81">
        <f>'Nat View - Data-Driven'!K7</f>
        <v>505437.1910678884</v>
      </c>
      <c r="L7" s="81">
        <f>'Nat View - Data-Driven'!L7</f>
        <v>58681.421454888339</v>
      </c>
      <c r="M7" s="81">
        <f>'Nat View - Data-Driven'!M7</f>
        <v>162242.88475419473</v>
      </c>
      <c r="N7" s="81">
        <f>'Nat View - Data-Driven'!N7</f>
        <v>505539.42350944749</v>
      </c>
      <c r="P7" s="81">
        <f t="shared" si="1"/>
        <v>669324.97071944666</v>
      </c>
      <c r="Q7" s="81">
        <f t="shared" si="2"/>
        <v>899441.02083642432</v>
      </c>
      <c r="R7" s="81">
        <f t="shared" si="3"/>
        <v>1027027.107902105</v>
      </c>
      <c r="S7" s="81">
        <f t="shared" si="4"/>
        <v>726463.72971853055</v>
      </c>
      <c r="T7" s="79"/>
      <c r="U7" s="81">
        <f t="shared" si="5"/>
        <v>3322256.8291765065</v>
      </c>
    </row>
    <row r="8" spans="2:21" s="25" customFormat="1" ht="15" customHeight="1" x14ac:dyDescent="0.2">
      <c r="B8" s="51" t="s">
        <v>12</v>
      </c>
      <c r="C8" s="96">
        <f>'Nat View - Data-Driven'!C8</f>
        <v>721374.25132581848</v>
      </c>
      <c r="D8" s="96">
        <f>'Nat View - Data-Driven'!D8</f>
        <v>595242.65474325209</v>
      </c>
      <c r="E8" s="96">
        <f>'Nat View - Data-Driven'!E8</f>
        <v>1249710.3438458135</v>
      </c>
      <c r="F8" s="96">
        <f>'Nat View - Data-Driven'!F8</f>
        <v>708675.28488725773</v>
      </c>
      <c r="G8" s="96">
        <f>'Nat View - Data-Driven'!G8</f>
        <v>903837.01582346321</v>
      </c>
      <c r="H8" s="96">
        <f>'Nat View - Data-Driven'!H8</f>
        <v>1378195.5446574034</v>
      </c>
      <c r="I8" s="96">
        <f>'Nat View - Data-Driven'!I8</f>
        <v>1037250.3520580088</v>
      </c>
      <c r="J8" s="96">
        <f>'Nat View - Data-Driven'!J8</f>
        <v>767663.40366682317</v>
      </c>
      <c r="K8" s="96">
        <f>'Nat View - Data-Driven'!K8</f>
        <v>1064955.3437205083</v>
      </c>
      <c r="L8" s="96">
        <f>'Nat View - Data-Driven'!L8</f>
        <v>978466.69816156151</v>
      </c>
      <c r="M8" s="96">
        <f>'Nat View - Data-Driven'!M8</f>
        <v>1432889.9008914893</v>
      </c>
      <c r="N8" s="96">
        <f>'Nat View - Data-Driven'!N8</f>
        <v>944729.99244707869</v>
      </c>
      <c r="P8" s="96">
        <f t="shared" si="1"/>
        <v>2566327.2499148841</v>
      </c>
      <c r="Q8" s="96">
        <f t="shared" si="2"/>
        <v>2990707.8453681245</v>
      </c>
      <c r="R8" s="96">
        <f t="shared" si="3"/>
        <v>2869869.0994453402</v>
      </c>
      <c r="S8" s="96">
        <f t="shared" si="4"/>
        <v>3356086.5915001296</v>
      </c>
      <c r="T8" s="91"/>
      <c r="U8" s="96">
        <f t="shared" si="5"/>
        <v>11782990.786228478</v>
      </c>
    </row>
    <row r="9" spans="2:21" s="25" customFormat="1" ht="15" customHeight="1" x14ac:dyDescent="0.2">
      <c r="B9" s="78" t="s">
        <v>10</v>
      </c>
      <c r="C9" s="81">
        <f>'Nat View - Data-Driven'!C9</f>
        <v>280387.13024097512</v>
      </c>
      <c r="D9" s="81">
        <f>'Nat View - Data-Driven'!D9</f>
        <v>371671.55899892846</v>
      </c>
      <c r="E9" s="81">
        <f>'Nat View - Data-Driven'!E9</f>
        <v>506998.66365879396</v>
      </c>
      <c r="F9" s="81">
        <f>'Nat View - Data-Driven'!F9</f>
        <v>513002.39174325723</v>
      </c>
      <c r="G9" s="81">
        <f>'Nat View - Data-Driven'!G9</f>
        <v>588858.86338006426</v>
      </c>
      <c r="H9" s="81">
        <f>'Nat View - Data-Driven'!H9</f>
        <v>1062092.8353568551</v>
      </c>
      <c r="I9" s="81">
        <f>'Nat View - Data-Driven'!I9</f>
        <v>792710.35184878763</v>
      </c>
      <c r="J9" s="81">
        <f>'Nat View - Data-Driven'!J9</f>
        <v>683730.56914685224</v>
      </c>
      <c r="K9" s="81">
        <f>'Nat View - Data-Driven'!K9</f>
        <v>798742.06590077106</v>
      </c>
      <c r="L9" s="81">
        <f>'Nat View - Data-Driven'!L9</f>
        <v>699678.83003006235</v>
      </c>
      <c r="M9" s="81">
        <f>'Nat View - Data-Driven'!M9</f>
        <v>1139585.0260586068</v>
      </c>
      <c r="N9" s="81">
        <f>'Nat View - Data-Driven'!N9</f>
        <v>650505.02564016473</v>
      </c>
      <c r="P9" s="81">
        <f t="shared" si="1"/>
        <v>1159057.3528986976</v>
      </c>
      <c r="Q9" s="81">
        <f t="shared" si="2"/>
        <v>2163954.0904801767</v>
      </c>
      <c r="R9" s="81">
        <f t="shared" si="3"/>
        <v>2275182.9868964111</v>
      </c>
      <c r="S9" s="81">
        <f t="shared" si="4"/>
        <v>2489768.8817288335</v>
      </c>
      <c r="T9" s="91"/>
      <c r="U9" s="81">
        <f t="shared" si="5"/>
        <v>8087963.3120041192</v>
      </c>
    </row>
    <row r="10" spans="2:21" ht="15" customHeight="1" x14ac:dyDescent="0.2">
      <c r="B10" s="78" t="s">
        <v>11</v>
      </c>
      <c r="C10" s="81">
        <f>'Nat View - Data-Driven'!C10</f>
        <v>440987.1210848433</v>
      </c>
      <c r="D10" s="81">
        <f>'Nat View - Data-Driven'!D10</f>
        <v>223571.0957443236</v>
      </c>
      <c r="E10" s="81">
        <f>'Nat View - Data-Driven'!E10</f>
        <v>742711.68018701964</v>
      </c>
      <c r="F10" s="81">
        <f>'Nat View - Data-Driven'!F10</f>
        <v>195672.89314400047</v>
      </c>
      <c r="G10" s="81">
        <f>'Nat View - Data-Driven'!G10</f>
        <v>314978.1524433989</v>
      </c>
      <c r="H10" s="81">
        <f>'Nat View - Data-Driven'!H10</f>
        <v>316102.7093005483</v>
      </c>
      <c r="I10" s="81">
        <f>'Nat View - Data-Driven'!I10</f>
        <v>244540.00020922109</v>
      </c>
      <c r="J10" s="81">
        <f>'Nat View - Data-Driven'!J10</f>
        <v>83932.834519970944</v>
      </c>
      <c r="K10" s="81">
        <f>'Nat View - Data-Driven'!K10</f>
        <v>266213.27781973733</v>
      </c>
      <c r="L10" s="81">
        <f>'Nat View - Data-Driven'!L10</f>
        <v>278787.8681314991</v>
      </c>
      <c r="M10" s="81">
        <f>'Nat View - Data-Driven'!M10</f>
        <v>293304.87483288266</v>
      </c>
      <c r="N10" s="81">
        <f>'Nat View - Data-Driven'!N10</f>
        <v>294224.96680691402</v>
      </c>
      <c r="P10" s="81">
        <f t="shared" si="1"/>
        <v>1407269.8970161865</v>
      </c>
      <c r="Q10" s="81">
        <f t="shared" si="2"/>
        <v>826753.7548879477</v>
      </c>
      <c r="R10" s="81">
        <f t="shared" si="3"/>
        <v>594686.11254892941</v>
      </c>
      <c r="S10" s="81">
        <f t="shared" si="4"/>
        <v>866317.70977129578</v>
      </c>
      <c r="T10" s="79"/>
      <c r="U10" s="81">
        <f t="shared" si="5"/>
        <v>3695027.4742243597</v>
      </c>
    </row>
    <row r="11" spans="2:21" ht="15" customHeight="1" x14ac:dyDescent="0.2">
      <c r="B11" s="31" t="s">
        <v>13</v>
      </c>
      <c r="C11" s="97">
        <f>'Nat View - Data-Driven'!C11</f>
        <v>198666.7339566247</v>
      </c>
      <c r="D11" s="97">
        <f>'Nat View - Data-Driven'!D11</f>
        <v>335025.21674858825</v>
      </c>
      <c r="E11" s="97">
        <f>'Nat View - Data-Driven'!E11</f>
        <v>544202.91708709358</v>
      </c>
      <c r="F11" s="97">
        <f>'Nat View - Data-Driven'!F11</f>
        <v>191992.52524787508</v>
      </c>
      <c r="G11" s="97">
        <f>'Nat View - Data-Driven'!G11</f>
        <v>275618.66244316887</v>
      </c>
      <c r="H11" s="97">
        <f>'Nat View - Data-Driven'!H11</f>
        <v>502574.68270423537</v>
      </c>
      <c r="I11" s="97">
        <f>'Nat View - Data-Driven'!I11</f>
        <v>521998.84660045261</v>
      </c>
      <c r="J11" s="97">
        <f>'Nat View - Data-Driven'!J11</f>
        <v>551237.32488633774</v>
      </c>
      <c r="K11" s="97">
        <f>'Nat View - Data-Driven'!K11</f>
        <v>705812.77652360452</v>
      </c>
      <c r="L11" s="97">
        <f>'Nat View - Data-Driven'!L11</f>
        <v>533039.95028882893</v>
      </c>
      <c r="M11" s="97">
        <f>'Nat View - Data-Driven'!M11</f>
        <v>230840.85304030988</v>
      </c>
      <c r="N11" s="97">
        <f>'Nat View - Data-Driven'!N11</f>
        <v>401875.72776858194</v>
      </c>
      <c r="P11" s="97">
        <f t="shared" si="1"/>
        <v>1077894.8677923065</v>
      </c>
      <c r="Q11" s="97">
        <f t="shared" si="2"/>
        <v>970185.87039527926</v>
      </c>
      <c r="R11" s="97">
        <f t="shared" si="3"/>
        <v>1779048.9480103948</v>
      </c>
      <c r="S11" s="97">
        <f t="shared" si="4"/>
        <v>1165756.5310977208</v>
      </c>
      <c r="T11" s="79"/>
      <c r="U11" s="97">
        <f t="shared" si="5"/>
        <v>4992886.2172957007</v>
      </c>
    </row>
    <row r="12" spans="2:21" ht="15" customHeight="1" x14ac:dyDescent="0.2">
      <c r="B12" s="52" t="s">
        <v>14</v>
      </c>
      <c r="C12" s="82">
        <f>'Nat View - Data-Driven'!C12</f>
        <v>1838282.796139159</v>
      </c>
      <c r="D12" s="82">
        <f>'Nat View - Data-Driven'!D12</f>
        <v>2029089.9786570801</v>
      </c>
      <c r="E12" s="82">
        <f>'Nat View - Data-Driven'!E12</f>
        <v>3183022.0796282226</v>
      </c>
      <c r="F12" s="82">
        <f>'Nat View - Data-Driven'!F12</f>
        <v>1961124.9264270435</v>
      </c>
      <c r="G12" s="82">
        <f>'Nat View - Data-Driven'!G12</f>
        <v>2259643.6557794372</v>
      </c>
      <c r="H12" s="82">
        <f>'Nat View - Data-Driven'!H12</f>
        <v>3330528.4811103698</v>
      </c>
      <c r="I12" s="82">
        <f>'Nat View - Data-Driven'!I12</f>
        <v>2829282.8201464019</v>
      </c>
      <c r="J12" s="82">
        <f>'Nat View - Data-Driven'!J12</f>
        <v>2456543.338222146</v>
      </c>
      <c r="K12" s="82">
        <f>'Nat View - Data-Driven'!K12</f>
        <v>3276754.2168503152</v>
      </c>
      <c r="L12" s="82">
        <f>'Nat View - Data-Driven'!L12</f>
        <v>2336726.9167149523</v>
      </c>
      <c r="M12" s="82">
        <f>'Nat View - Data-Driven'!M12</f>
        <v>2895733.9071597774</v>
      </c>
      <c r="N12" s="82">
        <f>'Nat View - Data-Driven'!N12</f>
        <v>3100505.4876025319</v>
      </c>
      <c r="P12" s="82">
        <f t="shared" si="1"/>
        <v>7050394.8544244617</v>
      </c>
      <c r="Q12" s="82">
        <f t="shared" si="2"/>
        <v>7551297.06331685</v>
      </c>
      <c r="R12" s="82">
        <f t="shared" si="3"/>
        <v>8562580.3752188645</v>
      </c>
      <c r="S12" s="82">
        <f t="shared" si="4"/>
        <v>8332966.3114772616</v>
      </c>
      <c r="T12" s="79"/>
      <c r="U12" s="82">
        <f t="shared" si="5"/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f>'Nat View - Data-Driven'!C15</f>
        <v>6.7393931455971043E-2</v>
      </c>
      <c r="D15" s="101">
        <f>'Nat View - Data-Driven'!D15</f>
        <v>0.14484668328968767</v>
      </c>
      <c r="E15" s="101">
        <f>'Nat View - Data-Driven'!E15</f>
        <v>0.11567215284129743</v>
      </c>
      <c r="F15" s="101">
        <f>'Nat View - Data-Driven'!F15</f>
        <v>0.1462793629016185</v>
      </c>
      <c r="G15" s="101">
        <f>'Nat View - Data-Driven'!G15</f>
        <v>0.11740251602634331</v>
      </c>
      <c r="H15" s="101">
        <f>'Nat View - Data-Driven'!H15</f>
        <v>0.20384898186803421</v>
      </c>
      <c r="I15" s="101">
        <f>'Nat View - Data-Driven'!I15</f>
        <v>0.12675550059165933</v>
      </c>
      <c r="J15" s="101">
        <f>'Nat View - Data-Driven'!J15</f>
        <v>0.17077228679600875</v>
      </c>
      <c r="K15" s="101">
        <f>'Nat View - Data-Driven'!K15</f>
        <v>0.19781124572277028</v>
      </c>
      <c r="L15" s="101">
        <f>'Nat View - Data-Driven'!L15</f>
        <v>0.33258751868872005</v>
      </c>
      <c r="M15" s="101">
        <f>'Nat View - Data-Driven'!M15</f>
        <v>0.17732830917255957</v>
      </c>
      <c r="N15" s="101">
        <f>'Nat View - Data-Driven'!N15</f>
        <v>0.20561240301531233</v>
      </c>
      <c r="P15" s="101">
        <f>P25/P5</f>
        <v>0.11465475654137559</v>
      </c>
      <c r="Q15" s="101">
        <f t="shared" ref="Q15:S15" si="6">Q25/Q5</f>
        <v>0.16083750648016584</v>
      </c>
      <c r="R15" s="101">
        <f t="shared" si="6"/>
        <v>0.16689292753926907</v>
      </c>
      <c r="S15" s="101">
        <f t="shared" si="6"/>
        <v>0.22396298964093894</v>
      </c>
      <c r="T15" s="79"/>
      <c r="U15" s="101">
        <f t="shared" ref="U15:U22" si="7">U25/U5</f>
        <v>0.16810391600890268</v>
      </c>
    </row>
    <row r="16" spans="2:21" ht="15" customHeight="1" x14ac:dyDescent="0.2">
      <c r="B16" s="94" t="s">
        <v>10</v>
      </c>
      <c r="C16" s="99">
        <f>'Nat View - Data-Driven'!C16</f>
        <v>8.269779157262673E-2</v>
      </c>
      <c r="D16" s="99">
        <f>'Nat View - Data-Driven'!D16</f>
        <v>0.14520413222718045</v>
      </c>
      <c r="E16" s="99">
        <f>'Nat View - Data-Driven'!E16</f>
        <v>0.13561154879632886</v>
      </c>
      <c r="F16" s="99">
        <f>'Nat View - Data-Driven'!F16</f>
        <v>0.17832635139258812</v>
      </c>
      <c r="G16" s="99">
        <f>'Nat View - Data-Driven'!G16</f>
        <v>0.13885500252245264</v>
      </c>
      <c r="H16" s="99">
        <f>'Nat View - Data-Driven'!H16</f>
        <v>0.18952940132167459</v>
      </c>
      <c r="I16" s="99">
        <f>'Nat View - Data-Driven'!I16</f>
        <v>0.13185705933438946</v>
      </c>
      <c r="J16" s="99">
        <f>'Nat View - Data-Driven'!J16</f>
        <v>0.17459490622063628</v>
      </c>
      <c r="K16" s="99">
        <f>'Nat View - Data-Driven'!K16</f>
        <v>0.25025408643068464</v>
      </c>
      <c r="L16" s="99">
        <f>'Nat View - Data-Driven'!L16</f>
        <v>0.25312276989029103</v>
      </c>
      <c r="M16" s="99">
        <f>'Nat View - Data-Driven'!M16</f>
        <v>0.17053504999123692</v>
      </c>
      <c r="N16" s="99">
        <f>'Nat View - Data-Driven'!N16</f>
        <v>0.23583693040225787</v>
      </c>
      <c r="P16" s="99">
        <f t="shared" ref="P16:S22" si="8">P26/P6</f>
        <v>0.12685345296298783</v>
      </c>
      <c r="Q16" s="99">
        <f t="shared" si="8"/>
        <v>0.17210364655718491</v>
      </c>
      <c r="R16" s="99">
        <f t="shared" si="8"/>
        <v>0.1858379005624578</v>
      </c>
      <c r="S16" s="99">
        <f t="shared" si="8"/>
        <v>0.21748576703966052</v>
      </c>
      <c r="T16" s="79"/>
      <c r="U16" s="99">
        <f t="shared" si="7"/>
        <v>0.17699800259839513</v>
      </c>
    </row>
    <row r="17" spans="2:21" ht="15" customHeight="1" x14ac:dyDescent="0.2">
      <c r="B17" s="94" t="s">
        <v>11</v>
      </c>
      <c r="C17" s="100">
        <f>'Nat View - Data-Driven'!C17</f>
        <v>3.5178889378835419E-2</v>
      </c>
      <c r="D17" s="100">
        <f>'Nat View - Data-Driven'!D17</f>
        <v>0.14280515161950749</v>
      </c>
      <c r="E17" s="100">
        <f>'Nat View - Data-Driven'!E17</f>
        <v>4.5604790246004716E-2</v>
      </c>
      <c r="F17" s="100">
        <f>'Nat View - Data-Driven'!F17</f>
        <v>5.8187785575158441E-2</v>
      </c>
      <c r="G17" s="100">
        <f>'Nat View - Data-Driven'!G17</f>
        <v>6.7932921071297683E-2</v>
      </c>
      <c r="H17" s="100">
        <f>'Nat View - Data-Driven'!H17</f>
        <v>0.26115761004404708</v>
      </c>
      <c r="I17" s="100">
        <f>'Nat View - Data-Driven'!I17</f>
        <v>0.10675739032015726</v>
      </c>
      <c r="J17" s="100">
        <f>'Nat View - Data-Driven'!J17</f>
        <v>0.15808807309791401</v>
      </c>
      <c r="K17" s="100">
        <f>'Nat View - Data-Driven'!K17</f>
        <v>9.3996908746969907E-2</v>
      </c>
      <c r="L17" s="100">
        <f>'Nat View - Data-Driven'!L17</f>
        <v>1.3706131049093142</v>
      </c>
      <c r="M17" s="100">
        <f>'Nat View - Data-Driven'!M17</f>
        <v>0.22212015799005139</v>
      </c>
      <c r="N17" s="100">
        <f>'Nat View - Data-Driven'!N17</f>
        <v>0.13097707360742727</v>
      </c>
      <c r="P17" s="100">
        <f t="shared" si="8"/>
        <v>6.4774688547365178E-2</v>
      </c>
      <c r="Q17" s="100">
        <f t="shared" si="8"/>
        <v>0.1271312847130262</v>
      </c>
      <c r="R17" s="100">
        <f t="shared" si="8"/>
        <v>0.11364484290033255</v>
      </c>
      <c r="S17" s="100">
        <f t="shared" si="8"/>
        <v>0.25146611904543847</v>
      </c>
      <c r="T17" s="79"/>
      <c r="U17" s="100">
        <f t="shared" si="7"/>
        <v>0.13758712272785661</v>
      </c>
    </row>
    <row r="18" spans="2:21" ht="15" customHeight="1" x14ac:dyDescent="0.2">
      <c r="B18" s="93" t="s">
        <v>12</v>
      </c>
      <c r="C18" s="101">
        <f>'Nat View - Data-Driven'!C18</f>
        <v>0.17841142091049092</v>
      </c>
      <c r="D18" s="101">
        <f>'Nat View - Data-Driven'!D18</f>
        <v>0.16576614011777902</v>
      </c>
      <c r="E18" s="101">
        <f>'Nat View - Data-Driven'!E18</f>
        <v>8.7735600019642646E-2</v>
      </c>
      <c r="F18" s="101">
        <f>'Nat View - Data-Driven'!F18</f>
        <v>0.19496123355955849</v>
      </c>
      <c r="G18" s="101">
        <f>'Nat View - Data-Driven'!G18</f>
        <v>0.12927223517600184</v>
      </c>
      <c r="H18" s="101">
        <f>'Nat View - Data-Driven'!H18</f>
        <v>0.12033628224965125</v>
      </c>
      <c r="I18" s="101">
        <f>'Nat View - Data-Driven'!I18</f>
        <v>0.12118049769423624</v>
      </c>
      <c r="J18" s="101">
        <f>'Nat View - Data-Driven'!J18</f>
        <v>9.4538332549951906E-2</v>
      </c>
      <c r="K18" s="101">
        <f>'Nat View - Data-Driven'!K18</f>
        <v>0.16041499448777996</v>
      </c>
      <c r="L18" s="101">
        <f>'Nat View - Data-Driven'!L18</f>
        <v>0.11049149223598738</v>
      </c>
      <c r="M18" s="101">
        <f>'Nat View - Data-Driven'!M18</f>
        <v>9.8512058859721238E-2</v>
      </c>
      <c r="N18" s="101">
        <f>'Nat View - Data-Driven'!N18</f>
        <v>0.16380225226010331</v>
      </c>
      <c r="P18" s="101">
        <f t="shared" si="8"/>
        <v>0.130464673959654</v>
      </c>
      <c r="Q18" s="101">
        <f t="shared" si="8"/>
        <v>0.14071991943780132</v>
      </c>
      <c r="R18" s="101">
        <f t="shared" si="8"/>
        <v>0.12861316138153725</v>
      </c>
      <c r="S18" s="101">
        <f t="shared" si="8"/>
        <v>0.12038368777580427</v>
      </c>
      <c r="T18" s="79"/>
      <c r="U18" s="101">
        <f t="shared" si="7"/>
        <v>0.12974534740309565</v>
      </c>
    </row>
    <row r="19" spans="2:21" ht="15" customHeight="1" x14ac:dyDescent="0.2">
      <c r="B19" s="94" t="s">
        <v>10</v>
      </c>
      <c r="C19" s="99">
        <f>'Nat View - Data-Driven'!C19</f>
        <v>0.25513485939404251</v>
      </c>
      <c r="D19" s="99">
        <f>'Nat View - Data-Driven'!D19</f>
        <v>0.13216248357945287</v>
      </c>
      <c r="E19" s="99">
        <f>'Nat View - Data-Driven'!E19</f>
        <v>0.1076882767868082</v>
      </c>
      <c r="F19" s="99">
        <f>'Nat View - Data-Driven'!F19</f>
        <v>0.15435124114687773</v>
      </c>
      <c r="G19" s="99">
        <f>'Nat View - Data-Driven'!G19</f>
        <v>0.11540937166472348</v>
      </c>
      <c r="H19" s="99">
        <f>'Nat View - Data-Driven'!H19</f>
        <v>9.0990282613901921E-2</v>
      </c>
      <c r="I19" s="99">
        <f>'Nat View - Data-Driven'!I19</f>
        <v>0.10240525647455437</v>
      </c>
      <c r="J19" s="99">
        <f>'Nat View - Data-Driven'!J19</f>
        <v>4.614145810641769E-2</v>
      </c>
      <c r="K19" s="99">
        <f>'Nat View - Data-Driven'!K19</f>
        <v>0.1553360702956525</v>
      </c>
      <c r="L19" s="99">
        <f>'Nat View - Data-Driven'!L19</f>
        <v>0.10728859254871663</v>
      </c>
      <c r="M19" s="99">
        <f>'Nat View - Data-Driven'!M19</f>
        <v>9.4760413813254091E-2</v>
      </c>
      <c r="N19" s="99">
        <f>'Nat View - Data-Driven'!N19</f>
        <v>0.16792263506510405</v>
      </c>
      <c r="P19" s="99">
        <f t="shared" si="8"/>
        <v>0.15120509726926629</v>
      </c>
      <c r="Q19" s="99">
        <f t="shared" si="8"/>
        <v>0.11265604738223021</v>
      </c>
      <c r="R19" s="99">
        <f t="shared" si="8"/>
        <v>0.10407931465914845</v>
      </c>
      <c r="S19" s="99">
        <f t="shared" si="8"/>
        <v>0.1173962875543655</v>
      </c>
      <c r="T19" s="79"/>
      <c r="U19" s="99">
        <f t="shared" si="7"/>
        <v>0.11722691700545769</v>
      </c>
    </row>
    <row r="20" spans="2:21" ht="15" customHeight="1" x14ac:dyDescent="0.2">
      <c r="B20" s="94" t="s">
        <v>11</v>
      </c>
      <c r="C20" s="99">
        <f>'Nat View - Data-Driven'!C20</f>
        <v>0.12962935061850114</v>
      </c>
      <c r="D20" s="99">
        <f>'Nat View - Data-Driven'!D20</f>
        <v>0.22162990628166296</v>
      </c>
      <c r="E20" s="99">
        <f>'Nat View - Data-Driven'!E20</f>
        <v>7.1151099980620497E-2</v>
      </c>
      <c r="F20" s="99">
        <f>'Nat View - Data-Driven'!F20</f>
        <v>0.30142985525591814</v>
      </c>
      <c r="G20" s="99">
        <f>'Nat View - Data-Driven'!G20</f>
        <v>0.15518917572289023</v>
      </c>
      <c r="H20" s="99">
        <f>'Nat View - Data-Driven'!H20</f>
        <v>0.21893770211245839</v>
      </c>
      <c r="I20" s="99">
        <f>'Nat View - Data-Driven'!I20</f>
        <v>0.18204304803596411</v>
      </c>
      <c r="J20" s="99">
        <f>'Nat View - Data-Driven'!J20</f>
        <v>0.48878717089143386</v>
      </c>
      <c r="K20" s="99">
        <f>'Nat View - Data-Driven'!K20</f>
        <v>0.17565371749587982</v>
      </c>
      <c r="L20" s="99">
        <f>'Nat View - Data-Driven'!L20</f>
        <v>0.11852986607525422</v>
      </c>
      <c r="M20" s="99">
        <f>'Nat View - Data-Driven'!M20</f>
        <v>0.11308842251708248</v>
      </c>
      <c r="N20" s="99">
        <f>'Nat View - Data-Driven'!N20</f>
        <v>0.15469245525238268</v>
      </c>
      <c r="P20" s="99">
        <f t="shared" si="8"/>
        <v>0.11338242115924385</v>
      </c>
      <c r="Q20" s="99">
        <f t="shared" si="8"/>
        <v>0.21417459729118007</v>
      </c>
      <c r="R20" s="99">
        <f t="shared" si="8"/>
        <v>0.22247610771242296</v>
      </c>
      <c r="S20" s="99">
        <f t="shared" si="8"/>
        <v>0.12896937871195249</v>
      </c>
      <c r="T20" s="79"/>
      <c r="U20" s="99">
        <f t="shared" si="7"/>
        <v>0.1571466607860838</v>
      </c>
    </row>
    <row r="21" spans="2:21" s="36" customFormat="1" ht="15" customHeight="1" x14ac:dyDescent="0.2">
      <c r="B21" s="19" t="s">
        <v>13</v>
      </c>
      <c r="C21" s="102">
        <f>'Nat View - Data-Driven'!C21</f>
        <v>0.15169917201438265</v>
      </c>
      <c r="D21" s="102">
        <f>'Nat View - Data-Driven'!D21</f>
        <v>3.1052479234059648E-2</v>
      </c>
      <c r="E21" s="102">
        <f>'Nat View - Data-Driven'!E21</f>
        <v>0.13756140402794095</v>
      </c>
      <c r="F21" s="102">
        <f>'Nat View - Data-Driven'!F21</f>
        <v>0.19289808628569899</v>
      </c>
      <c r="G21" s="102">
        <f>'Nat View - Data-Driven'!G21</f>
        <v>0.29362421360352814</v>
      </c>
      <c r="H21" s="102">
        <f>'Nat View - Data-Driven'!H21</f>
        <v>0.20370342944125933</v>
      </c>
      <c r="I21" s="102">
        <f>'Nat View - Data-Driven'!I21</f>
        <v>6.3543024716316024E-2</v>
      </c>
      <c r="J21" s="102">
        <f>'Nat View - Data-Driven'!J21</f>
        <v>0.11695201728276121</v>
      </c>
      <c r="K21" s="102">
        <f>'Nat View - Data-Driven'!K21</f>
        <v>0.10441280328015808</v>
      </c>
      <c r="L21" s="102">
        <f>'Nat View - Data-Driven'!L21</f>
        <v>0.1948682263338565</v>
      </c>
      <c r="M21" s="102">
        <f>'Nat View - Data-Driven'!M21</f>
        <v>0.23822191395150702</v>
      </c>
      <c r="N21" s="102">
        <f>'Nat View - Data-Driven'!N21</f>
        <v>0.15173049442597039</v>
      </c>
      <c r="P21" s="102">
        <f t="shared" si="8"/>
        <v>0.10706263053367782</v>
      </c>
      <c r="Q21" s="102">
        <f t="shared" si="8"/>
        <v>0.22711059484224291</v>
      </c>
      <c r="R21" s="102">
        <f t="shared" si="8"/>
        <v>9.6306284061393493E-2</v>
      </c>
      <c r="S21" s="102">
        <f t="shared" si="8"/>
        <v>0.18858200363024816</v>
      </c>
      <c r="T21" s="85"/>
      <c r="U21" s="102">
        <f t="shared" si="7"/>
        <v>0.1455903487896815</v>
      </c>
    </row>
    <row r="22" spans="2:21" ht="15" customHeight="1" x14ac:dyDescent="0.2">
      <c r="B22" s="95" t="s">
        <v>14</v>
      </c>
      <c r="C22" s="98">
        <f>'Nat View - Data-Driven'!C22</f>
        <v>9.9549306149495281E-2</v>
      </c>
      <c r="D22" s="98">
        <f>'Nat View - Data-Driven'!D22</f>
        <v>0.10960177195157539</v>
      </c>
      <c r="E22" s="98">
        <f>'Nat View - Data-Driven'!E22</f>
        <v>8.7049858779637571E-2</v>
      </c>
      <c r="F22" s="98">
        <f>'Nat View - Data-Driven'!F22</f>
        <v>0.13964829458312192</v>
      </c>
      <c r="G22" s="98">
        <f>'Nat View - Data-Driven'!G22</f>
        <v>0.11909489594017039</v>
      </c>
      <c r="H22" s="98">
        <f>'Nat View - Data-Driven'!H22</f>
        <v>0.1403396189289258</v>
      </c>
      <c r="I22" s="98">
        <f>'Nat View - Data-Driven'!I22</f>
        <v>9.3728128359109347E-2</v>
      </c>
      <c r="J22" s="98">
        <f>'Nat View - Data-Driven'!J22</f>
        <v>0.11182169263736468</v>
      </c>
      <c r="K22" s="98">
        <f>'Nat View - Data-Driven'!K22</f>
        <v>0.13724746376650401</v>
      </c>
      <c r="L22" s="98">
        <f>'Nat View - Data-Driven'!L22</f>
        <v>0.17259448997409876</v>
      </c>
      <c r="M22" s="98">
        <f>'Nat View - Data-Driven'!M22</f>
        <v>0.11871126583876601</v>
      </c>
      <c r="N22" s="98">
        <f>'Nat View - Data-Driven'!N22</f>
        <v>0.15411906819048526</v>
      </c>
      <c r="P22" s="98">
        <f t="shared" si="8"/>
        <v>0.11924881246290682</v>
      </c>
      <c r="Q22" s="98">
        <f t="shared" si="8"/>
        <v>0.16138461626597198</v>
      </c>
      <c r="R22" s="98">
        <f t="shared" si="8"/>
        <v>0.13939712586080016</v>
      </c>
      <c r="S22" s="98">
        <f t="shared" si="8"/>
        <v>0.1772969277453611</v>
      </c>
      <c r="T22" s="79"/>
      <c r="U22" s="98">
        <f t="shared" si="7"/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f>'Nat View - Data-Driven'!C25</f>
        <v>61883.925660884226</v>
      </c>
      <c r="D25" s="96">
        <f>'Nat View - Data-Driven'!D25</f>
        <v>159160.73774827071</v>
      </c>
      <c r="E25" s="96">
        <f>'Nat View - Data-Driven'!E25</f>
        <v>169489.24245703485</v>
      </c>
      <c r="F25" s="96">
        <f>'Nat View - Data-Driven'!F25</f>
        <v>155122.99135566823</v>
      </c>
      <c r="G25" s="96">
        <f>'Nat View - Data-Driven'!G25</f>
        <v>126816.78634141046</v>
      </c>
      <c r="H25" s="96">
        <f>'Nat View - Data-Driven'!H25</f>
        <v>295531.74398145801</v>
      </c>
      <c r="I25" s="96">
        <f>'Nat View - Data-Driven'!I25</f>
        <v>160983.74745994189</v>
      </c>
      <c r="J25" s="96">
        <f>'Nat View - Data-Driven'!J25</f>
        <v>194277.83000975178</v>
      </c>
      <c r="K25" s="96">
        <f>'Nat View - Data-Driven'!K25</f>
        <v>297900.98581084522</v>
      </c>
      <c r="L25" s="96">
        <f>'Nat View - Data-Driven'!L25</f>
        <v>274457.96139375068</v>
      </c>
      <c r="M25" s="96">
        <f>'Nat View - Data-Driven'!M25</f>
        <v>218469.0360571791</v>
      </c>
      <c r="N25" s="96">
        <f>'Nat View - Data-Driven'!N25</f>
        <v>360623.54582041199</v>
      </c>
      <c r="P25" s="96">
        <f t="shared" ref="P25:P32" si="9">SUM(C25:E25)</f>
        <v>390533.90586618974</v>
      </c>
      <c r="Q25" s="96">
        <f t="shared" ref="Q25:Q32" si="10">SUM(F25:H25)</f>
        <v>577471.52167853666</v>
      </c>
      <c r="R25" s="96">
        <f t="shared" ref="R25:R32" si="11">SUM(I25:K25)</f>
        <v>653162.56328053889</v>
      </c>
      <c r="S25" s="96">
        <f t="shared" ref="S25:S32" si="12">SUM(L25:N25)</f>
        <v>853550.54327134183</v>
      </c>
      <c r="T25" s="79"/>
      <c r="U25" s="96">
        <f t="shared" ref="U25:U32" si="13">SUM(P25:S25)</f>
        <v>2474718.534096607</v>
      </c>
    </row>
    <row r="26" spans="2:21" ht="15" customHeight="1" x14ac:dyDescent="0.2">
      <c r="B26" s="78" t="s">
        <v>10</v>
      </c>
      <c r="C26" s="81">
        <f>'Nat View - Data-Driven'!C26</f>
        <v>51480.562074912355</v>
      </c>
      <c r="D26" s="81">
        <f>'Nat View - Data-Driven'!D26</f>
        <v>135779.98247258135</v>
      </c>
      <c r="E26" s="81">
        <f>'Nat View - Data-Driven'!E26</f>
        <v>159918.04480336962</v>
      </c>
      <c r="F26" s="81">
        <f>'Nat View - Data-Driven'!F26</f>
        <v>138662.99548834653</v>
      </c>
      <c r="G26" s="81">
        <f>'Nat View - Data-Driven'!G26</f>
        <v>104620.7313082039</v>
      </c>
      <c r="H26" s="81">
        <f>'Nat View - Data-Driven'!H26</f>
        <v>219840.70237945591</v>
      </c>
      <c r="I26" s="81">
        <f>'Nat View - Data-Driven'!I26</f>
        <v>133425.72407601692</v>
      </c>
      <c r="J26" s="81">
        <f>'Nat View - Data-Driven'!J26</f>
        <v>152629.05258789225</v>
      </c>
      <c r="K26" s="81">
        <f>'Nat View - Data-Driven'!K26</f>
        <v>250391.45228471214</v>
      </c>
      <c r="L26" s="81">
        <f>'Nat View - Data-Driven'!L26</f>
        <v>194028.43613297411</v>
      </c>
      <c r="M26" s="81">
        <f>'Nat View - Data-Driven'!M26</f>
        <v>182431.62086281565</v>
      </c>
      <c r="N26" s="81">
        <f>'Nat View - Data-Driven'!N26</f>
        <v>294409.47153595876</v>
      </c>
      <c r="P26" s="81">
        <f t="shared" si="9"/>
        <v>347178.58935086336</v>
      </c>
      <c r="Q26" s="81">
        <f t="shared" si="10"/>
        <v>463124.42917600635</v>
      </c>
      <c r="R26" s="81">
        <f t="shared" si="11"/>
        <v>536446.22894862131</v>
      </c>
      <c r="S26" s="81">
        <f t="shared" si="12"/>
        <v>670869.52853174857</v>
      </c>
      <c r="T26" s="79"/>
      <c r="U26" s="81">
        <f t="shared" si="13"/>
        <v>2017618.7760072395</v>
      </c>
    </row>
    <row r="27" spans="2:21" ht="15" customHeight="1" x14ac:dyDescent="0.2">
      <c r="B27" s="78" t="s">
        <v>11</v>
      </c>
      <c r="C27" s="81">
        <f>'Nat View - Data-Driven'!C27</f>
        <v>10403.363585971867</v>
      </c>
      <c r="D27" s="81">
        <f>'Nat View - Data-Driven'!D27</f>
        <v>23380.755275689353</v>
      </c>
      <c r="E27" s="81">
        <f>'Nat View - Data-Driven'!E27</f>
        <v>9571.1976536652473</v>
      </c>
      <c r="F27" s="81">
        <f>'Nat View - Data-Driven'!F27</f>
        <v>16459.995867321704</v>
      </c>
      <c r="G27" s="81">
        <f>'Nat View - Data-Driven'!G27</f>
        <v>22196.055033206558</v>
      </c>
      <c r="H27" s="81">
        <f>'Nat View - Data-Driven'!H27</f>
        <v>75691.041602002122</v>
      </c>
      <c r="I27" s="81">
        <f>'Nat View - Data-Driven'!I27</f>
        <v>27558.023383924985</v>
      </c>
      <c r="J27" s="81">
        <f>'Nat View - Data-Driven'!J27</f>
        <v>41648.777421859515</v>
      </c>
      <c r="K27" s="81">
        <f>'Nat View - Data-Driven'!K27</f>
        <v>47509.533526133098</v>
      </c>
      <c r="L27" s="81">
        <f>'Nat View - Data-Driven'!L27</f>
        <v>80429.525260776558</v>
      </c>
      <c r="M27" s="81">
        <f>'Nat View - Data-Driven'!M27</f>
        <v>36037.415194363435</v>
      </c>
      <c r="N27" s="81">
        <f>'Nat View - Data-Driven'!N27</f>
        <v>66214.074284453251</v>
      </c>
      <c r="P27" s="81">
        <f t="shared" si="9"/>
        <v>43355.316515326471</v>
      </c>
      <c r="Q27" s="81">
        <f t="shared" si="10"/>
        <v>114347.09250253039</v>
      </c>
      <c r="R27" s="81">
        <f t="shared" si="11"/>
        <v>116716.33433191761</v>
      </c>
      <c r="S27" s="81">
        <f t="shared" si="12"/>
        <v>182681.01473959326</v>
      </c>
      <c r="T27" s="79"/>
      <c r="U27" s="81">
        <f t="shared" si="13"/>
        <v>457099.75808936777</v>
      </c>
    </row>
    <row r="28" spans="2:21" ht="15" customHeight="1" x14ac:dyDescent="0.2">
      <c r="B28" s="51" t="s">
        <v>12</v>
      </c>
      <c r="C28" s="96">
        <f>'Nat View - Data-Driven'!C28</f>
        <v>128701.40518728085</v>
      </c>
      <c r="D28" s="96">
        <f>'Nat View - Data-Driven'!D28</f>
        <v>98671.077310248656</v>
      </c>
      <c r="E28" s="96">
        <f>'Nat View - Data-Driven'!E28</f>
        <v>107442.56543639135</v>
      </c>
      <c r="F28" s="96">
        <f>'Nat View - Data-Driven'!F28</f>
        <v>138164.20773479133</v>
      </c>
      <c r="G28" s="96">
        <f>'Nat View - Data-Driven'!G28</f>
        <v>116841.03127030641</v>
      </c>
      <c r="H28" s="96">
        <f>'Nat View - Data-Driven'!H28</f>
        <v>165846.92805710511</v>
      </c>
      <c r="I28" s="96">
        <f>'Nat View - Data-Driven'!I28</f>
        <v>125694.51389591125</v>
      </c>
      <c r="J28" s="96">
        <f>'Nat View - Data-Driven'!J28</f>
        <v>72573.618142282081</v>
      </c>
      <c r="K28" s="96">
        <f>'Nat View - Data-Driven'!K28</f>
        <v>170834.80559265718</v>
      </c>
      <c r="L28" s="96">
        <f>'Nat View - Data-Driven'!L28</f>
        <v>108112.24558309035</v>
      </c>
      <c r="M28" s="96">
        <f>'Nat View - Data-Driven'!M28</f>
        <v>141156.93425612256</v>
      </c>
      <c r="N28" s="96">
        <f>'Nat View - Data-Driven'!N28</f>
        <v>154748.90054050187</v>
      </c>
      <c r="P28" s="96">
        <f t="shared" si="9"/>
        <v>334815.04793392087</v>
      </c>
      <c r="Q28" s="96">
        <f t="shared" si="10"/>
        <v>420852.16706220282</v>
      </c>
      <c r="R28" s="96">
        <f t="shared" si="11"/>
        <v>369102.93763085053</v>
      </c>
      <c r="S28" s="96">
        <f t="shared" si="12"/>
        <v>404018.08037971478</v>
      </c>
      <c r="T28" s="79"/>
      <c r="U28" s="96">
        <f t="shared" si="13"/>
        <v>1528788.233006689</v>
      </c>
    </row>
    <row r="29" spans="2:21" ht="15" customHeight="1" x14ac:dyDescent="0.2">
      <c r="B29" s="78" t="s">
        <v>10</v>
      </c>
      <c r="C29" s="81">
        <f>'Nat View - Data-Driven'!C29</f>
        <v>71536.531049930272</v>
      </c>
      <c r="D29" s="81">
        <f>'Nat View - Data-Driven'!D29</f>
        <v>49121.036313145531</v>
      </c>
      <c r="E29" s="81">
        <f>'Nat View - Data-Driven'!E29</f>
        <v>54597.812422630079</v>
      </c>
      <c r="F29" s="81">
        <f>'Nat View - Data-Driven'!F29</f>
        <v>79182.555876888538</v>
      </c>
      <c r="G29" s="81">
        <f>'Nat View - Data-Driven'!G29</f>
        <v>67959.831421896466</v>
      </c>
      <c r="H29" s="81">
        <f>'Nat View - Data-Driven'!H29</f>
        <v>96640.12725132065</v>
      </c>
      <c r="I29" s="81">
        <f>'Nat View - Data-Driven'!I29</f>
        <v>81177.706891109337</v>
      </c>
      <c r="J29" s="81">
        <f>'Nat View - Data-Driven'!J29</f>
        <v>31548.325412366608</v>
      </c>
      <c r="K29" s="81">
        <f>'Nat View - Data-Driven'!K29</f>
        <v>124073.45369685687</v>
      </c>
      <c r="L29" s="81">
        <f>'Nat View - Data-Driven'!L29</f>
        <v>75067.55691005812</v>
      </c>
      <c r="M29" s="81">
        <f>'Nat View - Data-Driven'!M29</f>
        <v>107987.54864470153</v>
      </c>
      <c r="N29" s="81">
        <f>'Nat View - Data-Driven'!N29</f>
        <v>109234.51802858953</v>
      </c>
      <c r="P29" s="81">
        <f t="shared" si="9"/>
        <v>175255.37978570588</v>
      </c>
      <c r="Q29" s="81">
        <f t="shared" si="10"/>
        <v>243782.51455010567</v>
      </c>
      <c r="R29" s="81">
        <f t="shared" si="11"/>
        <v>236799.48600033281</v>
      </c>
      <c r="S29" s="81">
        <f t="shared" si="12"/>
        <v>292289.62358334917</v>
      </c>
      <c r="T29" s="79"/>
      <c r="U29" s="81">
        <f t="shared" si="13"/>
        <v>948127.00391949352</v>
      </c>
    </row>
    <row r="30" spans="2:21" ht="15" customHeight="1" x14ac:dyDescent="0.2">
      <c r="B30" s="78" t="s">
        <v>11</v>
      </c>
      <c r="C30" s="81">
        <f>'Nat View - Data-Driven'!C30</f>
        <v>57164.874137350569</v>
      </c>
      <c r="D30" s="81">
        <f>'Nat View - Data-Driven'!D30</f>
        <v>49550.040997103133</v>
      </c>
      <c r="E30" s="81">
        <f>'Nat View - Data-Driven'!E30</f>
        <v>52844.75301376127</v>
      </c>
      <c r="F30" s="81">
        <f>'Nat View - Data-Driven'!F30</f>
        <v>58981.651857902798</v>
      </c>
      <c r="G30" s="81">
        <f>'Nat View - Data-Driven'!G30</f>
        <v>48881.199848409939</v>
      </c>
      <c r="H30" s="81">
        <f>'Nat View - Data-Driven'!H30</f>
        <v>69206.800805784471</v>
      </c>
      <c r="I30" s="81">
        <f>'Nat View - Data-Driven'!I30</f>
        <v>44516.807004801907</v>
      </c>
      <c r="J30" s="81">
        <f>'Nat View - Data-Driven'!J30</f>
        <v>41025.292729915476</v>
      </c>
      <c r="K30" s="81">
        <f>'Nat View - Data-Driven'!K30</f>
        <v>46761.351895800311</v>
      </c>
      <c r="L30" s="81">
        <f>'Nat View - Data-Driven'!L30</f>
        <v>33044.688673032222</v>
      </c>
      <c r="M30" s="81">
        <f>'Nat View - Data-Driven'!M30</f>
        <v>33169.385611421028</v>
      </c>
      <c r="N30" s="81">
        <f>'Nat View - Data-Driven'!N30</f>
        <v>45514.382511912328</v>
      </c>
      <c r="P30" s="81">
        <f t="shared" si="9"/>
        <v>159559.66814821499</v>
      </c>
      <c r="Q30" s="81">
        <f t="shared" si="10"/>
        <v>177069.65251209721</v>
      </c>
      <c r="R30" s="81">
        <f t="shared" si="11"/>
        <v>132303.45163051769</v>
      </c>
      <c r="S30" s="81">
        <f t="shared" si="12"/>
        <v>111728.45679636559</v>
      </c>
      <c r="T30" s="79"/>
      <c r="U30" s="81">
        <f t="shared" si="13"/>
        <v>580661.22908719548</v>
      </c>
    </row>
    <row r="31" spans="2:21" ht="15" customHeight="1" x14ac:dyDescent="0.2">
      <c r="B31" s="31" t="s">
        <v>13</v>
      </c>
      <c r="C31" s="97">
        <f>'Nat View - Data-Driven'!C31</f>
        <v>30137.579048021606</v>
      </c>
      <c r="D31" s="97">
        <f>'Nat View - Data-Driven'!D31</f>
        <v>10403.363585971869</v>
      </c>
      <c r="E31" s="97">
        <f>'Nat View - Data-Driven'!E31</f>
        <v>74861.317350601734</v>
      </c>
      <c r="F31" s="97">
        <f>'Nat View - Data-Driven'!F31</f>
        <v>37034.990701473849</v>
      </c>
      <c r="G31" s="97">
        <f>'Nat View - Data-Driven'!G31</f>
        <v>80928.313014331739</v>
      </c>
      <c r="H31" s="97">
        <f>'Nat View - Data-Driven'!H31</f>
        <v>102376.18641720551</v>
      </c>
      <c r="I31" s="97">
        <f>'Nat View - Data-Driven'!I31</f>
        <v>33169.385611421014</v>
      </c>
      <c r="J31" s="97">
        <f>'Nat View - Data-Driven'!J31</f>
        <v>64468.317147010028</v>
      </c>
      <c r="K31" s="97">
        <f>'Nat View - Data-Driven'!K31</f>
        <v>73695.890587781294</v>
      </c>
      <c r="L31" s="97">
        <f>'Nat View - Data-Driven'!L31</f>
        <v>103872.54967787114</v>
      </c>
      <c r="M31" s="97">
        <f>'Nat View - Data-Driven'!M31</f>
        <v>54991.349829461178</v>
      </c>
      <c r="N31" s="97">
        <f>'Nat View - Data-Driven'!N31</f>
        <v>60976.802872123619</v>
      </c>
      <c r="O31" s="36"/>
      <c r="P31" s="97">
        <f t="shared" si="9"/>
        <v>115402.25998459521</v>
      </c>
      <c r="Q31" s="97">
        <f t="shared" si="10"/>
        <v>220339.49013301107</v>
      </c>
      <c r="R31" s="97">
        <f t="shared" si="11"/>
        <v>171333.59334621235</v>
      </c>
      <c r="S31" s="97">
        <f t="shared" si="12"/>
        <v>219840.70237945591</v>
      </c>
      <c r="T31" s="85"/>
      <c r="U31" s="97">
        <f t="shared" si="13"/>
        <v>726916.04584327457</v>
      </c>
    </row>
    <row r="32" spans="2:21" ht="15" customHeight="1" x14ac:dyDescent="0.2">
      <c r="B32" s="52" t="s">
        <v>14</v>
      </c>
      <c r="C32" s="82">
        <f>'Nat View - Data-Driven'!C32</f>
        <v>220722.9098961867</v>
      </c>
      <c r="D32" s="82">
        <f>'Nat View - Data-Driven'!D32</f>
        <v>268235.17864449124</v>
      </c>
      <c r="E32" s="82">
        <f>'Nat View - Data-Driven'!E32</f>
        <v>351793.12524402793</v>
      </c>
      <c r="F32" s="82">
        <f>'Nat View - Data-Driven'!F32</f>
        <v>330322.1897919334</v>
      </c>
      <c r="G32" s="82">
        <f>'Nat View - Data-Driven'!G32</f>
        <v>324586.1306260486</v>
      </c>
      <c r="H32" s="82">
        <f>'Nat View - Data-Driven'!H32</f>
        <v>563754.85845576867</v>
      </c>
      <c r="I32" s="82">
        <f>'Nat View - Data-Driven'!I32</f>
        <v>319847.6469672742</v>
      </c>
      <c r="J32" s="82">
        <f>'Nat View - Data-Driven'!J32</f>
        <v>331319.76529904385</v>
      </c>
      <c r="K32" s="82">
        <f>'Nat View - Data-Driven'!K32</f>
        <v>542431.68199128367</v>
      </c>
      <c r="L32" s="82">
        <f>'Nat View - Data-Driven'!L32</f>
        <v>486442.75665471214</v>
      </c>
      <c r="M32" s="82">
        <f>'Nat View - Data-Driven'!M32</f>
        <v>414617.32014276285</v>
      </c>
      <c r="N32" s="82">
        <f>'Nat View - Data-Driven'!N32</f>
        <v>576349.24923303747</v>
      </c>
      <c r="P32" s="82">
        <f t="shared" si="9"/>
        <v>840751.21378470585</v>
      </c>
      <c r="Q32" s="82">
        <f t="shared" si="10"/>
        <v>1218663.1788737508</v>
      </c>
      <c r="R32" s="82">
        <f t="shared" si="11"/>
        <v>1193599.0942576015</v>
      </c>
      <c r="S32" s="82">
        <f t="shared" si="12"/>
        <v>1477409.3260305123</v>
      </c>
      <c r="T32" s="79"/>
      <c r="U32" s="82">
        <f t="shared" si="13"/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f>'Nat View - Data-Driven'!C34</f>
        <v>168</v>
      </c>
      <c r="D34" s="86">
        <f>'Nat View - Data-Driven'!D34</f>
        <v>160</v>
      </c>
      <c r="E34" s="86">
        <f>'Nat View - Data-Driven'!E34</f>
        <v>184</v>
      </c>
      <c r="F34" s="86">
        <f>'Nat View - Data-Driven'!F34</f>
        <v>160</v>
      </c>
      <c r="G34" s="86">
        <f>'Nat View - Data-Driven'!G34</f>
        <v>184</v>
      </c>
      <c r="H34" s="86">
        <f>'Nat View - Data-Driven'!H34</f>
        <v>168</v>
      </c>
      <c r="I34" s="86">
        <f>'Nat View - Data-Driven'!I34</f>
        <v>160</v>
      </c>
      <c r="J34" s="86">
        <f>'Nat View - Data-Driven'!J34</f>
        <v>184</v>
      </c>
      <c r="K34" s="86">
        <f>'Nat View - Data-Driven'!K34</f>
        <v>160</v>
      </c>
      <c r="L34" s="86">
        <f>'Nat View - Data-Driven'!L34</f>
        <v>176</v>
      </c>
      <c r="M34" s="86">
        <f>'Nat View - Data-Driven'!M34</f>
        <v>168</v>
      </c>
      <c r="N34" s="86">
        <f>'Nat View - Data-Driven'!N34</f>
        <v>168</v>
      </c>
      <c r="O34" s="38"/>
      <c r="P34" s="86">
        <f t="shared" ref="P34" si="14">SUM(C34:E34)</f>
        <v>512</v>
      </c>
      <c r="Q34" s="86">
        <f t="shared" ref="Q34" si="15">SUM(F34:H34)</f>
        <v>512</v>
      </c>
      <c r="R34" s="86">
        <f t="shared" ref="R34" si="16">SUM(I34:K34)</f>
        <v>504</v>
      </c>
      <c r="S34" s="86">
        <f t="shared" ref="S34" si="17">SUM(L34:N34)</f>
        <v>512</v>
      </c>
      <c r="T34" s="86"/>
      <c r="U34" s="86">
        <f t="shared" ref="U34" si="18">SUM(P34:S34)</f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f>'Nat View - Data-Driven'!C36</f>
        <v>16</v>
      </c>
      <c r="D36" s="103">
        <f>'Nat View - Data-Driven'!D36</f>
        <v>16</v>
      </c>
      <c r="E36" s="103">
        <f>'Nat View - Data-Driven'!E36</f>
        <v>16</v>
      </c>
      <c r="F36" s="103">
        <f>'Nat View - Data-Driven'!F36</f>
        <v>17</v>
      </c>
      <c r="G36" s="103">
        <f>'Nat View - Data-Driven'!G36</f>
        <v>18</v>
      </c>
      <c r="H36" s="103">
        <f>'Nat View - Data-Driven'!H36</f>
        <v>18</v>
      </c>
      <c r="I36" s="103">
        <f>'Nat View - Data-Driven'!I36</f>
        <v>18</v>
      </c>
      <c r="J36" s="103">
        <f>'Nat View - Data-Driven'!J36</f>
        <v>19</v>
      </c>
      <c r="K36" s="103">
        <f>'Nat View - Data-Driven'!K36</f>
        <v>19</v>
      </c>
      <c r="L36" s="103">
        <f>'Nat View - Data-Driven'!L36</f>
        <v>19</v>
      </c>
      <c r="M36" s="103">
        <f>'Nat View - Data-Driven'!M36</f>
        <v>19</v>
      </c>
      <c r="N36" s="103">
        <f>'Nat View - Data-Driven'!N36</f>
        <v>20</v>
      </c>
      <c r="O36" s="37"/>
      <c r="P36" s="103">
        <f>SUMPRODUCT(C36:E36,$C$41:$E$41)/SUM($C$41:$E$41)</f>
        <v>16</v>
      </c>
      <c r="Q36" s="103">
        <f>SUMPRODUCT(F36:H36,$F$41:$H$41)/SUM($F$41:$H$41)</f>
        <v>17.70064874884152</v>
      </c>
      <c r="R36" s="103">
        <f>SUMPRODUCT(I36:K36,$I$41:$K$41)/SUM($I$41:$K$41)</f>
        <v>18.694915254237287</v>
      </c>
      <c r="S36" s="103">
        <f>SUMPRODUCT(L36:N36,$L$41:$N$41)/SUM($L$41:$N$41)</f>
        <v>19.339270568278202</v>
      </c>
      <c r="T36" s="87"/>
      <c r="U36" s="103">
        <f>SUMPRODUCT(P36:S36,$P$41:$S$41)/SUM($P$41:$S$41)</f>
        <v>18.038498912362567</v>
      </c>
    </row>
    <row r="37" spans="2:21" ht="15" customHeight="1" x14ac:dyDescent="0.2">
      <c r="B37" s="51" t="s">
        <v>1</v>
      </c>
      <c r="C37" s="103">
        <f>'Nat View - Data-Driven'!C37</f>
        <v>225</v>
      </c>
      <c r="D37" s="103">
        <f>'Nat View - Data-Driven'!D37</f>
        <v>225</v>
      </c>
      <c r="E37" s="103">
        <f>'Nat View - Data-Driven'!E37</f>
        <v>225</v>
      </c>
      <c r="F37" s="103">
        <f>'Nat View - Data-Driven'!F37</f>
        <v>235</v>
      </c>
      <c r="G37" s="103">
        <f>'Nat View - Data-Driven'!G37</f>
        <v>235</v>
      </c>
      <c r="H37" s="103">
        <f>'Nat View - Data-Driven'!H37</f>
        <v>235</v>
      </c>
      <c r="I37" s="103">
        <f>'Nat View - Data-Driven'!I37</f>
        <v>235</v>
      </c>
      <c r="J37" s="103">
        <f>'Nat View - Data-Driven'!J37</f>
        <v>235</v>
      </c>
      <c r="K37" s="103">
        <f>'Nat View - Data-Driven'!K37</f>
        <v>235</v>
      </c>
      <c r="L37" s="103">
        <f>'Nat View - Data-Driven'!L37</f>
        <v>235</v>
      </c>
      <c r="M37" s="103">
        <f>'Nat View - Data-Driven'!M37</f>
        <v>235</v>
      </c>
      <c r="N37" s="103">
        <f>'Nat View - Data-Driven'!N37</f>
        <v>235</v>
      </c>
      <c r="O37" s="37"/>
      <c r="P37" s="103">
        <f>SUMPRODUCT(C37:E37,$C$41:$E$41)/SUM($C$41:$E$41)</f>
        <v>225</v>
      </c>
      <c r="Q37" s="103">
        <f>SUMPRODUCT(F37:H37,$F$41:$H$41)/SUM($F$41:$H$41)</f>
        <v>235</v>
      </c>
      <c r="R37" s="103">
        <f>SUMPRODUCT(I37:K37,$I$41:$K$41)/SUM($I$41:$K$41)</f>
        <v>235</v>
      </c>
      <c r="S37" s="103">
        <f>SUMPRODUCT(L37:N37,$L$41:$N$41)/SUM($L$41:$N$41)</f>
        <v>235</v>
      </c>
      <c r="T37" s="87"/>
      <c r="U37" s="103">
        <f>SUMPRODUCT(P37:S37,$P$41:$S$41)/SUM($P$41:$S$41)</f>
        <v>232.83360380401808</v>
      </c>
    </row>
    <row r="38" spans="2:21" ht="15" customHeight="1" x14ac:dyDescent="0.2">
      <c r="B38" s="51" t="s">
        <v>2</v>
      </c>
      <c r="C38" s="103">
        <f>'Nat View - Data-Driven'!C38</f>
        <v>128</v>
      </c>
      <c r="D38" s="103">
        <f>'Nat View - Data-Driven'!D38</f>
        <v>128</v>
      </c>
      <c r="E38" s="103">
        <f>'Nat View - Data-Driven'!E38</f>
        <v>128</v>
      </c>
      <c r="F38" s="103">
        <f>'Nat View - Data-Driven'!F38</f>
        <v>136</v>
      </c>
      <c r="G38" s="103">
        <f>'Nat View - Data-Driven'!G38</f>
        <v>144</v>
      </c>
      <c r="H38" s="103">
        <f>'Nat View - Data-Driven'!H38</f>
        <v>144</v>
      </c>
      <c r="I38" s="103">
        <f>'Nat View - Data-Driven'!I38</f>
        <v>144</v>
      </c>
      <c r="J38" s="103">
        <f>'Nat View - Data-Driven'!J38</f>
        <v>152</v>
      </c>
      <c r="K38" s="103">
        <f>'Nat View - Data-Driven'!K38</f>
        <v>152</v>
      </c>
      <c r="L38" s="103">
        <f>'Nat View - Data-Driven'!L38</f>
        <v>152</v>
      </c>
      <c r="M38" s="103">
        <f>'Nat View - Data-Driven'!M38</f>
        <v>152</v>
      </c>
      <c r="N38" s="103">
        <f>'Nat View - Data-Driven'!N38</f>
        <v>160</v>
      </c>
      <c r="O38" s="38"/>
      <c r="P38" s="103">
        <f>SUM(C38:E38)</f>
        <v>384</v>
      </c>
      <c r="Q38" s="103">
        <f>SUM(F38:H38)</f>
        <v>424</v>
      </c>
      <c r="R38" s="103">
        <f>SUM(I38:K38)</f>
        <v>448</v>
      </c>
      <c r="S38" s="103">
        <f>SUM(L38:N38)</f>
        <v>464</v>
      </c>
      <c r="T38" s="86"/>
      <c r="U38" s="103">
        <f>SUM(P38:S38)</f>
        <v>1720</v>
      </c>
    </row>
    <row r="39" spans="2:21" ht="15" customHeight="1" x14ac:dyDescent="0.2">
      <c r="B39" s="51" t="s">
        <v>3</v>
      </c>
      <c r="C39" s="84">
        <f>'Nat View - Data-Driven'!C39</f>
        <v>0.75</v>
      </c>
      <c r="D39" s="84">
        <f>'Nat View - Data-Driven'!D39</f>
        <v>0.75</v>
      </c>
      <c r="E39" s="84">
        <f>'Nat View - Data-Driven'!E39</f>
        <v>0.75</v>
      </c>
      <c r="F39" s="84">
        <f>'Nat View - Data-Driven'!F39</f>
        <v>0.75</v>
      </c>
      <c r="G39" s="84">
        <f>'Nat View - Data-Driven'!G39</f>
        <v>0.75</v>
      </c>
      <c r="H39" s="84">
        <f>'Nat View - Data-Driven'!H39</f>
        <v>0.75</v>
      </c>
      <c r="I39" s="84">
        <f>'Nat View - Data-Driven'!I39</f>
        <v>0.75</v>
      </c>
      <c r="J39" s="84">
        <f>'Nat View - Data-Driven'!J39</f>
        <v>0.75</v>
      </c>
      <c r="K39" s="84">
        <f>'Nat View - Data-Driven'!K39</f>
        <v>0.75</v>
      </c>
      <c r="L39" s="84">
        <f>'Nat View - Data-Driven'!L39</f>
        <v>0.75</v>
      </c>
      <c r="M39" s="84">
        <f>'Nat View - Data-Driven'!M39</f>
        <v>0.75</v>
      </c>
      <c r="N39" s="84">
        <f>'Nat View - Data-Driven'!N39</f>
        <v>0.75</v>
      </c>
      <c r="P39" s="84">
        <f t="shared" ref="P39:P40" si="19">SUMPRODUCT(C39:E39,$C$41:$E$41)/SUM($C$41:$E$41)</f>
        <v>0.75</v>
      </c>
      <c r="Q39" s="84">
        <f t="shared" ref="Q39:Q40" si="20">SUMPRODUCT(F39:H39,$F$41:$H$41)/SUM($F$41:$H$41)</f>
        <v>0.75</v>
      </c>
      <c r="R39" s="84">
        <f t="shared" ref="R39:R40" si="21">SUMPRODUCT(I39:K39,$I$41:$K$41)/SUM($I$41:$K$41)</f>
        <v>0.75</v>
      </c>
      <c r="S39" s="84">
        <f t="shared" ref="S39:S40" si="22">SUMPRODUCT(L39:N39,$L$41:$N$41)/SUM($L$41:$N$41)</f>
        <v>0.75</v>
      </c>
      <c r="T39" s="79"/>
      <c r="U39" s="84">
        <f t="shared" ref="U39:U40" si="23">SUMPRODUCT(P39:S39,$P$41:$S$41)/SUM($P$41:$S$41)</f>
        <v>0.75</v>
      </c>
    </row>
    <row r="40" spans="2:21" ht="15" customHeight="1" x14ac:dyDescent="0.2">
      <c r="B40" s="31" t="s">
        <v>6</v>
      </c>
      <c r="C40" s="104">
        <f>'Nat View - Data-Driven'!C40</f>
        <v>0.625</v>
      </c>
      <c r="D40" s="104">
        <f>'Nat View - Data-Driven'!D40</f>
        <v>0.625</v>
      </c>
      <c r="E40" s="104">
        <f>'Nat View - Data-Driven'!E40</f>
        <v>0.625</v>
      </c>
      <c r="F40" s="104">
        <f>'Nat View - Data-Driven'!F40</f>
        <v>0.625</v>
      </c>
      <c r="G40" s="104">
        <f>'Nat View - Data-Driven'!G40</f>
        <v>0.625</v>
      </c>
      <c r="H40" s="104">
        <f>'Nat View - Data-Driven'!H40</f>
        <v>0.625</v>
      </c>
      <c r="I40" s="104">
        <f>'Nat View - Data-Driven'!I40</f>
        <v>0.625</v>
      </c>
      <c r="J40" s="104">
        <f>'Nat View - Data-Driven'!J40</f>
        <v>0.625</v>
      </c>
      <c r="K40" s="104">
        <f>'Nat View - Data-Driven'!K40</f>
        <v>0.625</v>
      </c>
      <c r="L40" s="104">
        <f>'Nat View - Data-Driven'!L40</f>
        <v>0.625</v>
      </c>
      <c r="M40" s="104">
        <f>'Nat View - Data-Driven'!M40</f>
        <v>0.625</v>
      </c>
      <c r="N40" s="104">
        <f>'Nat View - Data-Driven'!N40</f>
        <v>0.625</v>
      </c>
      <c r="P40" s="104">
        <f t="shared" si="19"/>
        <v>0.625</v>
      </c>
      <c r="Q40" s="104">
        <f t="shared" si="20"/>
        <v>0.625</v>
      </c>
      <c r="R40" s="104">
        <f t="shared" si="21"/>
        <v>0.625</v>
      </c>
      <c r="S40" s="104">
        <f t="shared" si="22"/>
        <v>0.625</v>
      </c>
      <c r="T40" s="79"/>
      <c r="U40" s="104">
        <f t="shared" si="23"/>
        <v>0.625</v>
      </c>
    </row>
    <row r="41" spans="2:21" ht="15" customHeight="1" x14ac:dyDescent="0.2">
      <c r="B41" s="52" t="s">
        <v>25</v>
      </c>
      <c r="C41" s="82">
        <f>'Nat View - Data-Driven'!C41</f>
        <v>360000</v>
      </c>
      <c r="D41" s="82">
        <f>'Nat View - Data-Driven'!D41</f>
        <v>342000</v>
      </c>
      <c r="E41" s="82">
        <f>'Nat View - Data-Driven'!E41</f>
        <v>396000</v>
      </c>
      <c r="F41" s="82">
        <f>'Nat View - Data-Driven'!F41</f>
        <v>379525</v>
      </c>
      <c r="G41" s="82">
        <f>'Nat View - Data-Driven'!G41</f>
        <v>465300</v>
      </c>
      <c r="H41" s="82">
        <f>'Nat View - Data-Driven'!H41</f>
        <v>423000</v>
      </c>
      <c r="I41" s="82">
        <f>'Nat View - Data-Driven'!I41</f>
        <v>401850</v>
      </c>
      <c r="J41" s="82">
        <f>'Nat View - Data-Driven'!J41</f>
        <v>491150</v>
      </c>
      <c r="K41" s="82">
        <f>'Nat View - Data-Driven'!K41</f>
        <v>424175</v>
      </c>
      <c r="L41" s="82">
        <f>'Nat View - Data-Driven'!L41</f>
        <v>468825</v>
      </c>
      <c r="M41" s="82">
        <f>'Nat View - Data-Driven'!M41</f>
        <v>446500</v>
      </c>
      <c r="N41" s="82">
        <f>'Nat View - Data-Driven'!N41</f>
        <v>470000</v>
      </c>
      <c r="P41" s="82">
        <f>SUM(C41:E41)</f>
        <v>1098000</v>
      </c>
      <c r="Q41" s="82">
        <f>SUM(F41:H41)</f>
        <v>1267825</v>
      </c>
      <c r="R41" s="82">
        <f>SUM(I41:K41)</f>
        <v>1317175</v>
      </c>
      <c r="S41" s="82">
        <f>SUM(L41:N41)</f>
        <v>1385325</v>
      </c>
      <c r="T41" s="79"/>
      <c r="U41" s="82">
        <f>SUM(P41:S41)</f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f>'Nat View - Data-Driven'!C43</f>
        <v>5</v>
      </c>
      <c r="D43" s="103">
        <f>'Nat View - Data-Driven'!D43</f>
        <v>5</v>
      </c>
      <c r="E43" s="103">
        <f>'Nat View - Data-Driven'!E43</f>
        <v>5</v>
      </c>
      <c r="F43" s="103">
        <f>'Nat View - Data-Driven'!F43</f>
        <v>6</v>
      </c>
      <c r="G43" s="103">
        <f>'Nat View - Data-Driven'!G43</f>
        <v>6</v>
      </c>
      <c r="H43" s="103">
        <f>'Nat View - Data-Driven'!H43</f>
        <v>6</v>
      </c>
      <c r="I43" s="103">
        <f>'Nat View - Data-Driven'!I43</f>
        <v>6</v>
      </c>
      <c r="J43" s="103">
        <f>'Nat View - Data-Driven'!J43</f>
        <v>6</v>
      </c>
      <c r="K43" s="103">
        <f>'Nat View - Data-Driven'!K43</f>
        <v>6</v>
      </c>
      <c r="L43" s="103">
        <f>'Nat View - Data-Driven'!L43</f>
        <v>7</v>
      </c>
      <c r="M43" s="103">
        <f>'Nat View - Data-Driven'!M43</f>
        <v>7</v>
      </c>
      <c r="N43" s="103">
        <f>'Nat View - Data-Driven'!N43</f>
        <v>7</v>
      </c>
      <c r="P43" s="103">
        <f>SUMPRODUCT(C43:E43,$C$47:$E$47)/SUM($C$47:$E$47)</f>
        <v>5</v>
      </c>
      <c r="Q43" s="103">
        <f>SUMPRODUCT(F43:H43,$F$47:$H$47)/SUM($F$47:$H$47)</f>
        <v>6</v>
      </c>
      <c r="R43" s="103">
        <f>SUMPRODUCT(I43:K43,$I$47:$K$47)/SUM($I$47:$K$47)</f>
        <v>6</v>
      </c>
      <c r="S43" s="103">
        <f>SUMPRODUCT(L43:N43,$L$47:$N$47)/SUM($L$47:$N$47)</f>
        <v>7</v>
      </c>
      <c r="T43" s="87"/>
      <c r="U43" s="103">
        <f>SUMPRODUCT(P43:S43,$P$47:$S$47)/SUM($P$47:$S$47)</f>
        <v>6.0906966864910794</v>
      </c>
    </row>
    <row r="44" spans="2:21" ht="15" customHeight="1" x14ac:dyDescent="0.2">
      <c r="B44" s="51" t="s">
        <v>5</v>
      </c>
      <c r="C44" s="103">
        <f>'Nat View - Data-Driven'!C44</f>
        <v>315</v>
      </c>
      <c r="D44" s="103">
        <f>'Nat View - Data-Driven'!D44</f>
        <v>315</v>
      </c>
      <c r="E44" s="103">
        <f>'Nat View - Data-Driven'!E44</f>
        <v>315</v>
      </c>
      <c r="F44" s="103">
        <f>'Nat View - Data-Driven'!F44</f>
        <v>325</v>
      </c>
      <c r="G44" s="103">
        <f>'Nat View - Data-Driven'!G44</f>
        <v>325</v>
      </c>
      <c r="H44" s="103">
        <f>'Nat View - Data-Driven'!H44</f>
        <v>325</v>
      </c>
      <c r="I44" s="103">
        <f>'Nat View - Data-Driven'!I44</f>
        <v>325</v>
      </c>
      <c r="J44" s="103">
        <f>'Nat View - Data-Driven'!J44</f>
        <v>325</v>
      </c>
      <c r="K44" s="103">
        <f>'Nat View - Data-Driven'!K44</f>
        <v>325</v>
      </c>
      <c r="L44" s="103">
        <f>'Nat View - Data-Driven'!L44</f>
        <v>325</v>
      </c>
      <c r="M44" s="103">
        <f>'Nat View - Data-Driven'!M44</f>
        <v>325</v>
      </c>
      <c r="N44" s="103">
        <f>'Nat View - Data-Driven'!N44</f>
        <v>325</v>
      </c>
      <c r="P44" s="103">
        <f>SUMPRODUCT(C44:E44,$C$47:$E$47)/SUM($C$47:$E$47)</f>
        <v>315</v>
      </c>
      <c r="Q44" s="103">
        <f>SUMPRODUCT(F44:H44,$F$47:$H$47)/SUM($F$47:$H$47)</f>
        <v>325</v>
      </c>
      <c r="R44" s="103">
        <f>SUMPRODUCT(I44:K44,$I$47:$K$47)/SUM($I$47:$K$47)</f>
        <v>325</v>
      </c>
      <c r="S44" s="103">
        <f>SUMPRODUCT(L44:N44,$L$47:$N$47)/SUM($L$47:$N$47)</f>
        <v>325</v>
      </c>
      <c r="T44" s="87"/>
      <c r="U44" s="103">
        <f>SUMPRODUCT(P44:S44,$P$47:$S$47)/SUM($P$47:$S$47)</f>
        <v>322.95932455395069</v>
      </c>
    </row>
    <row r="45" spans="2:21" ht="15" customHeight="1" x14ac:dyDescent="0.2">
      <c r="B45" s="51" t="s">
        <v>2</v>
      </c>
      <c r="C45" s="103">
        <f>'Nat View - Data-Driven'!C45</f>
        <v>40</v>
      </c>
      <c r="D45" s="103">
        <f>'Nat View - Data-Driven'!D45</f>
        <v>40</v>
      </c>
      <c r="E45" s="103">
        <f>'Nat View - Data-Driven'!E45</f>
        <v>40</v>
      </c>
      <c r="F45" s="103">
        <f>'Nat View - Data-Driven'!F45</f>
        <v>48</v>
      </c>
      <c r="G45" s="103">
        <f>'Nat View - Data-Driven'!G45</f>
        <v>48</v>
      </c>
      <c r="H45" s="103">
        <f>'Nat View - Data-Driven'!H45</f>
        <v>48</v>
      </c>
      <c r="I45" s="103">
        <f>'Nat View - Data-Driven'!I45</f>
        <v>48</v>
      </c>
      <c r="J45" s="103">
        <f>'Nat View - Data-Driven'!J45</f>
        <v>48</v>
      </c>
      <c r="K45" s="103">
        <f>'Nat View - Data-Driven'!K45</f>
        <v>48</v>
      </c>
      <c r="L45" s="103">
        <f>'Nat View - Data-Driven'!L45</f>
        <v>56</v>
      </c>
      <c r="M45" s="103">
        <f>'Nat View - Data-Driven'!M45</f>
        <v>56</v>
      </c>
      <c r="N45" s="103">
        <f>'Nat View - Data-Driven'!N45</f>
        <v>56</v>
      </c>
      <c r="P45" s="103">
        <f>SUM(C45:E45)</f>
        <v>120</v>
      </c>
      <c r="Q45" s="103">
        <f>SUM(F45:H45)</f>
        <v>144</v>
      </c>
      <c r="R45" s="103">
        <f>SUM(I45:K45)</f>
        <v>144</v>
      </c>
      <c r="S45" s="103">
        <f>SUM(L45:N45)</f>
        <v>168</v>
      </c>
      <c r="T45" s="86"/>
      <c r="U45" s="103">
        <f>SUM(P45:S45)</f>
        <v>576</v>
      </c>
    </row>
    <row r="46" spans="2:21" ht="15" customHeight="1" x14ac:dyDescent="0.2">
      <c r="B46" s="31" t="s">
        <v>6</v>
      </c>
      <c r="C46" s="104">
        <f>'Nat View - Data-Driven'!C46</f>
        <v>0.375</v>
      </c>
      <c r="D46" s="104">
        <f>'Nat View - Data-Driven'!D46</f>
        <v>0.375</v>
      </c>
      <c r="E46" s="104">
        <f>'Nat View - Data-Driven'!E46</f>
        <v>0.375</v>
      </c>
      <c r="F46" s="104">
        <f>'Nat View - Data-Driven'!F46</f>
        <v>0.375</v>
      </c>
      <c r="G46" s="104">
        <f>'Nat View - Data-Driven'!G46</f>
        <v>0.375</v>
      </c>
      <c r="H46" s="104">
        <f>'Nat View - Data-Driven'!H46</f>
        <v>0.375</v>
      </c>
      <c r="I46" s="104">
        <f>'Nat View - Data-Driven'!I46</f>
        <v>0.375</v>
      </c>
      <c r="J46" s="104">
        <f>'Nat View - Data-Driven'!J46</f>
        <v>0.375</v>
      </c>
      <c r="K46" s="104">
        <f>'Nat View - Data-Driven'!K46</f>
        <v>0.375</v>
      </c>
      <c r="L46" s="104">
        <f>'Nat View - Data-Driven'!L46</f>
        <v>0.375</v>
      </c>
      <c r="M46" s="104">
        <f>'Nat View - Data-Driven'!M46</f>
        <v>0.375</v>
      </c>
      <c r="N46" s="104">
        <f>'Nat View - Data-Driven'!N46</f>
        <v>0.375</v>
      </c>
      <c r="P46" s="104">
        <f>SUMPRODUCT(C46:E46,$C$47:$E$47)/SUM($C$47:$E$47)</f>
        <v>0.375</v>
      </c>
      <c r="Q46" s="104">
        <f>SUMPRODUCT(F46:H46,$F$47:$H$47)/SUM($F$47:$H$47)</f>
        <v>0.375</v>
      </c>
      <c r="R46" s="104">
        <f>SUMPRODUCT(I46:K46,$I$47:$K$47)/SUM($I$47:$K$47)</f>
        <v>0.375</v>
      </c>
      <c r="S46" s="104">
        <f>SUMPRODUCT(L46:N46,$L$47:$N$47)/SUM($L$47:$N$47)</f>
        <v>0.375</v>
      </c>
      <c r="T46" s="79"/>
      <c r="U46" s="104">
        <f>SUMPRODUCT(P46:S46,$P$47:$S$47)/SUM($P$47:$S$47)</f>
        <v>0.375</v>
      </c>
    </row>
    <row r="47" spans="2:21" ht="15" customHeight="1" x14ac:dyDescent="0.2">
      <c r="B47" s="52" t="s">
        <v>25</v>
      </c>
      <c r="C47" s="82">
        <f>'Nat View - Data-Driven'!C47</f>
        <v>94500</v>
      </c>
      <c r="D47" s="82">
        <f>'Nat View - Data-Driven'!D47</f>
        <v>89775</v>
      </c>
      <c r="E47" s="82">
        <f>'Nat View - Data-Driven'!E47</f>
        <v>103950</v>
      </c>
      <c r="F47" s="82">
        <f>'Nat View - Data-Driven'!F47</f>
        <v>111150</v>
      </c>
      <c r="G47" s="82">
        <f>'Nat View - Data-Driven'!G47</f>
        <v>128700</v>
      </c>
      <c r="H47" s="82">
        <f>'Nat View - Data-Driven'!H47</f>
        <v>117000</v>
      </c>
      <c r="I47" s="82">
        <f>'Nat View - Data-Driven'!I47</f>
        <v>111150</v>
      </c>
      <c r="J47" s="82">
        <f>'Nat View - Data-Driven'!J47</f>
        <v>128700</v>
      </c>
      <c r="K47" s="82">
        <f>'Nat View - Data-Driven'!K47</f>
        <v>111150</v>
      </c>
      <c r="L47" s="82">
        <f>'Nat View - Data-Driven'!L47</f>
        <v>143325</v>
      </c>
      <c r="M47" s="82">
        <f>'Nat View - Data-Driven'!M47</f>
        <v>136500</v>
      </c>
      <c r="N47" s="82">
        <f>'Nat View - Data-Driven'!N47</f>
        <v>136500</v>
      </c>
      <c r="P47" s="82">
        <f>SUM(C47:E47)</f>
        <v>288225</v>
      </c>
      <c r="Q47" s="82">
        <f>SUM(F47:H47)</f>
        <v>356850</v>
      </c>
      <c r="R47" s="82">
        <f>SUM(I47:K47)</f>
        <v>351000</v>
      </c>
      <c r="S47" s="82">
        <f>SUM(L47:N47)</f>
        <v>416325</v>
      </c>
      <c r="T47" s="79"/>
      <c r="U47" s="82">
        <f>SUM(P47:S47)</f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f>'Nat View - Data-Driven'!C50</f>
        <v>0</v>
      </c>
      <c r="D50" s="96">
        <f>'Nat View - Data-Driven'!D50</f>
        <v>153190.23301159657</v>
      </c>
      <c r="E50" s="96">
        <f>'Nat View - Data-Driven'!E50</f>
        <v>169090.83155475667</v>
      </c>
      <c r="F50" s="96">
        <f>'Nat View - Data-Driven'!F50</f>
        <v>265251.83996901853</v>
      </c>
      <c r="G50" s="96">
        <f>'Nat View - Data-Driven'!G50</f>
        <v>163427.07720225363</v>
      </c>
      <c r="H50" s="96">
        <f>'Nat View - Data-Driven'!H50</f>
        <v>188303.63798161977</v>
      </c>
      <c r="I50" s="96">
        <f>'Nat View - Data-Driven'!I50</f>
        <v>277544.04009253083</v>
      </c>
      <c r="J50" s="96">
        <f>'Nat View - Data-Driven'!J50</f>
        <v>235773.56834553348</v>
      </c>
      <c r="K50" s="96">
        <f>'Nat View - Data-Driven'!K50</f>
        <v>204711.9448518455</v>
      </c>
      <c r="L50" s="96">
        <f>'Nat View - Data-Driven'!L50</f>
        <v>273062.85140419292</v>
      </c>
      <c r="M50" s="96">
        <f>'Nat View - Data-Driven'!M50</f>
        <v>194727.24305957937</v>
      </c>
      <c r="N50" s="96">
        <f>'Nat View - Data-Driven'!N50</f>
        <v>241311.15892998144</v>
      </c>
      <c r="P50" s="96">
        <f t="shared" ref="P50:P59" si="24">SUM(C50:E50)</f>
        <v>322281.06456635322</v>
      </c>
      <c r="Q50" s="96">
        <f t="shared" ref="Q50:Q59" si="25">SUM(F50:H50)</f>
        <v>616982.5551528919</v>
      </c>
      <c r="R50" s="96">
        <f t="shared" ref="R50:R59" si="26">SUM(I50:K50)</f>
        <v>718029.55328990985</v>
      </c>
      <c r="S50" s="96">
        <f t="shared" ref="S50:S59" si="27">SUM(L50:N50)</f>
        <v>709101.25339375366</v>
      </c>
      <c r="T50" s="79"/>
      <c r="U50" s="96">
        <f t="shared" ref="U50:U59" si="28">SUM(P50:S50)</f>
        <v>2366394.4264029087</v>
      </c>
    </row>
    <row r="51" spans="2:21" ht="15" customHeight="1" x14ac:dyDescent="0.2">
      <c r="B51" s="55" t="s">
        <v>67</v>
      </c>
      <c r="C51" s="96">
        <f>'Nat View - Data-Driven'!C51</f>
        <v>5500000</v>
      </c>
      <c r="D51" s="96">
        <f>'Nat View - Data-Driven'!D51</f>
        <v>5458749.9999999991</v>
      </c>
      <c r="E51" s="96">
        <f>'Nat View - Data-Driven'!E51</f>
        <v>5417809.3749999991</v>
      </c>
      <c r="F51" s="96">
        <f>'Nat View - Data-Driven'!F51</f>
        <v>5377175.8046874991</v>
      </c>
      <c r="G51" s="96">
        <f>'Nat View - Data-Driven'!G51</f>
        <v>5336846.9861523435</v>
      </c>
      <c r="H51" s="96">
        <f>'Nat View - Data-Driven'!H51</f>
        <v>5296820.6337562008</v>
      </c>
      <c r="I51" s="96">
        <f>'Nat View - Data-Driven'!I51</f>
        <v>5257094.4790030289</v>
      </c>
      <c r="J51" s="96">
        <f>'Nat View - Data-Driven'!J51</f>
        <v>5217666.2704105061</v>
      </c>
      <c r="K51" s="96">
        <f>'Nat View - Data-Driven'!K51</f>
        <v>5178533.7733824272</v>
      </c>
      <c r="L51" s="96">
        <f>'Nat View - Data-Driven'!L51</f>
        <v>5139694.7700820584</v>
      </c>
      <c r="M51" s="96">
        <f>'Nat View - Data-Driven'!M51</f>
        <v>5101147.0593064427</v>
      </c>
      <c r="N51" s="96">
        <f>'Nat View - Data-Driven'!N51</f>
        <v>5062888.456361644</v>
      </c>
      <c r="P51" s="96">
        <f t="shared" si="24"/>
        <v>16376559.375</v>
      </c>
      <c r="Q51" s="96">
        <f t="shared" si="25"/>
        <v>16010843.424596045</v>
      </c>
      <c r="R51" s="96">
        <f t="shared" si="26"/>
        <v>15653294.522795962</v>
      </c>
      <c r="S51" s="96">
        <f t="shared" si="27"/>
        <v>15303730.285750145</v>
      </c>
      <c r="T51" s="79"/>
      <c r="U51" s="96">
        <f t="shared" si="28"/>
        <v>63344427.608142152</v>
      </c>
    </row>
    <row r="52" spans="2:21" ht="15" customHeight="1" x14ac:dyDescent="0.2">
      <c r="B52" s="105" t="s">
        <v>70</v>
      </c>
      <c r="C52" s="81">
        <f>'Nat View - Data-Driven'!C52</f>
        <v>2530000</v>
      </c>
      <c r="D52" s="81">
        <f>'Nat View - Data-Driven'!D52</f>
        <v>2511024.9999999995</v>
      </c>
      <c r="E52" s="81">
        <f>'Nat View - Data-Driven'!E52</f>
        <v>2492192.3124999995</v>
      </c>
      <c r="F52" s="81">
        <f>'Nat View - Data-Driven'!F52</f>
        <v>2473500.8701562495</v>
      </c>
      <c r="G52" s="81">
        <f>'Nat View - Data-Driven'!G52</f>
        <v>2454949.6136300783</v>
      </c>
      <c r="H52" s="81">
        <f>'Nat View - Data-Driven'!H52</f>
        <v>2436537.4915278526</v>
      </c>
      <c r="I52" s="81">
        <f>'Nat View - Data-Driven'!I52</f>
        <v>2418263.4603413935</v>
      </c>
      <c r="J52" s="81">
        <f>'Nat View - Data-Driven'!J52</f>
        <v>2400126.4843888329</v>
      </c>
      <c r="K52" s="81">
        <f>'Nat View - Data-Driven'!K52</f>
        <v>2382125.5357559165</v>
      </c>
      <c r="L52" s="81">
        <f>'Nat View - Data-Driven'!L52</f>
        <v>2364259.5942377471</v>
      </c>
      <c r="M52" s="81">
        <f>'Nat View - Data-Driven'!M52</f>
        <v>2346527.6472809636</v>
      </c>
      <c r="N52" s="81">
        <f>'Nat View - Data-Driven'!N52</f>
        <v>2328928.6899263565</v>
      </c>
      <c r="P52" s="81">
        <f t="shared" si="24"/>
        <v>7533217.3125</v>
      </c>
      <c r="Q52" s="81">
        <f t="shared" si="25"/>
        <v>7364987.9753141804</v>
      </c>
      <c r="R52" s="81">
        <f t="shared" si="26"/>
        <v>7200515.4804861424</v>
      </c>
      <c r="S52" s="81">
        <f t="shared" si="27"/>
        <v>7039715.9314450677</v>
      </c>
      <c r="T52" s="79"/>
      <c r="U52" s="81">
        <f t="shared" si="28"/>
        <v>29138436.699745394</v>
      </c>
    </row>
    <row r="53" spans="2:21" ht="15" customHeight="1" x14ac:dyDescent="0.2">
      <c r="B53" s="105" t="s">
        <v>71</v>
      </c>
      <c r="C53" s="81">
        <f>'Nat View - Data-Driven'!C53</f>
        <v>2420000</v>
      </c>
      <c r="D53" s="81">
        <f>'Nat View - Data-Driven'!D53</f>
        <v>2401849.9999999995</v>
      </c>
      <c r="E53" s="81">
        <f>'Nat View - Data-Driven'!E53</f>
        <v>2383836.1249999995</v>
      </c>
      <c r="F53" s="81">
        <f>'Nat View - Data-Driven'!F53</f>
        <v>2365957.3540624995</v>
      </c>
      <c r="G53" s="81">
        <f>'Nat View - Data-Driven'!G53</f>
        <v>2348212.6739070313</v>
      </c>
      <c r="H53" s="81">
        <f>'Nat View - Data-Driven'!H53</f>
        <v>2330601.0788527285</v>
      </c>
      <c r="I53" s="81">
        <f>'Nat View - Data-Driven'!I53</f>
        <v>2313121.5707613328</v>
      </c>
      <c r="J53" s="81">
        <f>'Nat View - Data-Driven'!J53</f>
        <v>2295773.1589806229</v>
      </c>
      <c r="K53" s="81">
        <f>'Nat View - Data-Driven'!K53</f>
        <v>2278554.860288268</v>
      </c>
      <c r="L53" s="81">
        <f>'Nat View - Data-Driven'!L53</f>
        <v>2261465.6988361059</v>
      </c>
      <c r="M53" s="81">
        <f>'Nat View - Data-Driven'!M53</f>
        <v>2244504.706094835</v>
      </c>
      <c r="N53" s="81">
        <f>'Nat View - Data-Driven'!N53</f>
        <v>2227670.9207991236</v>
      </c>
      <c r="P53" s="81">
        <f t="shared" si="24"/>
        <v>7205686.125</v>
      </c>
      <c r="Q53" s="81">
        <f t="shared" si="25"/>
        <v>7044771.1068222597</v>
      </c>
      <c r="R53" s="81">
        <f t="shared" si="26"/>
        <v>6887449.5900302231</v>
      </c>
      <c r="S53" s="81">
        <f t="shared" si="27"/>
        <v>6733641.3257300649</v>
      </c>
      <c r="T53" s="79"/>
      <c r="U53" s="81">
        <f t="shared" si="28"/>
        <v>27871548.147582546</v>
      </c>
    </row>
    <row r="54" spans="2:21" ht="15" customHeight="1" x14ac:dyDescent="0.2">
      <c r="B54" s="105" t="s">
        <v>72</v>
      </c>
      <c r="C54" s="81">
        <f>'Nat View - Data-Driven'!C54</f>
        <v>385000.00000000006</v>
      </c>
      <c r="D54" s="81">
        <f>'Nat View - Data-Driven'!D54</f>
        <v>382112.5</v>
      </c>
      <c r="E54" s="81">
        <f>'Nat View - Data-Driven'!E54</f>
        <v>379246.65625</v>
      </c>
      <c r="F54" s="81">
        <f>'Nat View - Data-Driven'!F54</f>
        <v>376402.30632812495</v>
      </c>
      <c r="G54" s="81">
        <f>'Nat View - Data-Driven'!G54</f>
        <v>373579.28903066408</v>
      </c>
      <c r="H54" s="81">
        <f>'Nat View - Data-Driven'!H54</f>
        <v>370777.4443629341</v>
      </c>
      <c r="I54" s="81">
        <f>'Nat View - Data-Driven'!I54</f>
        <v>367996.61353021208</v>
      </c>
      <c r="J54" s="81">
        <f>'Nat View - Data-Driven'!J54</f>
        <v>365236.63892873545</v>
      </c>
      <c r="K54" s="81">
        <f>'Nat View - Data-Driven'!K54</f>
        <v>362497.36413676996</v>
      </c>
      <c r="L54" s="81">
        <f>'Nat View - Data-Driven'!L54</f>
        <v>359778.63390574412</v>
      </c>
      <c r="M54" s="81">
        <f>'Nat View - Data-Driven'!M54</f>
        <v>357080.29415145103</v>
      </c>
      <c r="N54" s="81">
        <f>'Nat View - Data-Driven'!N54</f>
        <v>354402.19194531511</v>
      </c>
      <c r="P54" s="81">
        <f t="shared" si="24"/>
        <v>1146359.15625</v>
      </c>
      <c r="Q54" s="81">
        <f t="shared" si="25"/>
        <v>1120759.0397217232</v>
      </c>
      <c r="R54" s="81">
        <f t="shared" si="26"/>
        <v>1095730.6165957174</v>
      </c>
      <c r="S54" s="81">
        <f t="shared" si="27"/>
        <v>1071261.1200025103</v>
      </c>
      <c r="T54" s="79"/>
      <c r="U54" s="81">
        <f t="shared" si="28"/>
        <v>4434109.9325699508</v>
      </c>
    </row>
    <row r="55" spans="2:21" ht="15" customHeight="1" x14ac:dyDescent="0.2">
      <c r="B55" s="105" t="s">
        <v>73</v>
      </c>
      <c r="C55" s="81">
        <f>'Nat View - Data-Driven'!C55</f>
        <v>165000</v>
      </c>
      <c r="D55" s="81">
        <f>'Nat View - Data-Driven'!D55</f>
        <v>163762.49999999997</v>
      </c>
      <c r="E55" s="81">
        <f>'Nat View - Data-Driven'!E55</f>
        <v>162534.28124999997</v>
      </c>
      <c r="F55" s="81">
        <f>'Nat View - Data-Driven'!F55</f>
        <v>161315.27414062497</v>
      </c>
      <c r="G55" s="81">
        <f>'Nat View - Data-Driven'!G55</f>
        <v>160105.4095845703</v>
      </c>
      <c r="H55" s="81">
        <f>'Nat View - Data-Driven'!H55</f>
        <v>158904.61901268602</v>
      </c>
      <c r="I55" s="81">
        <f>'Nat View - Data-Driven'!I55</f>
        <v>157712.83437009086</v>
      </c>
      <c r="J55" s="81">
        <f>'Nat View - Data-Driven'!J55</f>
        <v>156529.98811231519</v>
      </c>
      <c r="K55" s="81">
        <f>'Nat View - Data-Driven'!K55</f>
        <v>155356.01320147282</v>
      </c>
      <c r="L55" s="81">
        <f>'Nat View - Data-Driven'!L55</f>
        <v>154190.84310246175</v>
      </c>
      <c r="M55" s="81">
        <f>'Nat View - Data-Driven'!M55</f>
        <v>153034.41177919327</v>
      </c>
      <c r="N55" s="81">
        <f>'Nat View - Data-Driven'!N55</f>
        <v>151886.65369084931</v>
      </c>
      <c r="P55" s="81">
        <f t="shared" si="24"/>
        <v>491296.78125</v>
      </c>
      <c r="Q55" s="81">
        <f t="shared" si="25"/>
        <v>480325.30273788125</v>
      </c>
      <c r="R55" s="81">
        <f t="shared" si="26"/>
        <v>469598.83568387886</v>
      </c>
      <c r="S55" s="81">
        <f t="shared" si="27"/>
        <v>459111.9085725043</v>
      </c>
      <c r="T55" s="79"/>
      <c r="U55" s="81">
        <f t="shared" si="28"/>
        <v>1900332.8282442642</v>
      </c>
    </row>
    <row r="56" spans="2:21" ht="15" customHeight="1" x14ac:dyDescent="0.2">
      <c r="B56" s="55" t="s">
        <v>68</v>
      </c>
      <c r="C56" s="107">
        <f>'Nat View - Data-Driven'!C56</f>
        <v>454500</v>
      </c>
      <c r="D56" s="107">
        <f>'Nat View - Data-Driven'!D56</f>
        <v>431775</v>
      </c>
      <c r="E56" s="107">
        <f>'Nat View - Data-Driven'!E56</f>
        <v>499950</v>
      </c>
      <c r="F56" s="107">
        <f>'Nat View - Data-Driven'!F56</f>
        <v>490675</v>
      </c>
      <c r="G56" s="107">
        <f>'Nat View - Data-Driven'!G56</f>
        <v>594000</v>
      </c>
      <c r="H56" s="107">
        <f>'Nat View - Data-Driven'!H56</f>
        <v>540000</v>
      </c>
      <c r="I56" s="107">
        <f>'Nat View - Data-Driven'!I56</f>
        <v>513000</v>
      </c>
      <c r="J56" s="107">
        <f>'Nat View - Data-Driven'!J56</f>
        <v>619850</v>
      </c>
      <c r="K56" s="107">
        <f>'Nat View - Data-Driven'!K56</f>
        <v>535325</v>
      </c>
      <c r="L56" s="107">
        <f>'Nat View - Data-Driven'!L56</f>
        <v>612150</v>
      </c>
      <c r="M56" s="107">
        <f>'Nat View - Data-Driven'!M56</f>
        <v>583000</v>
      </c>
      <c r="N56" s="107">
        <f>'Nat View - Data-Driven'!N56</f>
        <v>606500</v>
      </c>
      <c r="P56" s="107">
        <f t="shared" si="24"/>
        <v>1386225</v>
      </c>
      <c r="Q56" s="107">
        <f t="shared" si="25"/>
        <v>1624675</v>
      </c>
      <c r="R56" s="107">
        <f t="shared" si="26"/>
        <v>1668175</v>
      </c>
      <c r="S56" s="107">
        <f t="shared" si="27"/>
        <v>1801650</v>
      </c>
      <c r="T56" s="79"/>
      <c r="U56" s="107">
        <f t="shared" si="28"/>
        <v>6480725</v>
      </c>
    </row>
    <row r="57" spans="2:21" ht="15" customHeight="1" x14ac:dyDescent="0.2">
      <c r="B57" s="105" t="s">
        <v>22</v>
      </c>
      <c r="C57" s="27">
        <f>'Nat View - Data-Driven'!C57</f>
        <v>360000</v>
      </c>
      <c r="D57" s="27">
        <f>'Nat View - Data-Driven'!D57</f>
        <v>342000</v>
      </c>
      <c r="E57" s="27">
        <f>'Nat View - Data-Driven'!E57</f>
        <v>396000</v>
      </c>
      <c r="F57" s="27">
        <f>'Nat View - Data-Driven'!F57</f>
        <v>379525</v>
      </c>
      <c r="G57" s="27">
        <f>'Nat View - Data-Driven'!G57</f>
        <v>465300</v>
      </c>
      <c r="H57" s="27">
        <f>'Nat View - Data-Driven'!H57</f>
        <v>423000</v>
      </c>
      <c r="I57" s="27">
        <f>'Nat View - Data-Driven'!I57</f>
        <v>401850</v>
      </c>
      <c r="J57" s="27">
        <f>'Nat View - Data-Driven'!J57</f>
        <v>491150</v>
      </c>
      <c r="K57" s="27">
        <f>'Nat View - Data-Driven'!K57</f>
        <v>424175</v>
      </c>
      <c r="L57" s="27">
        <f>'Nat View - Data-Driven'!L57</f>
        <v>468825</v>
      </c>
      <c r="M57" s="27">
        <f>'Nat View - Data-Driven'!M57</f>
        <v>446500</v>
      </c>
      <c r="N57" s="27">
        <f>'Nat View - Data-Driven'!N57</f>
        <v>470000</v>
      </c>
      <c r="P57" s="27">
        <f t="shared" si="24"/>
        <v>1098000</v>
      </c>
      <c r="Q57" s="27">
        <f t="shared" si="25"/>
        <v>1267825</v>
      </c>
      <c r="R57" s="27">
        <f t="shared" si="26"/>
        <v>1317175</v>
      </c>
      <c r="S57" s="27">
        <f t="shared" si="27"/>
        <v>1385325</v>
      </c>
      <c r="T57" s="79"/>
      <c r="U57" s="27">
        <f t="shared" si="28"/>
        <v>5068325</v>
      </c>
    </row>
    <row r="58" spans="2:21" ht="15" customHeight="1" x14ac:dyDescent="0.2">
      <c r="B58" s="69" t="s">
        <v>23</v>
      </c>
      <c r="C58" s="106">
        <f>'Nat View - Data-Driven'!C58</f>
        <v>94500</v>
      </c>
      <c r="D58" s="106">
        <f>'Nat View - Data-Driven'!D58</f>
        <v>89775</v>
      </c>
      <c r="E58" s="106">
        <f>'Nat View - Data-Driven'!E58</f>
        <v>103950</v>
      </c>
      <c r="F58" s="106">
        <f>'Nat View - Data-Driven'!F58</f>
        <v>111150</v>
      </c>
      <c r="G58" s="106">
        <f>'Nat View - Data-Driven'!G58</f>
        <v>128700</v>
      </c>
      <c r="H58" s="106">
        <f>'Nat View - Data-Driven'!H58</f>
        <v>117000</v>
      </c>
      <c r="I58" s="106">
        <f>'Nat View - Data-Driven'!I58</f>
        <v>111150</v>
      </c>
      <c r="J58" s="106">
        <f>'Nat View - Data-Driven'!J58</f>
        <v>128700</v>
      </c>
      <c r="K58" s="106">
        <f>'Nat View - Data-Driven'!K58</f>
        <v>111150</v>
      </c>
      <c r="L58" s="106">
        <f>'Nat View - Data-Driven'!L58</f>
        <v>143325</v>
      </c>
      <c r="M58" s="106">
        <f>'Nat View - Data-Driven'!M58</f>
        <v>136500</v>
      </c>
      <c r="N58" s="106">
        <f>'Nat View - Data-Driven'!N58</f>
        <v>136500</v>
      </c>
      <c r="P58" s="106">
        <f t="shared" si="24"/>
        <v>288225</v>
      </c>
      <c r="Q58" s="106">
        <f t="shared" si="25"/>
        <v>356850</v>
      </c>
      <c r="R58" s="106">
        <f t="shared" si="26"/>
        <v>351000</v>
      </c>
      <c r="S58" s="106">
        <f t="shared" si="27"/>
        <v>416325</v>
      </c>
      <c r="T58" s="79"/>
      <c r="U58" s="106">
        <f t="shared" si="28"/>
        <v>1412400</v>
      </c>
    </row>
    <row r="59" spans="2:21" ht="15" customHeight="1" x14ac:dyDescent="0.2">
      <c r="B59" s="52" t="s">
        <v>69</v>
      </c>
      <c r="C59" s="28">
        <f>'Nat View - Data-Driven'!C59</f>
        <v>5954500</v>
      </c>
      <c r="D59" s="28">
        <f>'Nat View - Data-Driven'!D59</f>
        <v>6043715.2330115959</v>
      </c>
      <c r="E59" s="28">
        <f>'Nat View - Data-Driven'!E59</f>
        <v>6086850.2065547556</v>
      </c>
      <c r="F59" s="28">
        <f>'Nat View - Data-Driven'!F59</f>
        <v>6133102.6446565175</v>
      </c>
      <c r="G59" s="28">
        <f>'Nat View - Data-Driven'!G59</f>
        <v>6094274.0633545974</v>
      </c>
      <c r="H59" s="28">
        <f>'Nat View - Data-Driven'!H59</f>
        <v>6025124.2717378205</v>
      </c>
      <c r="I59" s="28">
        <f>'Nat View - Data-Driven'!I59</f>
        <v>6047638.5190955596</v>
      </c>
      <c r="J59" s="28">
        <f>'Nat View - Data-Driven'!J59</f>
        <v>6073289.8387560397</v>
      </c>
      <c r="K59" s="28">
        <f>'Nat View - Data-Driven'!K59</f>
        <v>5918570.7182342727</v>
      </c>
      <c r="L59" s="28">
        <f>'Nat View - Data-Driven'!L59</f>
        <v>6024907.6214862512</v>
      </c>
      <c r="M59" s="28">
        <f>'Nat View - Data-Driven'!M59</f>
        <v>5878874.302366022</v>
      </c>
      <c r="N59" s="28">
        <f>'Nat View - Data-Driven'!N59</f>
        <v>5910699.6152916253</v>
      </c>
      <c r="P59" s="28">
        <f t="shared" si="24"/>
        <v>18085065.439566351</v>
      </c>
      <c r="Q59" s="28">
        <f t="shared" si="25"/>
        <v>18252500.979748935</v>
      </c>
      <c r="R59" s="28">
        <f t="shared" si="26"/>
        <v>18039499.076085873</v>
      </c>
      <c r="S59" s="28">
        <f t="shared" si="27"/>
        <v>17814481.539143898</v>
      </c>
      <c r="T59" s="79"/>
      <c r="U59" s="28">
        <f t="shared" si="28"/>
        <v>72191547.034545064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f>'Nat View - Data-Driven'!C62</f>
        <v>357270</v>
      </c>
      <c r="D62" s="26">
        <f>'Nat View - Data-Driven'!D62</f>
        <v>362622.91398069577</v>
      </c>
      <c r="E62" s="26">
        <f>'Nat View - Data-Driven'!E62</f>
        <v>365211.01239328535</v>
      </c>
      <c r="F62" s="26">
        <f>'Nat View - Data-Driven'!F62</f>
        <v>367986.15867939102</v>
      </c>
      <c r="G62" s="26">
        <f>'Nat View - Data-Driven'!G62</f>
        <v>365656.4438012758</v>
      </c>
      <c r="H62" s="26">
        <f>'Nat View - Data-Driven'!H62</f>
        <v>361507.4563042692</v>
      </c>
      <c r="I62" s="26">
        <f>'Nat View - Data-Driven'!I62</f>
        <v>362858.31114573358</v>
      </c>
      <c r="J62" s="26">
        <f>'Nat View - Data-Driven'!J62</f>
        <v>364397.39032536239</v>
      </c>
      <c r="K62" s="26">
        <f>'Nat View - Data-Driven'!K62</f>
        <v>355114.24309405632</v>
      </c>
      <c r="L62" s="26">
        <f>'Nat View - Data-Driven'!L62</f>
        <v>361494.45728917507</v>
      </c>
      <c r="M62" s="26">
        <f>'Nat View - Data-Driven'!M62</f>
        <v>352732.45814196131</v>
      </c>
      <c r="N62" s="26">
        <f>'Nat View - Data-Driven'!N62</f>
        <v>354641.97691749752</v>
      </c>
      <c r="P62" s="26">
        <f t="shared" ref="P62:P66" si="29">SUM(C62:E62)</f>
        <v>1085103.9263739812</v>
      </c>
      <c r="Q62" s="26">
        <f t="shared" ref="Q62:Q66" si="30">SUM(F62:H62)</f>
        <v>1095150.0587849361</v>
      </c>
      <c r="R62" s="26">
        <f t="shared" ref="R62:R66" si="31">SUM(I62:K62)</f>
        <v>1082369.9445651523</v>
      </c>
      <c r="S62" s="26">
        <f t="shared" ref="S62:S66" si="32">SUM(L62:N62)</f>
        <v>1068868.8923486338</v>
      </c>
      <c r="T62" s="79"/>
      <c r="U62" s="26">
        <f t="shared" ref="U62:U66" si="33">SUM(P62:S62)</f>
        <v>4331492.8220727034</v>
      </c>
    </row>
    <row r="63" spans="2:21" ht="15" customHeight="1" x14ac:dyDescent="0.2">
      <c r="B63" s="57" t="s">
        <v>45</v>
      </c>
      <c r="C63" s="26">
        <f>'Nat View - Data-Driven'!C63</f>
        <v>238180</v>
      </c>
      <c r="D63" s="26">
        <f>'Nat View - Data-Driven'!D63</f>
        <v>241748.60932046385</v>
      </c>
      <c r="E63" s="26">
        <f>'Nat View - Data-Driven'!E63</f>
        <v>243474.00826219024</v>
      </c>
      <c r="F63" s="26">
        <f>'Nat View - Data-Driven'!F63</f>
        <v>245324.10578626071</v>
      </c>
      <c r="G63" s="26">
        <f>'Nat View - Data-Driven'!G63</f>
        <v>243770.9625341839</v>
      </c>
      <c r="H63" s="26">
        <f>'Nat View - Data-Driven'!H63</f>
        <v>241004.97086951282</v>
      </c>
      <c r="I63" s="26">
        <f>'Nat View - Data-Driven'!I63</f>
        <v>241905.54076382238</v>
      </c>
      <c r="J63" s="26">
        <f>'Nat View - Data-Driven'!J63</f>
        <v>242931.59355024158</v>
      </c>
      <c r="K63" s="26">
        <f>'Nat View - Data-Driven'!K63</f>
        <v>236742.8287293709</v>
      </c>
      <c r="L63" s="26">
        <f>'Nat View - Data-Driven'!L63</f>
        <v>240996.30485945006</v>
      </c>
      <c r="M63" s="26">
        <f>'Nat View - Data-Driven'!M63</f>
        <v>235154.97209464089</v>
      </c>
      <c r="N63" s="26">
        <f>'Nat View - Data-Driven'!N63</f>
        <v>236427.98461166502</v>
      </c>
      <c r="P63" s="26">
        <f t="shared" si="29"/>
        <v>723402.61758265411</v>
      </c>
      <c r="Q63" s="26">
        <f t="shared" si="30"/>
        <v>730100.03918995743</v>
      </c>
      <c r="R63" s="26">
        <f t="shared" si="31"/>
        <v>721579.96304343478</v>
      </c>
      <c r="S63" s="26">
        <f t="shared" si="32"/>
        <v>712579.26156575594</v>
      </c>
      <c r="T63" s="79"/>
      <c r="U63" s="26">
        <f t="shared" si="33"/>
        <v>2887661.8813818023</v>
      </c>
    </row>
    <row r="64" spans="2:21" ht="15" customHeight="1" x14ac:dyDescent="0.2">
      <c r="B64" s="57" t="s">
        <v>74</v>
      </c>
      <c r="C64" s="26">
        <f>'Nat View - Data-Driven'!C64</f>
        <v>244134.5</v>
      </c>
      <c r="D64" s="26">
        <f>'Nat View - Data-Driven'!D64</f>
        <v>247792.32455347545</v>
      </c>
      <c r="E64" s="26">
        <f>'Nat View - Data-Driven'!E64</f>
        <v>249560.85846874499</v>
      </c>
      <c r="F64" s="26">
        <f>'Nat View - Data-Driven'!F64</f>
        <v>251457.20843091724</v>
      </c>
      <c r="G64" s="26">
        <f>'Nat View - Data-Driven'!G64</f>
        <v>249865.23659753852</v>
      </c>
      <c r="H64" s="26">
        <f>'Nat View - Data-Driven'!H64</f>
        <v>247030.09514125064</v>
      </c>
      <c r="I64" s="26">
        <f>'Nat View - Data-Driven'!I64</f>
        <v>247953.17928291796</v>
      </c>
      <c r="J64" s="26">
        <f>'Nat View - Data-Driven'!J64</f>
        <v>249004.88338899764</v>
      </c>
      <c r="K64" s="26">
        <f>'Nat View - Data-Driven'!K64</f>
        <v>242661.39944760519</v>
      </c>
      <c r="L64" s="26">
        <f>'Nat View - Data-Driven'!L64</f>
        <v>247021.21248093632</v>
      </c>
      <c r="M64" s="26">
        <f>'Nat View - Data-Driven'!M64</f>
        <v>241033.84639700691</v>
      </c>
      <c r="N64" s="26">
        <f>'Nat View - Data-Driven'!N64</f>
        <v>242338.68422695666</v>
      </c>
      <c r="P64" s="26">
        <f t="shared" si="29"/>
        <v>741487.6830222205</v>
      </c>
      <c r="Q64" s="26">
        <f t="shared" si="30"/>
        <v>748352.54016970634</v>
      </c>
      <c r="R64" s="26">
        <f t="shared" si="31"/>
        <v>739619.46211952087</v>
      </c>
      <c r="S64" s="26">
        <f t="shared" si="32"/>
        <v>730393.74310489988</v>
      </c>
      <c r="T64" s="79"/>
      <c r="U64" s="26">
        <f t="shared" si="33"/>
        <v>2959853.4284163476</v>
      </c>
    </row>
    <row r="65" spans="2:21" ht="15" customHeight="1" x14ac:dyDescent="0.2">
      <c r="B65" s="89" t="s">
        <v>75</v>
      </c>
      <c r="C65" s="32">
        <f>'Nat View - Data-Driven'!C65</f>
        <v>267952.5</v>
      </c>
      <c r="D65" s="32">
        <f>'Nat View - Data-Driven'!D65</f>
        <v>271967.1854855218</v>
      </c>
      <c r="E65" s="32">
        <f>'Nat View - Data-Driven'!E65</f>
        <v>273908.25929496397</v>
      </c>
      <c r="F65" s="32">
        <f>'Nat View - Data-Driven'!F65</f>
        <v>275989.61900954327</v>
      </c>
      <c r="G65" s="32">
        <f>'Nat View - Data-Driven'!G65</f>
        <v>274242.33285095688</v>
      </c>
      <c r="H65" s="32">
        <f>'Nat View - Data-Driven'!H65</f>
        <v>271130.59222820192</v>
      </c>
      <c r="I65" s="32">
        <f>'Nat View - Data-Driven'!I65</f>
        <v>272143.73335930018</v>
      </c>
      <c r="J65" s="32">
        <f>'Nat View - Data-Driven'!J65</f>
        <v>273298.0427440218</v>
      </c>
      <c r="K65" s="32">
        <f>'Nat View - Data-Driven'!K65</f>
        <v>266335.68232054228</v>
      </c>
      <c r="L65" s="32">
        <f>'Nat View - Data-Driven'!L65</f>
        <v>271120.84296688129</v>
      </c>
      <c r="M65" s="32">
        <f>'Nat View - Data-Driven'!M65</f>
        <v>264549.34360647097</v>
      </c>
      <c r="N65" s="32">
        <f>'Nat View - Data-Driven'!N65</f>
        <v>265981.48268812313</v>
      </c>
      <c r="P65" s="32">
        <f t="shared" si="29"/>
        <v>813827.9447804857</v>
      </c>
      <c r="Q65" s="32">
        <f t="shared" si="30"/>
        <v>821362.54408870207</v>
      </c>
      <c r="R65" s="32">
        <f t="shared" si="31"/>
        <v>811777.45842386421</v>
      </c>
      <c r="S65" s="32">
        <f t="shared" si="32"/>
        <v>801651.66926147533</v>
      </c>
      <c r="T65" s="79"/>
      <c r="U65" s="32">
        <f t="shared" si="33"/>
        <v>3248619.6165545275</v>
      </c>
    </row>
    <row r="66" spans="2:21" ht="15" customHeight="1" x14ac:dyDescent="0.2">
      <c r="B66" s="52" t="s">
        <v>46</v>
      </c>
      <c r="C66" s="28">
        <f>'Nat View - Data-Driven'!C66</f>
        <v>1107537</v>
      </c>
      <c r="D66" s="28">
        <f>'Nat View - Data-Driven'!D66</f>
        <v>1124131.033340157</v>
      </c>
      <c r="E66" s="28">
        <f>'Nat View - Data-Driven'!E66</f>
        <v>1132154.1384191846</v>
      </c>
      <c r="F66" s="28">
        <f>'Nat View - Data-Driven'!F66</f>
        <v>1140757.0919061122</v>
      </c>
      <c r="G66" s="28">
        <f>'Nat View - Data-Driven'!G66</f>
        <v>1133534.9757839551</v>
      </c>
      <c r="H66" s="28">
        <f>'Nat View - Data-Driven'!H66</f>
        <v>1120673.1145432345</v>
      </c>
      <c r="I66" s="28">
        <f>'Nat View - Data-Driven'!I66</f>
        <v>1124860.7645517741</v>
      </c>
      <c r="J66" s="28">
        <f>'Nat View - Data-Driven'!J66</f>
        <v>1129631.9100086235</v>
      </c>
      <c r="K66" s="28">
        <f>'Nat View - Data-Driven'!K66</f>
        <v>1100854.1535915746</v>
      </c>
      <c r="L66" s="28">
        <f>'Nat View - Data-Driven'!L66</f>
        <v>1120632.8175964428</v>
      </c>
      <c r="M66" s="28">
        <f>'Nat View - Data-Driven'!M66</f>
        <v>1093470.6202400802</v>
      </c>
      <c r="N66" s="28">
        <f>'Nat View - Data-Driven'!N66</f>
        <v>1099390.1284442423</v>
      </c>
      <c r="P66" s="28">
        <f t="shared" si="29"/>
        <v>3363822.1717593418</v>
      </c>
      <c r="Q66" s="28">
        <f t="shared" si="30"/>
        <v>3394965.1822333015</v>
      </c>
      <c r="R66" s="28">
        <f t="shared" si="31"/>
        <v>3355346.8281519725</v>
      </c>
      <c r="S66" s="28">
        <f t="shared" si="32"/>
        <v>3313493.5662807655</v>
      </c>
      <c r="T66" s="79"/>
      <c r="U66" s="28">
        <f t="shared" si="33"/>
        <v>13427627.748425381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f>'Nat View - Data-Driven'!C68</f>
        <v>45360</v>
      </c>
      <c r="D68" s="26">
        <f>'Nat View - Data-Driven'!D68</f>
        <v>43200</v>
      </c>
      <c r="E68" s="26">
        <f>'Nat View - Data-Driven'!E68</f>
        <v>49680</v>
      </c>
      <c r="F68" s="26">
        <f>'Nat View - Data-Driven'!F68</f>
        <v>47940</v>
      </c>
      <c r="G68" s="26">
        <f>'Nat View - Data-Driven'!G68</f>
        <v>58374</v>
      </c>
      <c r="H68" s="26">
        <f>'Nat View - Data-Driven'!H68</f>
        <v>53298</v>
      </c>
      <c r="I68" s="26">
        <f>'Nat View - Data-Driven'!I68</f>
        <v>50760</v>
      </c>
      <c r="J68" s="26">
        <f>'Nat View - Data-Driven'!J68</f>
        <v>61617</v>
      </c>
      <c r="K68" s="26">
        <f>'Nat View - Data-Driven'!K68</f>
        <v>53580</v>
      </c>
      <c r="L68" s="26">
        <f>'Nat View - Data-Driven'!L68</f>
        <v>58938</v>
      </c>
      <c r="M68" s="26">
        <f>'Nat View - Data-Driven'!M68</f>
        <v>56259</v>
      </c>
      <c r="N68" s="26">
        <f>'Nat View - Data-Driven'!N68</f>
        <v>59220</v>
      </c>
      <c r="P68" s="26">
        <f t="shared" ref="P68:P71" si="34">SUM(C68:E68)</f>
        <v>138240</v>
      </c>
      <c r="Q68" s="26">
        <f t="shared" ref="Q68:Q71" si="35">SUM(F68:H68)</f>
        <v>159612</v>
      </c>
      <c r="R68" s="26">
        <f t="shared" ref="R68:R71" si="36">SUM(I68:K68)</f>
        <v>165957</v>
      </c>
      <c r="S68" s="26">
        <f t="shared" ref="S68:S71" si="37">SUM(L68:N68)</f>
        <v>174417</v>
      </c>
      <c r="T68" s="79"/>
      <c r="U68" s="26">
        <f t="shared" ref="U68:U71" si="38">SUM(P68:S68)</f>
        <v>638226</v>
      </c>
    </row>
    <row r="69" spans="2:21" ht="15" customHeight="1" x14ac:dyDescent="0.2">
      <c r="B69" s="57" t="s">
        <v>77</v>
      </c>
      <c r="C69" s="26">
        <f>'Nat View - Data-Driven'!C69</f>
        <v>34398</v>
      </c>
      <c r="D69" s="26">
        <f>'Nat View - Data-Driven'!D69</f>
        <v>32760.000000000004</v>
      </c>
      <c r="E69" s="26">
        <f>'Nat View - Data-Driven'!E69</f>
        <v>37674</v>
      </c>
      <c r="F69" s="26">
        <f>'Nat View - Data-Driven'!F69</f>
        <v>40560</v>
      </c>
      <c r="G69" s="26">
        <f>'Nat View - Data-Driven'!G69</f>
        <v>46644</v>
      </c>
      <c r="H69" s="26">
        <f>'Nat View - Data-Driven'!H69</f>
        <v>42588</v>
      </c>
      <c r="I69" s="26">
        <f>'Nat View - Data-Driven'!I69</f>
        <v>40560</v>
      </c>
      <c r="J69" s="26">
        <f>'Nat View - Data-Driven'!J69</f>
        <v>46644</v>
      </c>
      <c r="K69" s="26">
        <f>'Nat View - Data-Driven'!K69</f>
        <v>40560</v>
      </c>
      <c r="L69" s="26">
        <f>'Nat View - Data-Driven'!L69</f>
        <v>52052</v>
      </c>
      <c r="M69" s="26">
        <f>'Nat View - Data-Driven'!M69</f>
        <v>49686</v>
      </c>
      <c r="N69" s="26">
        <f>'Nat View - Data-Driven'!N69</f>
        <v>49686</v>
      </c>
      <c r="P69" s="26">
        <f t="shared" si="34"/>
        <v>104832</v>
      </c>
      <c r="Q69" s="26">
        <f t="shared" si="35"/>
        <v>129792</v>
      </c>
      <c r="R69" s="26">
        <f t="shared" si="36"/>
        <v>127764</v>
      </c>
      <c r="S69" s="26">
        <f t="shared" si="37"/>
        <v>151424</v>
      </c>
      <c r="T69" s="79"/>
      <c r="U69" s="26">
        <f t="shared" si="38"/>
        <v>513812</v>
      </c>
    </row>
    <row r="70" spans="2:21" ht="15" customHeight="1" x14ac:dyDescent="0.2">
      <c r="B70" s="89" t="s">
        <v>27</v>
      </c>
      <c r="C70" s="32">
        <f>'Nat View - Data-Driven'!C70</f>
        <v>18382.827961391591</v>
      </c>
      <c r="D70" s="32">
        <f>'Nat View - Data-Driven'!D70</f>
        <v>20290.899786570801</v>
      </c>
      <c r="E70" s="32">
        <f>'Nat View - Data-Driven'!E70</f>
        <v>31830.220796282229</v>
      </c>
      <c r="F70" s="32">
        <f>'Nat View - Data-Driven'!F70</f>
        <v>19611.249264270435</v>
      </c>
      <c r="G70" s="32">
        <f>'Nat View - Data-Driven'!G70</f>
        <v>22596.436557794372</v>
      </c>
      <c r="H70" s="32">
        <f>'Nat View - Data-Driven'!H70</f>
        <v>33305.284811103702</v>
      </c>
      <c r="I70" s="32">
        <f>'Nat View - Data-Driven'!I70</f>
        <v>28292.828201464021</v>
      </c>
      <c r="J70" s="32">
        <f>'Nat View - Data-Driven'!J70</f>
        <v>24565.433382221461</v>
      </c>
      <c r="K70" s="32">
        <f>'Nat View - Data-Driven'!K70</f>
        <v>32767.542168503154</v>
      </c>
      <c r="L70" s="32">
        <f>'Nat View - Data-Driven'!L70</f>
        <v>23367.269167149523</v>
      </c>
      <c r="M70" s="32">
        <f>'Nat View - Data-Driven'!M70</f>
        <v>28957.339071597773</v>
      </c>
      <c r="N70" s="32">
        <f>'Nat View - Data-Driven'!N70</f>
        <v>31005.054876025319</v>
      </c>
      <c r="P70" s="32">
        <f t="shared" si="34"/>
        <v>70503.948544244617</v>
      </c>
      <c r="Q70" s="32">
        <f t="shared" si="35"/>
        <v>75512.970633168501</v>
      </c>
      <c r="R70" s="32">
        <f t="shared" si="36"/>
        <v>85625.803752188629</v>
      </c>
      <c r="S70" s="32">
        <f t="shared" si="37"/>
        <v>83329.663114772615</v>
      </c>
      <c r="T70" s="79"/>
      <c r="U70" s="32">
        <f t="shared" si="38"/>
        <v>314972.38604437432</v>
      </c>
    </row>
    <row r="71" spans="2:21" ht="15" customHeight="1" x14ac:dyDescent="0.2">
      <c r="B71" s="52" t="s">
        <v>24</v>
      </c>
      <c r="C71" s="28">
        <f>'Nat View - Data-Driven'!C71</f>
        <v>98140.827961391595</v>
      </c>
      <c r="D71" s="28">
        <f>'Nat View - Data-Driven'!D71</f>
        <v>96250.899786570808</v>
      </c>
      <c r="E71" s="28">
        <f>'Nat View - Data-Driven'!E71</f>
        <v>119184.22079628223</v>
      </c>
      <c r="F71" s="28">
        <f>'Nat View - Data-Driven'!F71</f>
        <v>108111.24926427043</v>
      </c>
      <c r="G71" s="28">
        <f>'Nat View - Data-Driven'!G71</f>
        <v>127614.43655779437</v>
      </c>
      <c r="H71" s="28">
        <f>'Nat View - Data-Driven'!H71</f>
        <v>129191.2848111037</v>
      </c>
      <c r="I71" s="28">
        <f>'Nat View - Data-Driven'!I71</f>
        <v>119612.82820146403</v>
      </c>
      <c r="J71" s="28">
        <f>'Nat View - Data-Driven'!J71</f>
        <v>132826.43338222147</v>
      </c>
      <c r="K71" s="28">
        <f>'Nat View - Data-Driven'!K71</f>
        <v>126907.54216850316</v>
      </c>
      <c r="L71" s="28">
        <f>'Nat View - Data-Driven'!L71</f>
        <v>134357.26916714953</v>
      </c>
      <c r="M71" s="28">
        <f>'Nat View - Data-Driven'!M71</f>
        <v>134902.33907159779</v>
      </c>
      <c r="N71" s="28">
        <f>'Nat View - Data-Driven'!N71</f>
        <v>139911.05487602533</v>
      </c>
      <c r="P71" s="28">
        <f t="shared" si="34"/>
        <v>313575.94854424463</v>
      </c>
      <c r="Q71" s="28">
        <f t="shared" si="35"/>
        <v>364916.97063316853</v>
      </c>
      <c r="R71" s="28">
        <f t="shared" si="36"/>
        <v>379346.80375218869</v>
      </c>
      <c r="S71" s="28">
        <f t="shared" si="37"/>
        <v>409170.66311477264</v>
      </c>
      <c r="T71" s="79"/>
      <c r="U71" s="28">
        <f t="shared" si="38"/>
        <v>1467010.3860443747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f>'Nat View - Data-Driven'!C73</f>
        <v>4748822.1720386082</v>
      </c>
      <c r="D73" s="28">
        <f>'Nat View - Data-Driven'!D73</f>
        <v>4823333.2998848679</v>
      </c>
      <c r="E73" s="28">
        <f>'Nat View - Data-Driven'!E73</f>
        <v>4835511.8473392883</v>
      </c>
      <c r="F73" s="28">
        <f>'Nat View - Data-Driven'!F73</f>
        <v>4884234.3034861349</v>
      </c>
      <c r="G73" s="28">
        <f>'Nat View - Data-Driven'!G73</f>
        <v>4833124.6510128481</v>
      </c>
      <c r="H73" s="28">
        <f>'Nat View - Data-Driven'!H73</f>
        <v>4775259.8723834828</v>
      </c>
      <c r="I73" s="28">
        <f>'Nat View - Data-Driven'!I73</f>
        <v>4803164.9263423206</v>
      </c>
      <c r="J73" s="28">
        <f>'Nat View - Data-Driven'!J73</f>
        <v>4810831.495365195</v>
      </c>
      <c r="K73" s="28">
        <f>'Nat View - Data-Driven'!K73</f>
        <v>4690809.0224741939</v>
      </c>
      <c r="L73" s="28">
        <f>'Nat View - Data-Driven'!L73</f>
        <v>4769917.5347226588</v>
      </c>
      <c r="M73" s="28">
        <f>'Nat View - Data-Driven'!M73</f>
        <v>4650501.3430543439</v>
      </c>
      <c r="N73" s="28">
        <f>'Nat View - Data-Driven'!N73</f>
        <v>4671398.4319713572</v>
      </c>
      <c r="P73" s="28">
        <f>P59-P66-P71</f>
        <v>14407667.319262765</v>
      </c>
      <c r="Q73" s="28">
        <f t="shared" ref="Q73:S73" si="39">Q59-Q66-Q71</f>
        <v>14492618.826882465</v>
      </c>
      <c r="R73" s="28">
        <f t="shared" si="39"/>
        <v>14304805.44418171</v>
      </c>
      <c r="S73" s="28">
        <f t="shared" si="39"/>
        <v>14091817.309748359</v>
      </c>
      <c r="T73" s="79"/>
      <c r="U73" s="28">
        <f t="shared" ref="U73" si="40">U59-U66-U71</f>
        <v>57296908.900075309</v>
      </c>
    </row>
    <row r="74" spans="2:21" ht="15" customHeight="1" x14ac:dyDescent="0.2">
      <c r="B74" s="52" t="s">
        <v>29</v>
      </c>
      <c r="C74" s="71">
        <f>'Nat View - Data-Driven'!C74</f>
        <v>0.79751820842028853</v>
      </c>
      <c r="D74" s="71">
        <f>'Nat View - Data-Driven'!D74</f>
        <v>0.79807421659100752</v>
      </c>
      <c r="E74" s="71">
        <f>'Nat View - Data-Driven'!E74</f>
        <v>0.7944193931587249</v>
      </c>
      <c r="F74" s="71">
        <f>'Nat View - Data-Driven'!F74</f>
        <v>0.79637250287039263</v>
      </c>
      <c r="G74" s="71">
        <f>'Nat View - Data-Driven'!G74</f>
        <v>0.79305994459206375</v>
      </c>
      <c r="H74" s="71">
        <f>'Nat View - Data-Driven'!H74</f>
        <v>0.792557905366848</v>
      </c>
      <c r="I74" s="71">
        <f>'Nat View - Data-Driven'!I74</f>
        <v>0.79422156452906623</v>
      </c>
      <c r="J74" s="71">
        <f>'Nat View - Data-Driven'!J74</f>
        <v>0.79212940977481361</v>
      </c>
      <c r="K74" s="71">
        <f>'Nat View - Data-Driven'!K74</f>
        <v>0.79255773831044718</v>
      </c>
      <c r="L74" s="71">
        <f>'Nat View - Data-Driven'!L74</f>
        <v>0.79169969639235638</v>
      </c>
      <c r="M74" s="71">
        <f>'Nat View - Data-Driven'!M74</f>
        <v>0.79105303224168189</v>
      </c>
      <c r="N74" s="71">
        <f>'Nat View - Data-Driven'!N74</f>
        <v>0.79032918876234881</v>
      </c>
      <c r="P74" s="71">
        <f>P73/P59</f>
        <v>0.79666105535575193</v>
      </c>
      <c r="Q74" s="71">
        <f t="shared" ref="Q74:U74" si="41">Q73/Q59</f>
        <v>0.79400728935513865</v>
      </c>
      <c r="R74" s="71">
        <f t="shared" si="41"/>
        <v>0.79297132275390769</v>
      </c>
      <c r="S74" s="71">
        <f t="shared" si="41"/>
        <v>0.79103157051100814</v>
      </c>
      <c r="T74" s="79"/>
      <c r="U74" s="71">
        <f t="shared" si="41"/>
        <v>0.79367891745909835</v>
      </c>
    </row>
    <row r="75" spans="2:21" ht="15" customHeight="1" x14ac:dyDescent="0.2">
      <c r="T75" s="79"/>
    </row>
    <row r="76" spans="2:21" ht="15" customHeight="1" x14ac:dyDescent="0.2">
      <c r="B76" s="52" t="s">
        <v>26</v>
      </c>
      <c r="T76" s="79"/>
    </row>
    <row r="77" spans="2:21" ht="15" customHeight="1" x14ac:dyDescent="0.2">
      <c r="B77" s="56" t="s">
        <v>47</v>
      </c>
      <c r="C77" s="26">
        <f>'Nat View - Data-Driven'!C77</f>
        <v>997378.75000000012</v>
      </c>
      <c r="D77" s="26">
        <f>'Nat View - Data-Driven'!D77</f>
        <v>1012322.3015294424</v>
      </c>
      <c r="E77" s="26">
        <f>'Nat View - Data-Driven'!E77</f>
        <v>1019547.4095979217</v>
      </c>
      <c r="F77" s="26">
        <f>'Nat View - Data-Driven'!F77</f>
        <v>1027294.6929799668</v>
      </c>
      <c r="G77" s="26">
        <f>'Nat View - Data-Driven'!G77</f>
        <v>1020790.9056118951</v>
      </c>
      <c r="H77" s="26">
        <f>'Nat View - Data-Driven'!H77</f>
        <v>1009208.315516085</v>
      </c>
      <c r="I77" s="26">
        <f>'Nat View - Data-Driven'!I77</f>
        <v>1012979.4519485063</v>
      </c>
      <c r="J77" s="26">
        <f>'Nat View - Data-Driven'!J77</f>
        <v>1017276.0479916367</v>
      </c>
      <c r="K77" s="26">
        <f>'Nat View - Data-Driven'!K77</f>
        <v>991360.59530424071</v>
      </c>
      <c r="L77" s="26">
        <f>'Nat View - Data-Driven'!L77</f>
        <v>1009172.0265989471</v>
      </c>
      <c r="M77" s="26">
        <f>'Nat View - Data-Driven'!M77</f>
        <v>984711.44564630871</v>
      </c>
      <c r="N77" s="26">
        <f>'Nat View - Data-Driven'!N77</f>
        <v>990042.18556134729</v>
      </c>
      <c r="P77" s="26">
        <f t="shared" ref="P77:P81" si="42">SUM(C77:E77)</f>
        <v>3029248.4611273641</v>
      </c>
      <c r="Q77" s="26">
        <f t="shared" ref="Q77:Q81" si="43">SUM(F77:H77)</f>
        <v>3057293.9141079467</v>
      </c>
      <c r="R77" s="26">
        <f t="shared" ref="R77:R81" si="44">SUM(I77:K77)</f>
        <v>3021616.0952443834</v>
      </c>
      <c r="S77" s="26">
        <f t="shared" ref="S77:S81" si="45">SUM(L77:N77)</f>
        <v>2983925.6578066032</v>
      </c>
      <c r="T77" s="79"/>
      <c r="U77" s="26">
        <f t="shared" ref="U77:U81" si="46">SUM(P77:S77)</f>
        <v>12092084.128286297</v>
      </c>
    </row>
    <row r="78" spans="2:21" ht="15" customHeight="1" x14ac:dyDescent="0.2">
      <c r="B78" s="56" t="s">
        <v>48</v>
      </c>
      <c r="C78" s="26">
        <f>'Nat View - Data-Driven'!C78</f>
        <v>595450</v>
      </c>
      <c r="D78" s="26">
        <f>'Nat View - Data-Driven'!D78</f>
        <v>604371.52330115961</v>
      </c>
      <c r="E78" s="26">
        <f>'Nat View - Data-Driven'!E78</f>
        <v>608685.02065547556</v>
      </c>
      <c r="F78" s="26">
        <f>'Nat View - Data-Driven'!F78</f>
        <v>613310.26446565182</v>
      </c>
      <c r="G78" s="26">
        <f>'Nat View - Data-Driven'!G78</f>
        <v>609427.40633545979</v>
      </c>
      <c r="H78" s="26">
        <f>'Nat View - Data-Driven'!H78</f>
        <v>602512.42717378202</v>
      </c>
      <c r="I78" s="26">
        <f>'Nat View - Data-Driven'!I78</f>
        <v>604763.85190955596</v>
      </c>
      <c r="J78" s="26">
        <f>'Nat View - Data-Driven'!J78</f>
        <v>607328.983875604</v>
      </c>
      <c r="K78" s="26">
        <f>'Nat View - Data-Driven'!K78</f>
        <v>591857.07182342734</v>
      </c>
      <c r="L78" s="26">
        <f>'Nat View - Data-Driven'!L78</f>
        <v>602490.7621486251</v>
      </c>
      <c r="M78" s="26">
        <f>'Nat View - Data-Driven'!M78</f>
        <v>587887.4302366022</v>
      </c>
      <c r="N78" s="26">
        <f>'Nat View - Data-Driven'!N78</f>
        <v>591069.9615291626</v>
      </c>
      <c r="P78" s="26">
        <f t="shared" si="42"/>
        <v>1808506.5439566351</v>
      </c>
      <c r="Q78" s="26">
        <f t="shared" si="43"/>
        <v>1825250.0979748936</v>
      </c>
      <c r="R78" s="26">
        <f t="shared" si="44"/>
        <v>1803949.9076085873</v>
      </c>
      <c r="S78" s="26">
        <f t="shared" si="45"/>
        <v>1781448.1539143901</v>
      </c>
      <c r="T78" s="79"/>
      <c r="U78" s="26">
        <f t="shared" si="46"/>
        <v>7219154.7034545057</v>
      </c>
    </row>
    <row r="79" spans="2:21" ht="15" customHeight="1" x14ac:dyDescent="0.2">
      <c r="B79" s="56" t="s">
        <v>49</v>
      </c>
      <c r="C79" s="26">
        <f>'Nat View - Data-Driven'!C79</f>
        <v>476360</v>
      </c>
      <c r="D79" s="26">
        <f>'Nat View - Data-Driven'!D79</f>
        <v>483497.21864092769</v>
      </c>
      <c r="E79" s="26">
        <f>'Nat View - Data-Driven'!E79</f>
        <v>486948.01652438048</v>
      </c>
      <c r="F79" s="26">
        <f>'Nat View - Data-Driven'!F79</f>
        <v>490648.21157252142</v>
      </c>
      <c r="G79" s="26">
        <f>'Nat View - Data-Driven'!G79</f>
        <v>487541.9250683678</v>
      </c>
      <c r="H79" s="26">
        <f>'Nat View - Data-Driven'!H79</f>
        <v>482009.94173902564</v>
      </c>
      <c r="I79" s="26">
        <f>'Nat View - Data-Driven'!I79</f>
        <v>483811.08152764477</v>
      </c>
      <c r="J79" s="26">
        <f>'Nat View - Data-Driven'!J79</f>
        <v>485863.18710048316</v>
      </c>
      <c r="K79" s="26">
        <f>'Nat View - Data-Driven'!K79</f>
        <v>473485.6574587418</v>
      </c>
      <c r="L79" s="26">
        <f>'Nat View - Data-Driven'!L79</f>
        <v>481992.60971890012</v>
      </c>
      <c r="M79" s="26">
        <f>'Nat View - Data-Driven'!M79</f>
        <v>470309.94418928178</v>
      </c>
      <c r="N79" s="26">
        <f>'Nat View - Data-Driven'!N79</f>
        <v>472855.96922333003</v>
      </c>
      <c r="P79" s="26">
        <f t="shared" si="42"/>
        <v>1446805.2351653082</v>
      </c>
      <c r="Q79" s="26">
        <f t="shared" si="43"/>
        <v>1460200.0783799149</v>
      </c>
      <c r="R79" s="26">
        <f t="shared" si="44"/>
        <v>1443159.9260868696</v>
      </c>
      <c r="S79" s="26">
        <f t="shared" si="45"/>
        <v>1425158.5231315119</v>
      </c>
      <c r="T79" s="79"/>
      <c r="U79" s="26">
        <f t="shared" si="46"/>
        <v>5775323.7627636045</v>
      </c>
    </row>
    <row r="80" spans="2:21" ht="15" customHeight="1" x14ac:dyDescent="0.2">
      <c r="B80" s="90" t="s">
        <v>50</v>
      </c>
      <c r="C80" s="32">
        <f>'Nat View - Data-Driven'!C80</f>
        <v>89317.5</v>
      </c>
      <c r="D80" s="32">
        <f>'Nat View - Data-Driven'!D80</f>
        <v>90655.728495173942</v>
      </c>
      <c r="E80" s="32">
        <f>'Nat View - Data-Driven'!E80</f>
        <v>91302.753098321336</v>
      </c>
      <c r="F80" s="32">
        <f>'Nat View - Data-Driven'!F80</f>
        <v>91996.539669847756</v>
      </c>
      <c r="G80" s="32">
        <f>'Nat View - Data-Driven'!G80</f>
        <v>91414.110950318951</v>
      </c>
      <c r="H80" s="32">
        <f>'Nat View - Data-Driven'!H80</f>
        <v>90376.864076067301</v>
      </c>
      <c r="I80" s="32">
        <f>'Nat View - Data-Driven'!I80</f>
        <v>90714.577786433394</v>
      </c>
      <c r="J80" s="32">
        <f>'Nat View - Data-Driven'!J80</f>
        <v>91099.347581340597</v>
      </c>
      <c r="K80" s="32">
        <f>'Nat View - Data-Driven'!K80</f>
        <v>88778.56077351408</v>
      </c>
      <c r="L80" s="32">
        <f>'Nat View - Data-Driven'!L80</f>
        <v>90373.614322293768</v>
      </c>
      <c r="M80" s="32">
        <f>'Nat View - Data-Driven'!M80</f>
        <v>88183.114535490327</v>
      </c>
      <c r="N80" s="32">
        <f>'Nat View - Data-Driven'!N80</f>
        <v>88660.494229374381</v>
      </c>
      <c r="P80" s="32">
        <f t="shared" si="42"/>
        <v>271275.98159349529</v>
      </c>
      <c r="Q80" s="32">
        <f t="shared" si="43"/>
        <v>273787.51469623402</v>
      </c>
      <c r="R80" s="32">
        <f t="shared" si="44"/>
        <v>270592.48614128807</v>
      </c>
      <c r="S80" s="32">
        <f t="shared" si="45"/>
        <v>267217.22308715846</v>
      </c>
      <c r="T80" s="79"/>
      <c r="U80" s="32">
        <f t="shared" si="46"/>
        <v>1082873.2055181758</v>
      </c>
    </row>
    <row r="81" spans="2:21" ht="15" customHeight="1" x14ac:dyDescent="0.2">
      <c r="B81" s="52" t="s">
        <v>51</v>
      </c>
      <c r="C81" s="28">
        <f>'Nat View - Data-Driven'!C81</f>
        <v>2158506.25</v>
      </c>
      <c r="D81" s="28">
        <f>'Nat View - Data-Driven'!D81</f>
        <v>2190846.7719667037</v>
      </c>
      <c r="E81" s="28">
        <f>'Nat View - Data-Driven'!E81</f>
        <v>2206483.1998760989</v>
      </c>
      <c r="F81" s="28">
        <f>'Nat View - Data-Driven'!F81</f>
        <v>2223249.7086879876</v>
      </c>
      <c r="G81" s="28">
        <f>'Nat View - Data-Driven'!G81</f>
        <v>2209174.3479660419</v>
      </c>
      <c r="H81" s="28">
        <f>'Nat View - Data-Driven'!H81</f>
        <v>2184107.5485049598</v>
      </c>
      <c r="I81" s="28">
        <f>'Nat View - Data-Driven'!I81</f>
        <v>2192268.9631721405</v>
      </c>
      <c r="J81" s="28">
        <f>'Nat View - Data-Driven'!J81</f>
        <v>2201567.5665490641</v>
      </c>
      <c r="K81" s="28">
        <f>'Nat View - Data-Driven'!K81</f>
        <v>2145481.8853599238</v>
      </c>
      <c r="L81" s="28">
        <f>'Nat View - Data-Driven'!L81</f>
        <v>2184029.0127887661</v>
      </c>
      <c r="M81" s="28">
        <f>'Nat View - Data-Driven'!M81</f>
        <v>2131091.9346076832</v>
      </c>
      <c r="N81" s="28">
        <f>'Nat View - Data-Driven'!N81</f>
        <v>2142628.6105432143</v>
      </c>
      <c r="P81" s="28">
        <f t="shared" si="42"/>
        <v>6555836.2218428021</v>
      </c>
      <c r="Q81" s="28">
        <f t="shared" si="43"/>
        <v>6616531.6051589893</v>
      </c>
      <c r="R81" s="28">
        <f t="shared" si="44"/>
        <v>6539318.4150811285</v>
      </c>
      <c r="S81" s="28">
        <f t="shared" si="45"/>
        <v>6457749.5579396635</v>
      </c>
      <c r="T81" s="79"/>
      <c r="U81" s="28">
        <f t="shared" si="46"/>
        <v>26169435.800022583</v>
      </c>
    </row>
    <row r="82" spans="2:21" ht="15" customHeight="1" x14ac:dyDescent="0.2">
      <c r="T82" s="79"/>
    </row>
    <row r="83" spans="2:21" ht="15" customHeight="1" x14ac:dyDescent="0.2">
      <c r="B83" s="56" t="s">
        <v>52</v>
      </c>
      <c r="C83" s="26">
        <f>'Nat View - Data-Driven'!C83</f>
        <v>893.17499999999995</v>
      </c>
      <c r="D83" s="26">
        <f>'Nat View - Data-Driven'!D83</f>
        <v>906.55728495173935</v>
      </c>
      <c r="E83" s="26">
        <f>'Nat View - Data-Driven'!E83</f>
        <v>913.0275309832133</v>
      </c>
      <c r="F83" s="26">
        <f>'Nat View - Data-Driven'!F83</f>
        <v>919.96539669847755</v>
      </c>
      <c r="G83" s="26">
        <f>'Nat View - Data-Driven'!G83</f>
        <v>914.14110950318957</v>
      </c>
      <c r="H83" s="26">
        <f>'Nat View - Data-Driven'!H83</f>
        <v>903.76864076067295</v>
      </c>
      <c r="I83" s="26">
        <f>'Nat View - Data-Driven'!I83</f>
        <v>907.14577786433381</v>
      </c>
      <c r="J83" s="26">
        <f>'Nat View - Data-Driven'!J83</f>
        <v>910.99347581340589</v>
      </c>
      <c r="K83" s="26">
        <f>'Nat View - Data-Driven'!K83</f>
        <v>887.78560773514084</v>
      </c>
      <c r="L83" s="26">
        <f>'Nat View - Data-Driven'!L83</f>
        <v>903.73614322293759</v>
      </c>
      <c r="M83" s="26">
        <f>'Nat View - Data-Driven'!M83</f>
        <v>881.83114535490324</v>
      </c>
      <c r="N83" s="26">
        <f>'Nat View - Data-Driven'!N83</f>
        <v>886.60494229374376</v>
      </c>
      <c r="P83" s="26">
        <f t="shared" ref="P83:P92" si="47">SUM(C83:E83)</f>
        <v>2712.7598159349527</v>
      </c>
      <c r="Q83" s="26">
        <f t="shared" ref="Q83:Q92" si="48">SUM(F83:H83)</f>
        <v>2737.8751469623403</v>
      </c>
      <c r="R83" s="26">
        <f t="shared" ref="R83:R92" si="49">SUM(I83:K83)</f>
        <v>2705.9248614128805</v>
      </c>
      <c r="S83" s="26">
        <f t="shared" ref="S83:S92" si="50">SUM(L83:N83)</f>
        <v>2672.1722308715844</v>
      </c>
      <c r="T83" s="79"/>
      <c r="U83" s="26">
        <f t="shared" ref="U83:U92" si="51">SUM(P83:S83)</f>
        <v>10828.732055181757</v>
      </c>
    </row>
    <row r="84" spans="2:21" ht="15" customHeight="1" x14ac:dyDescent="0.2">
      <c r="B84" s="56" t="s">
        <v>53</v>
      </c>
      <c r="C84" s="26">
        <f>'Nat View - Data-Driven'!C84</f>
        <v>1012.2650000000001</v>
      </c>
      <c r="D84" s="26">
        <f>'Nat View - Data-Driven'!D84</f>
        <v>1027.4315896119713</v>
      </c>
      <c r="E84" s="26">
        <f>'Nat View - Data-Driven'!E84</f>
        <v>1034.7645351143085</v>
      </c>
      <c r="F84" s="26">
        <f>'Nat View - Data-Driven'!F84</f>
        <v>1042.627449591608</v>
      </c>
      <c r="G84" s="26">
        <f>'Nat View - Data-Driven'!G84</f>
        <v>1036.0265907702817</v>
      </c>
      <c r="H84" s="26">
        <f>'Nat View - Data-Driven'!H84</f>
        <v>1024.2711261954296</v>
      </c>
      <c r="I84" s="26">
        <f>'Nat View - Data-Driven'!I84</f>
        <v>1028.0985482462452</v>
      </c>
      <c r="J84" s="26">
        <f>'Nat View - Data-Driven'!J84</f>
        <v>1032.4592725885268</v>
      </c>
      <c r="K84" s="26">
        <f>'Nat View - Data-Driven'!K84</f>
        <v>1006.1570220998265</v>
      </c>
      <c r="L84" s="26">
        <f>'Nat View - Data-Driven'!L84</f>
        <v>1024.2342956526627</v>
      </c>
      <c r="M84" s="26">
        <f>'Nat View - Data-Driven'!M84</f>
        <v>999.40863140222382</v>
      </c>
      <c r="N84" s="26">
        <f>'Nat View - Data-Driven'!N84</f>
        <v>1004.8189345995763</v>
      </c>
      <c r="P84" s="26">
        <f t="shared" si="47"/>
        <v>3074.4611247262801</v>
      </c>
      <c r="Q84" s="26">
        <f t="shared" si="48"/>
        <v>3102.9251665573192</v>
      </c>
      <c r="R84" s="26">
        <f t="shared" si="49"/>
        <v>3066.7148429345984</v>
      </c>
      <c r="S84" s="26">
        <f t="shared" si="50"/>
        <v>3028.4618616544631</v>
      </c>
      <c r="T84" s="79"/>
      <c r="U84" s="26">
        <f t="shared" si="51"/>
        <v>12272.56299587266</v>
      </c>
    </row>
    <row r="85" spans="2:21" ht="15" customHeight="1" x14ac:dyDescent="0.2">
      <c r="B85" s="56" t="s">
        <v>54</v>
      </c>
      <c r="C85" s="26">
        <f>'Nat View - Data-Driven'!C85</f>
        <v>297.72500000000002</v>
      </c>
      <c r="D85" s="26">
        <f>'Nat View - Data-Driven'!D85</f>
        <v>302.18576165057982</v>
      </c>
      <c r="E85" s="26">
        <f>'Nat View - Data-Driven'!E85</f>
        <v>304.34251032773778</v>
      </c>
      <c r="F85" s="26">
        <f>'Nat View - Data-Driven'!F85</f>
        <v>306.65513223282591</v>
      </c>
      <c r="G85" s="26">
        <f>'Nat View - Data-Driven'!G85</f>
        <v>304.71370316772988</v>
      </c>
      <c r="H85" s="26">
        <f>'Nat View - Data-Driven'!H85</f>
        <v>301.25621358689102</v>
      </c>
      <c r="I85" s="26">
        <f>'Nat View - Data-Driven'!I85</f>
        <v>302.38192595477801</v>
      </c>
      <c r="J85" s="26">
        <f>'Nat View - Data-Driven'!J85</f>
        <v>303.66449193780198</v>
      </c>
      <c r="K85" s="26">
        <f>'Nat View - Data-Driven'!K85</f>
        <v>295.92853591171365</v>
      </c>
      <c r="L85" s="26">
        <f>'Nat View - Data-Driven'!L85</f>
        <v>301.2453810743126</v>
      </c>
      <c r="M85" s="26">
        <f>'Nat View - Data-Driven'!M85</f>
        <v>293.9437151183011</v>
      </c>
      <c r="N85" s="26">
        <f>'Nat View - Data-Driven'!N85</f>
        <v>295.53498076458129</v>
      </c>
      <c r="P85" s="26">
        <f t="shared" si="47"/>
        <v>904.25327197831757</v>
      </c>
      <c r="Q85" s="26">
        <f t="shared" si="48"/>
        <v>912.6250489874468</v>
      </c>
      <c r="R85" s="26">
        <f t="shared" si="49"/>
        <v>901.97495380429359</v>
      </c>
      <c r="S85" s="26">
        <f t="shared" si="50"/>
        <v>890.72407695719505</v>
      </c>
      <c r="T85" s="79"/>
      <c r="U85" s="26">
        <f t="shared" si="51"/>
        <v>3609.5773517272532</v>
      </c>
    </row>
    <row r="86" spans="2:21" ht="15" customHeight="1" x14ac:dyDescent="0.2">
      <c r="B86" s="56" t="s">
        <v>55</v>
      </c>
      <c r="C86" s="26">
        <f>'Nat View - Data-Driven'!C86</f>
        <v>14886.25</v>
      </c>
      <c r="D86" s="26">
        <f>'Nat View - Data-Driven'!D86</f>
        <v>15109.28808252899</v>
      </c>
      <c r="E86" s="26">
        <f>'Nat View - Data-Driven'!E86</f>
        <v>15217.12551638689</v>
      </c>
      <c r="F86" s="26">
        <f>'Nat View - Data-Driven'!F86</f>
        <v>15332.756611641295</v>
      </c>
      <c r="G86" s="26">
        <f>'Nat View - Data-Driven'!G86</f>
        <v>15235.685158386494</v>
      </c>
      <c r="H86" s="26">
        <f>'Nat View - Data-Driven'!H86</f>
        <v>15062.810679344551</v>
      </c>
      <c r="I86" s="26">
        <f>'Nat View - Data-Driven'!I86</f>
        <v>15119.096297738899</v>
      </c>
      <c r="J86" s="26">
        <f>'Nat View - Data-Driven'!J86</f>
        <v>15183.224596890099</v>
      </c>
      <c r="K86" s="26">
        <f>'Nat View - Data-Driven'!K86</f>
        <v>14796.426795585681</v>
      </c>
      <c r="L86" s="26">
        <f>'Nat View - Data-Driven'!L86</f>
        <v>15062.269053715629</v>
      </c>
      <c r="M86" s="26">
        <f>'Nat View - Data-Driven'!M86</f>
        <v>14697.185755915056</v>
      </c>
      <c r="N86" s="26">
        <f>'Nat View - Data-Driven'!N86</f>
        <v>14776.749038229063</v>
      </c>
      <c r="P86" s="26">
        <f t="shared" si="47"/>
        <v>45212.663598915882</v>
      </c>
      <c r="Q86" s="26">
        <f t="shared" si="48"/>
        <v>45631.252449372339</v>
      </c>
      <c r="R86" s="26">
        <f t="shared" si="49"/>
        <v>45098.747690214674</v>
      </c>
      <c r="S86" s="26">
        <f t="shared" si="50"/>
        <v>44536.203847859746</v>
      </c>
      <c r="T86" s="79"/>
      <c r="U86" s="26">
        <f t="shared" si="51"/>
        <v>180478.86758636264</v>
      </c>
    </row>
    <row r="87" spans="2:21" ht="15" customHeight="1" x14ac:dyDescent="0.2">
      <c r="B87" s="56" t="s">
        <v>56</v>
      </c>
      <c r="C87" s="26">
        <f>'Nat View - Data-Driven'!C87</f>
        <v>20840.75</v>
      </c>
      <c r="D87" s="26">
        <f>'Nat View - Data-Driven'!D87</f>
        <v>21153.003315540587</v>
      </c>
      <c r="E87" s="26">
        <f>'Nat View - Data-Driven'!E87</f>
        <v>21303.975722941646</v>
      </c>
      <c r="F87" s="26">
        <f>'Nat View - Data-Driven'!F87</f>
        <v>21465.859256297812</v>
      </c>
      <c r="G87" s="26">
        <f>'Nat View - Data-Driven'!G87</f>
        <v>21329.95922174109</v>
      </c>
      <c r="H87" s="26">
        <f>'Nat View - Data-Driven'!H87</f>
        <v>21087.93495108237</v>
      </c>
      <c r="I87" s="26">
        <f>'Nat View - Data-Driven'!I87</f>
        <v>21166.734816834458</v>
      </c>
      <c r="J87" s="26">
        <f>'Nat View - Data-Driven'!J87</f>
        <v>21256.514435646139</v>
      </c>
      <c r="K87" s="26">
        <f>'Nat View - Data-Driven'!K87</f>
        <v>20714.997513819955</v>
      </c>
      <c r="L87" s="26">
        <f>'Nat View - Data-Driven'!L87</f>
        <v>21087.176675201881</v>
      </c>
      <c r="M87" s="26">
        <f>'Nat View - Data-Driven'!M87</f>
        <v>20576.060058281077</v>
      </c>
      <c r="N87" s="26">
        <f>'Nat View - Data-Driven'!N87</f>
        <v>20687.448653520689</v>
      </c>
      <c r="P87" s="26">
        <f t="shared" si="47"/>
        <v>63297.729038482226</v>
      </c>
      <c r="Q87" s="26">
        <f t="shared" si="48"/>
        <v>63883.753429121265</v>
      </c>
      <c r="R87" s="26">
        <f t="shared" si="49"/>
        <v>63138.246766300552</v>
      </c>
      <c r="S87" s="26">
        <f t="shared" si="50"/>
        <v>62350.68538700365</v>
      </c>
      <c r="U87" s="26">
        <f t="shared" si="51"/>
        <v>252670.41462090769</v>
      </c>
    </row>
    <row r="88" spans="2:21" ht="15" customHeight="1" x14ac:dyDescent="0.2">
      <c r="B88" s="56" t="s">
        <v>57</v>
      </c>
      <c r="C88" s="26">
        <f>'Nat View - Data-Driven'!C88</f>
        <v>2977.25</v>
      </c>
      <c r="D88" s="26">
        <f>'Nat View - Data-Driven'!D88</f>
        <v>3021.857616505798</v>
      </c>
      <c r="E88" s="26">
        <f>'Nat View - Data-Driven'!E88</f>
        <v>3043.4251032773777</v>
      </c>
      <c r="F88" s="26">
        <f>'Nat View - Data-Driven'!F88</f>
        <v>3066.5513223282587</v>
      </c>
      <c r="G88" s="26">
        <f>'Nat View - Data-Driven'!G88</f>
        <v>3047.1370316772986</v>
      </c>
      <c r="H88" s="26">
        <f>'Nat View - Data-Driven'!H88</f>
        <v>3012.5621358689104</v>
      </c>
      <c r="I88" s="26">
        <f>'Nat View - Data-Driven'!I88</f>
        <v>3023.8192595477799</v>
      </c>
      <c r="J88" s="26">
        <f>'Nat View - Data-Driven'!J88</f>
        <v>3036.6449193780199</v>
      </c>
      <c r="K88" s="26">
        <f>'Nat View - Data-Driven'!K88</f>
        <v>2959.2853591171365</v>
      </c>
      <c r="L88" s="26">
        <f>'Nat View - Data-Driven'!L88</f>
        <v>3012.4538107431258</v>
      </c>
      <c r="M88" s="26">
        <f>'Nat View - Data-Driven'!M88</f>
        <v>2939.4371511830109</v>
      </c>
      <c r="N88" s="26">
        <f>'Nat View - Data-Driven'!N88</f>
        <v>2955.3498076458127</v>
      </c>
      <c r="P88" s="26">
        <f t="shared" si="47"/>
        <v>9042.5327197831757</v>
      </c>
      <c r="Q88" s="26">
        <f t="shared" si="48"/>
        <v>9126.2504898744664</v>
      </c>
      <c r="R88" s="26">
        <f t="shared" si="49"/>
        <v>9019.7495380429373</v>
      </c>
      <c r="S88" s="26">
        <f t="shared" si="50"/>
        <v>8907.2407695719485</v>
      </c>
      <c r="U88" s="26">
        <f t="shared" si="51"/>
        <v>36095.773517272522</v>
      </c>
    </row>
    <row r="89" spans="2:21" ht="15" customHeight="1" x14ac:dyDescent="0.2">
      <c r="B89" s="56" t="s">
        <v>58</v>
      </c>
      <c r="C89" s="26">
        <f>'Nat View - Data-Driven'!C89</f>
        <v>38704.25</v>
      </c>
      <c r="D89" s="26">
        <f>'Nat View - Data-Driven'!D89</f>
        <v>39284.149014575371</v>
      </c>
      <c r="E89" s="26">
        <f>'Nat View - Data-Driven'!E89</f>
        <v>39564.52634260591</v>
      </c>
      <c r="F89" s="26">
        <f>'Nat View - Data-Driven'!F89</f>
        <v>39865.167190267362</v>
      </c>
      <c r="G89" s="26">
        <f>'Nat View - Data-Driven'!G89</f>
        <v>39612.781411804885</v>
      </c>
      <c r="H89" s="26">
        <f>'Nat View - Data-Driven'!H89</f>
        <v>39163.307766295831</v>
      </c>
      <c r="I89" s="26">
        <f>'Nat View - Data-Driven'!I89</f>
        <v>39309.650374121135</v>
      </c>
      <c r="J89" s="26">
        <f>'Nat View - Data-Driven'!J89</f>
        <v>39476.383951914257</v>
      </c>
      <c r="K89" s="26">
        <f>'Nat View - Data-Driven'!K89</f>
        <v>38470.709668522773</v>
      </c>
      <c r="L89" s="26">
        <f>'Nat View - Data-Driven'!L89</f>
        <v>39161.899539660633</v>
      </c>
      <c r="M89" s="26">
        <f>'Nat View - Data-Driven'!M89</f>
        <v>38212.682965379143</v>
      </c>
      <c r="N89" s="26">
        <f>'Nat View - Data-Driven'!N89</f>
        <v>38419.547499395565</v>
      </c>
      <c r="P89" s="26">
        <f t="shared" si="47"/>
        <v>117552.92535718129</v>
      </c>
      <c r="Q89" s="26">
        <f t="shared" si="48"/>
        <v>118641.25636836808</v>
      </c>
      <c r="R89" s="26">
        <f t="shared" si="49"/>
        <v>117256.74399455816</v>
      </c>
      <c r="S89" s="26">
        <f t="shared" si="50"/>
        <v>115794.13000443534</v>
      </c>
      <c r="U89" s="26">
        <f t="shared" si="51"/>
        <v>469245.05572454282</v>
      </c>
    </row>
    <row r="90" spans="2:21" ht="15" customHeight="1" x14ac:dyDescent="0.2">
      <c r="B90" s="56" t="s">
        <v>59</v>
      </c>
      <c r="C90" s="26">
        <f>'Nat View - Data-Driven'!C90</f>
        <v>44658.75</v>
      </c>
      <c r="D90" s="26">
        <f>'Nat View - Data-Driven'!D90</f>
        <v>45327.864247586971</v>
      </c>
      <c r="E90" s="26">
        <f>'Nat View - Data-Driven'!E90</f>
        <v>45651.376549160668</v>
      </c>
      <c r="F90" s="26">
        <f>'Nat View - Data-Driven'!F90</f>
        <v>45998.269834923878</v>
      </c>
      <c r="G90" s="26">
        <f>'Nat View - Data-Driven'!G90</f>
        <v>45707.055475159475</v>
      </c>
      <c r="H90" s="26">
        <f>'Nat View - Data-Driven'!H90</f>
        <v>45188.43203803365</v>
      </c>
      <c r="I90" s="26">
        <f>'Nat View - Data-Driven'!I90</f>
        <v>45357.288893216697</v>
      </c>
      <c r="J90" s="26">
        <f>'Nat View - Data-Driven'!J90</f>
        <v>45549.673790670298</v>
      </c>
      <c r="K90" s="26">
        <f>'Nat View - Data-Driven'!K90</f>
        <v>44389.28038675704</v>
      </c>
      <c r="L90" s="26">
        <f>'Nat View - Data-Driven'!L90</f>
        <v>45186.807161146884</v>
      </c>
      <c r="M90" s="26">
        <f>'Nat View - Data-Driven'!M90</f>
        <v>44091.557267745164</v>
      </c>
      <c r="N90" s="26">
        <f>'Nat View - Data-Driven'!N90</f>
        <v>44330.24711468719</v>
      </c>
      <c r="P90" s="26">
        <f t="shared" si="47"/>
        <v>135637.99079674765</v>
      </c>
      <c r="Q90" s="26">
        <f t="shared" si="48"/>
        <v>136893.75734811701</v>
      </c>
      <c r="R90" s="26">
        <f t="shared" si="49"/>
        <v>135296.24307064404</v>
      </c>
      <c r="S90" s="26">
        <f t="shared" si="50"/>
        <v>133608.61154357923</v>
      </c>
      <c r="U90" s="26">
        <f t="shared" si="51"/>
        <v>541436.60275908792</v>
      </c>
    </row>
    <row r="91" spans="2:21" ht="15" customHeight="1" x14ac:dyDescent="0.2">
      <c r="B91" s="90" t="s">
        <v>60</v>
      </c>
      <c r="C91" s="32">
        <f>'Nat View - Data-Driven'!C91</f>
        <v>44658.75</v>
      </c>
      <c r="D91" s="32">
        <f>'Nat View - Data-Driven'!D91</f>
        <v>45327.864247586971</v>
      </c>
      <c r="E91" s="32">
        <f>'Nat View - Data-Driven'!E91</f>
        <v>45651.376549160668</v>
      </c>
      <c r="F91" s="32">
        <f>'Nat View - Data-Driven'!F91</f>
        <v>45998.269834923878</v>
      </c>
      <c r="G91" s="32">
        <f>'Nat View - Data-Driven'!G91</f>
        <v>45707.055475159475</v>
      </c>
      <c r="H91" s="32">
        <f>'Nat View - Data-Driven'!H91</f>
        <v>45188.43203803365</v>
      </c>
      <c r="I91" s="32">
        <f>'Nat View - Data-Driven'!I91</f>
        <v>45357.288893216697</v>
      </c>
      <c r="J91" s="32">
        <f>'Nat View - Data-Driven'!J91</f>
        <v>45549.673790670298</v>
      </c>
      <c r="K91" s="32">
        <f>'Nat View - Data-Driven'!K91</f>
        <v>44389.28038675704</v>
      </c>
      <c r="L91" s="32">
        <f>'Nat View - Data-Driven'!L91</f>
        <v>45186.807161146884</v>
      </c>
      <c r="M91" s="32">
        <f>'Nat View - Data-Driven'!M91</f>
        <v>44091.557267745164</v>
      </c>
      <c r="N91" s="32">
        <f>'Nat View - Data-Driven'!N91</f>
        <v>44330.24711468719</v>
      </c>
      <c r="P91" s="32">
        <f t="shared" si="47"/>
        <v>135637.99079674765</v>
      </c>
      <c r="Q91" s="32">
        <f t="shared" si="48"/>
        <v>136893.75734811701</v>
      </c>
      <c r="R91" s="32">
        <f t="shared" si="49"/>
        <v>135296.24307064404</v>
      </c>
      <c r="S91" s="32">
        <f t="shared" si="50"/>
        <v>133608.61154357923</v>
      </c>
      <c r="U91" s="32">
        <f t="shared" si="51"/>
        <v>541436.60275908792</v>
      </c>
    </row>
    <row r="92" spans="2:21" ht="15" customHeight="1" x14ac:dyDescent="0.2">
      <c r="B92" s="52" t="s">
        <v>61</v>
      </c>
      <c r="C92" s="28">
        <f>'Nat View - Data-Driven'!C92</f>
        <v>168929.16500000001</v>
      </c>
      <c r="D92" s="28">
        <f>'Nat View - Data-Driven'!D92</f>
        <v>171460.20116053897</v>
      </c>
      <c r="E92" s="28">
        <f>'Nat View - Data-Driven'!E92</f>
        <v>172683.94035995842</v>
      </c>
      <c r="F92" s="28">
        <f>'Nat View - Data-Driven'!F92</f>
        <v>173996.1220289054</v>
      </c>
      <c r="G92" s="28">
        <f>'Nat View - Data-Driven'!G92</f>
        <v>172894.55517736991</v>
      </c>
      <c r="H92" s="28">
        <f>'Nat View - Data-Driven'!H92</f>
        <v>170932.77558920195</v>
      </c>
      <c r="I92" s="28">
        <f>'Nat View - Data-Driven'!I92</f>
        <v>171571.50478674102</v>
      </c>
      <c r="J92" s="28">
        <f>'Nat View - Data-Driven'!J92</f>
        <v>172299.23272550883</v>
      </c>
      <c r="K92" s="28">
        <f>'Nat View - Data-Driven'!K92</f>
        <v>167909.85127630632</v>
      </c>
      <c r="L92" s="28">
        <f>'Nat View - Data-Driven'!L92</f>
        <v>170926.62922156497</v>
      </c>
      <c r="M92" s="28">
        <f>'Nat View - Data-Driven'!M92</f>
        <v>166783.66395812406</v>
      </c>
      <c r="N92" s="28">
        <f>'Nat View - Data-Driven'!N92</f>
        <v>167686.54808582342</v>
      </c>
      <c r="P92" s="28">
        <f t="shared" si="47"/>
        <v>513073.30652049743</v>
      </c>
      <c r="Q92" s="28">
        <f t="shared" si="48"/>
        <v>517823.45279547723</v>
      </c>
      <c r="R92" s="28">
        <f t="shared" si="49"/>
        <v>511780.58878855617</v>
      </c>
      <c r="S92" s="28">
        <f t="shared" si="50"/>
        <v>505396.84126551246</v>
      </c>
      <c r="U92" s="28">
        <f t="shared" si="51"/>
        <v>2048074.1893700433</v>
      </c>
    </row>
    <row r="94" spans="2:21" ht="15" customHeight="1" x14ac:dyDescent="0.2">
      <c r="B94" s="52" t="s">
        <v>33</v>
      </c>
      <c r="C94" s="28">
        <f>'Nat View - Data-Driven'!C94</f>
        <v>2421386.7570386082</v>
      </c>
      <c r="D94" s="28">
        <f>'Nat View - Data-Driven'!D94</f>
        <v>2461026.3267576252</v>
      </c>
      <c r="E94" s="28">
        <f>'Nat View - Data-Driven'!E94</f>
        <v>2456344.707103231</v>
      </c>
      <c r="F94" s="28">
        <f>'Nat View - Data-Driven'!F94</f>
        <v>2486988.4727692418</v>
      </c>
      <c r="G94" s="28">
        <f>'Nat View - Data-Driven'!G94</f>
        <v>2451055.7478694362</v>
      </c>
      <c r="H94" s="28">
        <f>'Nat View - Data-Driven'!H94</f>
        <v>2420219.5482893209</v>
      </c>
      <c r="I94" s="28">
        <f>'Nat View - Data-Driven'!I94</f>
        <v>2439324.4583834391</v>
      </c>
      <c r="J94" s="28">
        <f>'Nat View - Data-Driven'!J94</f>
        <v>2436964.6960906219</v>
      </c>
      <c r="K94" s="28">
        <f>'Nat View - Data-Driven'!K94</f>
        <v>2377417.2858379637</v>
      </c>
      <c r="L94" s="28">
        <f>'Nat View - Data-Driven'!L94</f>
        <v>2414961.8927123277</v>
      </c>
      <c r="M94" s="28">
        <f>'Nat View - Data-Driven'!M94</f>
        <v>2352625.7444885368</v>
      </c>
      <c r="N94" s="28">
        <f>'Nat View - Data-Driven'!N94</f>
        <v>2361083.2733423198</v>
      </c>
      <c r="P94" s="28">
        <f>P73-P81-P92</f>
        <v>7338757.7908994658</v>
      </c>
      <c r="Q94" s="28">
        <f t="shared" ref="Q94:S94" si="52">Q73-Q81-Q92</f>
        <v>7358263.7689279979</v>
      </c>
      <c r="R94" s="28">
        <f t="shared" si="52"/>
        <v>7253706.4403120261</v>
      </c>
      <c r="S94" s="28">
        <f t="shared" si="52"/>
        <v>7128670.9105431829</v>
      </c>
      <c r="U94" s="28">
        <f t="shared" ref="U94" si="53">U73-U81-U92</f>
        <v>29079398.910682682</v>
      </c>
    </row>
    <row r="95" spans="2:21" ht="15" customHeight="1" x14ac:dyDescent="0.2">
      <c r="B95" s="52" t="s">
        <v>34</v>
      </c>
      <c r="C95" s="71">
        <f>'Nat View - Data-Driven'!C95</f>
        <v>0.40664820842028854</v>
      </c>
      <c r="D95" s="71">
        <f>'Nat View - Data-Driven'!D95</f>
        <v>0.40720421659100747</v>
      </c>
      <c r="E95" s="71">
        <f>'Nat View - Data-Driven'!E95</f>
        <v>0.4035493931587249</v>
      </c>
      <c r="F95" s="71">
        <f>'Nat View - Data-Driven'!F95</f>
        <v>0.40550250287039258</v>
      </c>
      <c r="G95" s="71">
        <f>'Nat View - Data-Driven'!G95</f>
        <v>0.40218994459206364</v>
      </c>
      <c r="H95" s="71">
        <f>'Nat View - Data-Driven'!H95</f>
        <v>0.40168790536684806</v>
      </c>
      <c r="I95" s="71">
        <f>'Nat View - Data-Driven'!I95</f>
        <v>0.40335156452906623</v>
      </c>
      <c r="J95" s="71">
        <f>'Nat View - Data-Driven'!J95</f>
        <v>0.40125940977481367</v>
      </c>
      <c r="K95" s="71">
        <f>'Nat View - Data-Driven'!K95</f>
        <v>0.40168773831044713</v>
      </c>
      <c r="L95" s="71">
        <f>'Nat View - Data-Driven'!L95</f>
        <v>0.40082969639235633</v>
      </c>
      <c r="M95" s="71">
        <f>'Nat View - Data-Driven'!M95</f>
        <v>0.40018303224168189</v>
      </c>
      <c r="N95" s="71">
        <f>'Nat View - Data-Driven'!N95</f>
        <v>0.39945918876234882</v>
      </c>
      <c r="P95" s="71">
        <f>P94/P59</f>
        <v>0.40579105535575194</v>
      </c>
      <c r="Q95" s="71">
        <f t="shared" ref="Q95:U95" si="54">Q94/Q59</f>
        <v>0.40313728935513865</v>
      </c>
      <c r="R95" s="71">
        <f t="shared" si="54"/>
        <v>0.40210132275390775</v>
      </c>
      <c r="S95" s="71">
        <f t="shared" si="54"/>
        <v>0.40016157051100809</v>
      </c>
      <c r="U95" s="71">
        <f t="shared" si="54"/>
        <v>0.40280891745909841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EF7DF-178F-4AE1-B1D0-7547F975223B}">
  <dimension ref="A2:V113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09" t="s">
        <v>107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10"/>
      <c r="R2" s="110"/>
      <c r="S2" s="110"/>
      <c r="T2" s="110"/>
      <c r="U2" s="112"/>
      <c r="V2" s="110"/>
    </row>
    <row r="3" spans="2:22" x14ac:dyDescent="0.2">
      <c r="B3" s="1"/>
    </row>
    <row r="4" spans="2:22" x14ac:dyDescent="0.2">
      <c r="B4" s="1" t="s">
        <v>16</v>
      </c>
      <c r="C4" s="3">
        <v>44927</v>
      </c>
      <c r="D4" s="3">
        <f>EOMONTH(C4,0)+1</f>
        <v>44958</v>
      </c>
      <c r="E4" s="3">
        <f t="shared" ref="E4:N4" si="0">EOMONTH(D4,0)+1</f>
        <v>44986</v>
      </c>
      <c r="F4" s="3">
        <f t="shared" si="0"/>
        <v>45017</v>
      </c>
      <c r="G4" s="3">
        <f t="shared" si="0"/>
        <v>45047</v>
      </c>
      <c r="H4" s="3">
        <f t="shared" si="0"/>
        <v>45078</v>
      </c>
      <c r="I4" s="3">
        <f t="shared" si="0"/>
        <v>45108</v>
      </c>
      <c r="J4" s="3">
        <f t="shared" si="0"/>
        <v>45139</v>
      </c>
      <c r="K4" s="3">
        <f t="shared" si="0"/>
        <v>45170</v>
      </c>
      <c r="L4" s="3">
        <f t="shared" si="0"/>
        <v>45200</v>
      </c>
      <c r="M4" s="3">
        <f t="shared" si="0"/>
        <v>45231</v>
      </c>
      <c r="N4" s="3">
        <f t="shared" si="0"/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4">
        <f>SUM(C6:C7)</f>
        <v>918241.81085671578</v>
      </c>
      <c r="D5" s="4">
        <f t="shared" ref="D5:N5" si="1">SUM(D6:D7)</f>
        <v>1098822.1071652398</v>
      </c>
      <c r="E5" s="4">
        <f t="shared" si="1"/>
        <v>1389108.8186953156</v>
      </c>
      <c r="F5" s="4">
        <f t="shared" si="1"/>
        <v>1060457.1162919106</v>
      </c>
      <c r="G5" s="4">
        <f t="shared" si="1"/>
        <v>1080187.977512805</v>
      </c>
      <c r="H5" s="4">
        <f t="shared" si="1"/>
        <v>1449758.253748731</v>
      </c>
      <c r="I5" s="4">
        <f t="shared" si="1"/>
        <v>1270033.6214879407</v>
      </c>
      <c r="J5" s="4">
        <f t="shared" si="1"/>
        <v>1137642.609668985</v>
      </c>
      <c r="K5" s="4">
        <f t="shared" si="1"/>
        <v>1505986.0966062024</v>
      </c>
      <c r="L5" s="4">
        <f t="shared" si="1"/>
        <v>825220.26826456212</v>
      </c>
      <c r="M5" s="4">
        <f t="shared" si="1"/>
        <v>1232003.1532279779</v>
      </c>
      <c r="N5" s="4">
        <f t="shared" si="1"/>
        <v>1753899.7673868714</v>
      </c>
      <c r="P5" s="75">
        <f>Natural!P5</f>
        <v>7.4999999999999997E-2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1">
        <v>622514.35130164481</v>
      </c>
      <c r="D6" s="11">
        <v>935097.23442405579</v>
      </c>
      <c r="E6" s="11">
        <v>1179236.180272124</v>
      </c>
      <c r="F6" s="11">
        <v>777579.95049804996</v>
      </c>
      <c r="G6" s="11">
        <v>753453.09429011669</v>
      </c>
      <c r="H6" s="11">
        <v>1159929.2819288557</v>
      </c>
      <c r="I6" s="11">
        <v>1011896.7065513673</v>
      </c>
      <c r="J6" s="11">
        <v>874189.60777134181</v>
      </c>
      <c r="K6" s="11">
        <v>1000548.9055383139</v>
      </c>
      <c r="L6" s="11">
        <v>766538.84680967382</v>
      </c>
      <c r="M6" s="11">
        <v>1069760.2684737833</v>
      </c>
      <c r="N6" s="11">
        <v>1248360.343877424</v>
      </c>
      <c r="P6" s="75">
        <f>Natural!P6</f>
        <v>0.13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1">
        <v>295727.45955507096</v>
      </c>
      <c r="D7" s="11">
        <v>163724.87274118402</v>
      </c>
      <c r="E7" s="11">
        <v>209872.6384231917</v>
      </c>
      <c r="F7" s="11">
        <v>282877.16579386062</v>
      </c>
      <c r="G7" s="11">
        <v>326734.8832226884</v>
      </c>
      <c r="H7" s="11">
        <v>289828.97181987535</v>
      </c>
      <c r="I7" s="11">
        <v>258136.91493657327</v>
      </c>
      <c r="J7" s="11">
        <v>263453.00189764332</v>
      </c>
      <c r="K7" s="11">
        <v>505437.1910678884</v>
      </c>
      <c r="L7" s="11">
        <v>58681.421454888339</v>
      </c>
      <c r="M7" s="11">
        <v>162242.88475419473</v>
      </c>
      <c r="N7" s="11">
        <v>505539.42350944749</v>
      </c>
      <c r="P7" s="75">
        <f>Natural!P7</f>
        <v>0.01</v>
      </c>
      <c r="Q7" t="s">
        <v>27</v>
      </c>
      <c r="U7" s="8">
        <v>44977</v>
      </c>
    </row>
    <row r="8" spans="2:22" x14ac:dyDescent="0.2">
      <c r="B8" t="s">
        <v>12</v>
      </c>
      <c r="C8" s="4">
        <f>SUM(C9:C10)</f>
        <v>721374.25132581848</v>
      </c>
      <c r="D8" s="4">
        <f t="shared" ref="D8:N8" si="2">SUM(D9:D10)</f>
        <v>595242.65474325209</v>
      </c>
      <c r="E8" s="4">
        <f t="shared" si="2"/>
        <v>1249710.3438458135</v>
      </c>
      <c r="F8" s="4">
        <f t="shared" si="2"/>
        <v>708675.28488725773</v>
      </c>
      <c r="G8" s="4">
        <f t="shared" si="2"/>
        <v>903837.01582346321</v>
      </c>
      <c r="H8" s="4">
        <f t="shared" si="2"/>
        <v>1378195.5446574034</v>
      </c>
      <c r="I8" s="4">
        <f t="shared" si="2"/>
        <v>1037250.3520580088</v>
      </c>
      <c r="J8" s="4">
        <f t="shared" si="2"/>
        <v>767663.40366682317</v>
      </c>
      <c r="K8" s="4">
        <f t="shared" si="2"/>
        <v>1064955.3437205083</v>
      </c>
      <c r="L8" s="4">
        <f t="shared" si="2"/>
        <v>978466.69816156151</v>
      </c>
      <c r="M8" s="4">
        <f t="shared" si="2"/>
        <v>1432889.9008914893</v>
      </c>
      <c r="N8" s="4">
        <f t="shared" si="2"/>
        <v>944729.99244707869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1">
        <v>280387.13024097512</v>
      </c>
      <c r="D9" s="11">
        <v>371671.55899892846</v>
      </c>
      <c r="E9" s="11">
        <v>506998.66365879396</v>
      </c>
      <c r="F9" s="11">
        <v>513002.39174325723</v>
      </c>
      <c r="G9" s="11">
        <v>588858.86338006426</v>
      </c>
      <c r="H9" s="11">
        <v>1062092.8353568551</v>
      </c>
      <c r="I9" s="11">
        <v>792710.35184878763</v>
      </c>
      <c r="J9" s="11">
        <v>683730.56914685224</v>
      </c>
      <c r="K9" s="11">
        <v>798742.06590077106</v>
      </c>
      <c r="L9" s="11">
        <v>699678.83003006235</v>
      </c>
      <c r="M9" s="11">
        <v>1139585.0260586068</v>
      </c>
      <c r="N9" s="11">
        <v>650505.02564016473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1">
        <v>440987.1210848433</v>
      </c>
      <c r="D10" s="11">
        <v>223571.0957443236</v>
      </c>
      <c r="E10" s="11">
        <v>742711.68018701964</v>
      </c>
      <c r="F10" s="11">
        <v>195672.89314400047</v>
      </c>
      <c r="G10" s="11">
        <v>314978.1524433989</v>
      </c>
      <c r="H10" s="11">
        <v>316102.7093005483</v>
      </c>
      <c r="I10" s="11">
        <v>244540.00020922109</v>
      </c>
      <c r="J10" s="11">
        <v>83932.834519970944</v>
      </c>
      <c r="K10" s="11">
        <v>266213.27781973733</v>
      </c>
      <c r="L10" s="11">
        <v>278787.8681314991</v>
      </c>
      <c r="M10" s="11">
        <v>293304.87483288266</v>
      </c>
      <c r="N10" s="11">
        <v>294224.96680691402</v>
      </c>
      <c r="P10" s="74">
        <f>Natural!P10</f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4">
        <v>198666.7339566247</v>
      </c>
      <c r="D11" s="14">
        <v>335025.21674858825</v>
      </c>
      <c r="E11" s="14">
        <v>544202.91708709358</v>
      </c>
      <c r="F11" s="14">
        <v>191992.52524787508</v>
      </c>
      <c r="G11" s="14">
        <v>275618.66244316887</v>
      </c>
      <c r="H11" s="14">
        <v>502574.68270423537</v>
      </c>
      <c r="I11" s="14">
        <v>521998.84660045261</v>
      </c>
      <c r="J11" s="14">
        <v>551237.32488633774</v>
      </c>
      <c r="K11" s="14">
        <v>705812.77652360452</v>
      </c>
      <c r="L11" s="14">
        <v>533039.95028882893</v>
      </c>
      <c r="M11" s="14">
        <v>230840.85304030988</v>
      </c>
      <c r="N11" s="14">
        <v>401875.72776858194</v>
      </c>
      <c r="P11" s="74">
        <f>Natural!P11</f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f>C5+C8+C11</f>
        <v>1838282.796139159</v>
      </c>
      <c r="D12" s="13">
        <f t="shared" ref="D12:N12" si="3">D5+D8+D11</f>
        <v>2029089.9786570801</v>
      </c>
      <c r="E12" s="13">
        <f t="shared" si="3"/>
        <v>3183022.0796282226</v>
      </c>
      <c r="F12" s="13">
        <f t="shared" si="3"/>
        <v>1961124.9264270435</v>
      </c>
      <c r="G12" s="13">
        <f t="shared" si="3"/>
        <v>2259643.6557794372</v>
      </c>
      <c r="H12" s="13">
        <f t="shared" si="3"/>
        <v>3330528.4811103698</v>
      </c>
      <c r="I12" s="13">
        <f t="shared" si="3"/>
        <v>2829282.8201464019</v>
      </c>
      <c r="J12" s="13">
        <f t="shared" si="3"/>
        <v>2456543.338222146</v>
      </c>
      <c r="K12" s="13">
        <f t="shared" si="3"/>
        <v>3276754.2168503152</v>
      </c>
      <c r="L12" s="13">
        <f t="shared" si="3"/>
        <v>2336726.9167149523</v>
      </c>
      <c r="M12" s="13">
        <f t="shared" si="3"/>
        <v>2895733.9071597774</v>
      </c>
      <c r="N12" s="13">
        <f t="shared" si="3"/>
        <v>3100505.4876025319</v>
      </c>
      <c r="P12" s="75">
        <f>Natural!P12</f>
        <v>4.5999999999999999E-2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6">
        <v>6.7393931455971043E-2</v>
      </c>
      <c r="D15" s="6">
        <v>0.14484668328968767</v>
      </c>
      <c r="E15" s="6">
        <v>0.11567215284129743</v>
      </c>
      <c r="F15" s="6">
        <v>0.1462793629016185</v>
      </c>
      <c r="G15" s="6">
        <v>0.11740251602634331</v>
      </c>
      <c r="H15" s="6">
        <v>0.20384898186803421</v>
      </c>
      <c r="I15" s="6">
        <v>0.12675550059165933</v>
      </c>
      <c r="J15" s="6">
        <v>0.17077228679600875</v>
      </c>
      <c r="K15" s="6">
        <v>0.19781124572277028</v>
      </c>
      <c r="L15" s="6">
        <v>0.33258751868872005</v>
      </c>
      <c r="M15" s="6">
        <v>0.17732830917255957</v>
      </c>
      <c r="N15" s="6">
        <v>0.20561240301531233</v>
      </c>
      <c r="P15" s="75">
        <f>Natural!P15</f>
        <v>0.91249999999999998</v>
      </c>
      <c r="Q15" s="9" t="s">
        <v>78</v>
      </c>
      <c r="U15" s="8">
        <v>45208</v>
      </c>
    </row>
    <row r="16" spans="2:22" x14ac:dyDescent="0.2">
      <c r="B16" s="17" t="s">
        <v>10</v>
      </c>
      <c r="C16" s="21">
        <v>8.269779157262673E-2</v>
      </c>
      <c r="D16" s="21">
        <v>0.14520413222718045</v>
      </c>
      <c r="E16" s="21">
        <v>0.13561154879632886</v>
      </c>
      <c r="F16" s="21">
        <v>0.17832635139258812</v>
      </c>
      <c r="G16" s="21">
        <v>0.13885500252245264</v>
      </c>
      <c r="H16" s="21">
        <v>0.18952940132167459</v>
      </c>
      <c r="I16" s="21">
        <v>0.13185705933438946</v>
      </c>
      <c r="J16" s="21">
        <v>0.17459490622063628</v>
      </c>
      <c r="K16" s="21">
        <v>0.25025408643068464</v>
      </c>
      <c r="L16" s="21">
        <v>0.25312276989029103</v>
      </c>
      <c r="M16" s="21">
        <v>0.17053504999123692</v>
      </c>
      <c r="N16" s="21">
        <v>0.23583693040225787</v>
      </c>
      <c r="P16" s="75">
        <f>Natural!P16</f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21">
        <v>3.5178889378835419E-2</v>
      </c>
      <c r="D17" s="21">
        <v>0.14280515161950749</v>
      </c>
      <c r="E17" s="21">
        <v>4.5604790246004716E-2</v>
      </c>
      <c r="F17" s="21">
        <v>5.8187785575158441E-2</v>
      </c>
      <c r="G17" s="21">
        <v>6.7932921071297683E-2</v>
      </c>
      <c r="H17" s="21">
        <v>0.26115761004404708</v>
      </c>
      <c r="I17" s="21">
        <v>0.10675739032015726</v>
      </c>
      <c r="J17" s="21">
        <v>0.15808807309791401</v>
      </c>
      <c r="K17" s="21">
        <v>9.3996908746969907E-2</v>
      </c>
      <c r="L17" s="21">
        <v>1.3706131049093142</v>
      </c>
      <c r="M17" s="21">
        <v>0.22212015799005139</v>
      </c>
      <c r="N17" s="21">
        <v>0.13097707360742727</v>
      </c>
      <c r="U17" s="8">
        <v>45254</v>
      </c>
    </row>
    <row r="18" spans="2:21" x14ac:dyDescent="0.2">
      <c r="B18" s="16" t="s">
        <v>12</v>
      </c>
      <c r="C18" s="6">
        <v>0.17841142091049092</v>
      </c>
      <c r="D18" s="6">
        <v>0.16576614011777902</v>
      </c>
      <c r="E18" s="6">
        <v>8.7735600019642646E-2</v>
      </c>
      <c r="F18" s="6">
        <v>0.19496123355955849</v>
      </c>
      <c r="G18" s="6">
        <v>0.12927223517600184</v>
      </c>
      <c r="H18" s="6">
        <v>0.12033628224965125</v>
      </c>
      <c r="I18" s="6">
        <v>0.12118049769423624</v>
      </c>
      <c r="J18" s="6">
        <v>9.4538332549951906E-2</v>
      </c>
      <c r="K18" s="6">
        <v>0.16041499448777996</v>
      </c>
      <c r="L18" s="6">
        <v>0.11049149223598738</v>
      </c>
      <c r="M18" s="6">
        <v>9.8512058859721238E-2</v>
      </c>
      <c r="N18" s="6">
        <v>0.16380225226010331</v>
      </c>
      <c r="P18" s="75">
        <f>Natural!P18</f>
        <v>0.45500000000000002</v>
      </c>
      <c r="Q18" s="58" t="s">
        <v>70</v>
      </c>
      <c r="U18" s="8">
        <v>45285</v>
      </c>
    </row>
    <row r="19" spans="2:21" x14ac:dyDescent="0.2">
      <c r="B19" s="17" t="s">
        <v>10</v>
      </c>
      <c r="C19" s="21">
        <v>0.25513485939404251</v>
      </c>
      <c r="D19" s="21">
        <v>0.13216248357945287</v>
      </c>
      <c r="E19" s="21">
        <v>0.1076882767868082</v>
      </c>
      <c r="F19" s="21">
        <v>0.15435124114687773</v>
      </c>
      <c r="G19" s="21">
        <v>0.11540937166472348</v>
      </c>
      <c r="H19" s="21">
        <v>9.0990282613901921E-2</v>
      </c>
      <c r="I19" s="21">
        <v>0.10240525647455437</v>
      </c>
      <c r="J19" s="21">
        <v>4.614145810641769E-2</v>
      </c>
      <c r="K19" s="21">
        <v>0.1553360702956525</v>
      </c>
      <c r="L19" s="21">
        <v>0.10728859254871663</v>
      </c>
      <c r="M19" s="21">
        <v>9.4760413813254091E-2</v>
      </c>
      <c r="N19" s="21">
        <v>0.16792263506510405</v>
      </c>
      <c r="P19" s="75">
        <f>Natural!P19</f>
        <v>0.44500000000000001</v>
      </c>
      <c r="Q19" s="58" t="s">
        <v>71</v>
      </c>
    </row>
    <row r="20" spans="2:21" x14ac:dyDescent="0.2">
      <c r="B20" s="17" t="s">
        <v>11</v>
      </c>
      <c r="C20" s="21">
        <v>0.12962935061850114</v>
      </c>
      <c r="D20" s="21">
        <v>0.22162990628166296</v>
      </c>
      <c r="E20" s="21">
        <v>7.1151099980620497E-2</v>
      </c>
      <c r="F20" s="21">
        <v>0.30142985525591814</v>
      </c>
      <c r="G20" s="21">
        <v>0.15518917572289023</v>
      </c>
      <c r="H20" s="21">
        <v>0.21893770211245839</v>
      </c>
      <c r="I20" s="21">
        <v>0.18204304803596411</v>
      </c>
      <c r="J20" s="21">
        <v>0.48878717089143386</v>
      </c>
      <c r="K20" s="21">
        <v>0.17565371749587982</v>
      </c>
      <c r="L20" s="21">
        <v>0.11852986607525422</v>
      </c>
      <c r="M20" s="21">
        <v>0.11308842251708248</v>
      </c>
      <c r="N20" s="21">
        <v>0.15469245525238268</v>
      </c>
      <c r="P20" s="75">
        <f>Natural!P20</f>
        <v>0.06</v>
      </c>
      <c r="Q20" s="58" t="s">
        <v>72</v>
      </c>
    </row>
    <row r="21" spans="2:21" x14ac:dyDescent="0.2">
      <c r="B21" s="19" t="s">
        <v>13</v>
      </c>
      <c r="C21" s="22">
        <v>0.15169917201438265</v>
      </c>
      <c r="D21" s="22">
        <v>3.1052479234059648E-2</v>
      </c>
      <c r="E21" s="22">
        <v>0.13756140402794095</v>
      </c>
      <c r="F21" s="22">
        <v>0.19289808628569899</v>
      </c>
      <c r="G21" s="22">
        <v>0.29362421360352814</v>
      </c>
      <c r="H21" s="22">
        <v>0.20370342944125933</v>
      </c>
      <c r="I21" s="22">
        <v>6.3543024716316024E-2</v>
      </c>
      <c r="J21" s="22">
        <v>0.11695201728276121</v>
      </c>
      <c r="K21" s="22">
        <v>0.10441280328015808</v>
      </c>
      <c r="L21" s="22">
        <v>0.1948682263338565</v>
      </c>
      <c r="M21" s="22">
        <v>0.23822191395150702</v>
      </c>
      <c r="N21" s="22">
        <v>0.15173049442597039</v>
      </c>
      <c r="P21" s="75">
        <f>Natural!P21</f>
        <v>0.04</v>
      </c>
      <c r="Q21" s="58" t="s">
        <v>73</v>
      </c>
    </row>
    <row r="22" spans="2:21" x14ac:dyDescent="0.2">
      <c r="B22" s="18" t="s">
        <v>14</v>
      </c>
      <c r="C22" s="20">
        <v>9.9549306149495281E-2</v>
      </c>
      <c r="D22" s="20">
        <v>0.10960177195157539</v>
      </c>
      <c r="E22" s="20">
        <v>8.7049858779637571E-2</v>
      </c>
      <c r="F22" s="20">
        <v>0.13964829458312192</v>
      </c>
      <c r="G22" s="20">
        <v>0.11909489594017039</v>
      </c>
      <c r="H22" s="20">
        <v>0.1403396189289258</v>
      </c>
      <c r="I22" s="20">
        <v>9.3728128359109347E-2</v>
      </c>
      <c r="J22" s="20">
        <v>0.11182169263736468</v>
      </c>
      <c r="K22" s="20">
        <v>0.13724746376650401</v>
      </c>
      <c r="L22" s="20">
        <v>0.17259448997409876</v>
      </c>
      <c r="M22" s="20">
        <v>0.11871126583876601</v>
      </c>
      <c r="N22" s="20">
        <v>0.15411906819048526</v>
      </c>
    </row>
    <row r="23" spans="2:21" x14ac:dyDescent="0.2">
      <c r="P23" s="75">
        <f>Natural!P23</f>
        <v>5.5E-2</v>
      </c>
      <c r="Q23" s="58" t="s">
        <v>44</v>
      </c>
    </row>
    <row r="24" spans="2:21" x14ac:dyDescent="0.2">
      <c r="B24" s="1" t="s">
        <v>17</v>
      </c>
      <c r="P24" s="75">
        <f>Natural!P24</f>
        <v>0.04</v>
      </c>
      <c r="Q24" t="s">
        <v>45</v>
      </c>
    </row>
    <row r="25" spans="2:21" x14ac:dyDescent="0.2">
      <c r="B25" t="s">
        <v>9</v>
      </c>
      <c r="C25" s="4">
        <f>SUM(C26:C27)</f>
        <v>61883.925660884226</v>
      </c>
      <c r="D25" s="4">
        <f t="shared" ref="D25:N25" si="4">SUM(D26:D27)</f>
        <v>159160.73774827071</v>
      </c>
      <c r="E25" s="4">
        <f t="shared" si="4"/>
        <v>169489.24245703485</v>
      </c>
      <c r="F25" s="4">
        <f t="shared" si="4"/>
        <v>155122.99135566823</v>
      </c>
      <c r="G25" s="4">
        <f t="shared" si="4"/>
        <v>126816.78634141046</v>
      </c>
      <c r="H25" s="4">
        <f t="shared" si="4"/>
        <v>295531.74398145801</v>
      </c>
      <c r="I25" s="4">
        <f t="shared" si="4"/>
        <v>160983.74745994189</v>
      </c>
      <c r="J25" s="4">
        <f t="shared" si="4"/>
        <v>194277.83000975178</v>
      </c>
      <c r="K25" s="4">
        <f t="shared" si="4"/>
        <v>297900.98581084522</v>
      </c>
      <c r="L25" s="4">
        <f t="shared" si="4"/>
        <v>274457.96139375068</v>
      </c>
      <c r="M25" s="4">
        <f t="shared" si="4"/>
        <v>218469.0360571791</v>
      </c>
      <c r="N25" s="4">
        <f t="shared" si="4"/>
        <v>360623.54582041199</v>
      </c>
      <c r="P25" s="75">
        <f>Natural!P25</f>
        <v>0.04</v>
      </c>
      <c r="Q25" t="s">
        <v>74</v>
      </c>
    </row>
    <row r="26" spans="2:21" x14ac:dyDescent="0.2">
      <c r="B26" s="10" t="s">
        <v>10</v>
      </c>
      <c r="C26" s="11">
        <f>C6*C16</f>
        <v>51480.562074912355</v>
      </c>
      <c r="D26" s="11">
        <f t="shared" ref="D26:N27" si="5">D6*D16</f>
        <v>135779.98247258135</v>
      </c>
      <c r="E26" s="11">
        <f t="shared" si="5"/>
        <v>159918.04480336962</v>
      </c>
      <c r="F26" s="11">
        <f t="shared" si="5"/>
        <v>138662.99548834653</v>
      </c>
      <c r="G26" s="11">
        <f t="shared" si="5"/>
        <v>104620.7313082039</v>
      </c>
      <c r="H26" s="11">
        <f t="shared" si="5"/>
        <v>219840.70237945591</v>
      </c>
      <c r="I26" s="11">
        <f t="shared" si="5"/>
        <v>133425.72407601692</v>
      </c>
      <c r="J26" s="11">
        <f t="shared" si="5"/>
        <v>152629.05258789225</v>
      </c>
      <c r="K26" s="11">
        <f t="shared" si="5"/>
        <v>250391.45228471214</v>
      </c>
      <c r="L26" s="11">
        <f t="shared" si="5"/>
        <v>194028.43613297411</v>
      </c>
      <c r="M26" s="11">
        <f t="shared" si="5"/>
        <v>182431.62086281565</v>
      </c>
      <c r="N26" s="11">
        <f t="shared" si="5"/>
        <v>294409.47153595876</v>
      </c>
      <c r="P26" s="75">
        <f>Natural!P26</f>
        <v>4.1000000000000002E-2</v>
      </c>
      <c r="Q26" t="s">
        <v>75</v>
      </c>
    </row>
    <row r="27" spans="2:21" x14ac:dyDescent="0.2">
      <c r="B27" s="10" t="s">
        <v>11</v>
      </c>
      <c r="C27" s="11">
        <f>C7*C17</f>
        <v>10403.363585971867</v>
      </c>
      <c r="D27" s="11">
        <f t="shared" si="5"/>
        <v>23380.755275689353</v>
      </c>
      <c r="E27" s="11">
        <f t="shared" si="5"/>
        <v>9571.1976536652473</v>
      </c>
      <c r="F27" s="11">
        <f t="shared" si="5"/>
        <v>16459.995867321704</v>
      </c>
      <c r="G27" s="11">
        <f t="shared" si="5"/>
        <v>22196.055033206558</v>
      </c>
      <c r="H27" s="11">
        <f t="shared" si="5"/>
        <v>75691.041602002122</v>
      </c>
      <c r="I27" s="11">
        <f t="shared" si="5"/>
        <v>27558.023383924985</v>
      </c>
      <c r="J27" s="11">
        <f t="shared" si="5"/>
        <v>41648.777421859515</v>
      </c>
      <c r="K27" s="11">
        <f t="shared" si="5"/>
        <v>47509.533526133098</v>
      </c>
      <c r="L27" s="11">
        <f t="shared" si="5"/>
        <v>80429.525260776558</v>
      </c>
      <c r="M27" s="11">
        <f t="shared" si="5"/>
        <v>36037.415194363435</v>
      </c>
      <c r="N27" s="11">
        <f t="shared" si="5"/>
        <v>66214.074284453251</v>
      </c>
    </row>
    <row r="28" spans="2:21" x14ac:dyDescent="0.2">
      <c r="B28" t="s">
        <v>12</v>
      </c>
      <c r="C28" s="4">
        <f>SUM(C29:C30)</f>
        <v>128701.40518728085</v>
      </c>
      <c r="D28" s="4">
        <f t="shared" ref="D28:N28" si="6">SUM(D29:D30)</f>
        <v>98671.077310248656</v>
      </c>
      <c r="E28" s="4">
        <f t="shared" si="6"/>
        <v>107442.56543639135</v>
      </c>
      <c r="F28" s="4">
        <f t="shared" si="6"/>
        <v>138164.20773479133</v>
      </c>
      <c r="G28" s="4">
        <f t="shared" si="6"/>
        <v>116841.03127030641</v>
      </c>
      <c r="H28" s="4">
        <f t="shared" si="6"/>
        <v>165846.92805710511</v>
      </c>
      <c r="I28" s="4">
        <f t="shared" si="6"/>
        <v>125694.51389591125</v>
      </c>
      <c r="J28" s="4">
        <f t="shared" si="6"/>
        <v>72573.618142282081</v>
      </c>
      <c r="K28" s="4">
        <f t="shared" si="6"/>
        <v>170834.80559265718</v>
      </c>
      <c r="L28" s="4">
        <f t="shared" si="6"/>
        <v>108112.24558309035</v>
      </c>
      <c r="M28" s="4">
        <f t="shared" si="6"/>
        <v>141156.93425612256</v>
      </c>
      <c r="N28" s="4">
        <f t="shared" si="6"/>
        <v>154748.90054050187</v>
      </c>
      <c r="P28" s="75">
        <f>Natural!P28</f>
        <v>0.17</v>
      </c>
      <c r="Q28" t="s">
        <v>47</v>
      </c>
    </row>
    <row r="29" spans="2:21" x14ac:dyDescent="0.2">
      <c r="B29" s="10" t="s">
        <v>10</v>
      </c>
      <c r="C29" s="11">
        <f t="shared" ref="C29:N31" si="7">C9*C19</f>
        <v>71536.531049930272</v>
      </c>
      <c r="D29" s="11">
        <f t="shared" si="7"/>
        <v>49121.036313145531</v>
      </c>
      <c r="E29" s="11">
        <f t="shared" si="7"/>
        <v>54597.812422630079</v>
      </c>
      <c r="F29" s="11">
        <f t="shared" si="7"/>
        <v>79182.555876888538</v>
      </c>
      <c r="G29" s="11">
        <f t="shared" si="7"/>
        <v>67959.831421896466</v>
      </c>
      <c r="H29" s="11">
        <f t="shared" si="7"/>
        <v>96640.12725132065</v>
      </c>
      <c r="I29" s="11">
        <f t="shared" si="7"/>
        <v>81177.706891109337</v>
      </c>
      <c r="J29" s="11">
        <f t="shared" si="7"/>
        <v>31548.325412366608</v>
      </c>
      <c r="K29" s="11">
        <f t="shared" si="7"/>
        <v>124073.45369685687</v>
      </c>
      <c r="L29" s="11">
        <f t="shared" si="7"/>
        <v>75067.55691005812</v>
      </c>
      <c r="M29" s="11">
        <f t="shared" si="7"/>
        <v>107987.54864470153</v>
      </c>
      <c r="N29" s="11">
        <f t="shared" si="7"/>
        <v>109234.51802858953</v>
      </c>
      <c r="P29" s="75">
        <f>Natural!P29</f>
        <v>8.5000000000000006E-2</v>
      </c>
      <c r="Q29" t="s">
        <v>48</v>
      </c>
    </row>
    <row r="30" spans="2:21" x14ac:dyDescent="0.2">
      <c r="B30" s="10" t="s">
        <v>11</v>
      </c>
      <c r="C30" s="11">
        <f t="shared" si="7"/>
        <v>57164.874137350569</v>
      </c>
      <c r="D30" s="11">
        <f t="shared" si="7"/>
        <v>49550.040997103133</v>
      </c>
      <c r="E30" s="11">
        <f t="shared" si="7"/>
        <v>52844.75301376127</v>
      </c>
      <c r="F30" s="11">
        <f t="shared" si="7"/>
        <v>58981.651857902798</v>
      </c>
      <c r="G30" s="11">
        <f t="shared" si="7"/>
        <v>48881.199848409939</v>
      </c>
      <c r="H30" s="11">
        <f t="shared" si="7"/>
        <v>69206.800805784471</v>
      </c>
      <c r="I30" s="11">
        <f t="shared" si="7"/>
        <v>44516.807004801907</v>
      </c>
      <c r="J30" s="11">
        <f t="shared" si="7"/>
        <v>41025.292729915476</v>
      </c>
      <c r="K30" s="11">
        <f t="shared" si="7"/>
        <v>46761.351895800311</v>
      </c>
      <c r="L30" s="11">
        <f t="shared" si="7"/>
        <v>33044.688673032222</v>
      </c>
      <c r="M30" s="11">
        <f t="shared" si="7"/>
        <v>33169.385611421028</v>
      </c>
      <c r="N30" s="11">
        <f t="shared" si="7"/>
        <v>45514.382511912328</v>
      </c>
      <c r="P30" s="75">
        <f>Natural!P30</f>
        <v>0.04</v>
      </c>
      <c r="Q30" t="s">
        <v>49</v>
      </c>
    </row>
    <row r="31" spans="2:21" x14ac:dyDescent="0.2">
      <c r="B31" s="15" t="s">
        <v>13</v>
      </c>
      <c r="C31" s="14">
        <f t="shared" si="7"/>
        <v>30137.579048021606</v>
      </c>
      <c r="D31" s="14">
        <f t="shared" si="7"/>
        <v>10403.363585971869</v>
      </c>
      <c r="E31" s="14">
        <f t="shared" si="7"/>
        <v>74861.317350601734</v>
      </c>
      <c r="F31" s="14">
        <f t="shared" si="7"/>
        <v>37034.990701473849</v>
      </c>
      <c r="G31" s="14">
        <f t="shared" si="7"/>
        <v>80928.313014331739</v>
      </c>
      <c r="H31" s="14">
        <f t="shared" si="7"/>
        <v>102376.18641720551</v>
      </c>
      <c r="I31" s="14">
        <f t="shared" si="7"/>
        <v>33169.385611421014</v>
      </c>
      <c r="J31" s="14">
        <f t="shared" si="7"/>
        <v>64468.317147010028</v>
      </c>
      <c r="K31" s="14">
        <f t="shared" si="7"/>
        <v>73695.890587781294</v>
      </c>
      <c r="L31" s="14">
        <f t="shared" si="7"/>
        <v>103872.54967787114</v>
      </c>
      <c r="M31" s="14">
        <f t="shared" si="7"/>
        <v>54991.349829461178</v>
      </c>
      <c r="N31" s="14">
        <f t="shared" si="7"/>
        <v>60976.802872123619</v>
      </c>
      <c r="P31" s="75">
        <f>Natural!P31</f>
        <v>0.03</v>
      </c>
      <c r="Q31" t="s">
        <v>50</v>
      </c>
    </row>
    <row r="32" spans="2:21" x14ac:dyDescent="0.2">
      <c r="B32" s="1" t="s">
        <v>14</v>
      </c>
      <c r="C32" s="13">
        <f>C25+C28+C31</f>
        <v>220722.9098961867</v>
      </c>
      <c r="D32" s="13">
        <f t="shared" ref="D32:N32" si="8">D25+D28+D31</f>
        <v>268235.17864449124</v>
      </c>
      <c r="E32" s="13">
        <f t="shared" si="8"/>
        <v>351793.12524402793</v>
      </c>
      <c r="F32" s="13">
        <f t="shared" si="8"/>
        <v>330322.1897919334</v>
      </c>
      <c r="G32" s="13">
        <f t="shared" si="8"/>
        <v>324586.1306260486</v>
      </c>
      <c r="H32" s="13">
        <f t="shared" si="8"/>
        <v>563754.85845576867</v>
      </c>
      <c r="I32" s="13">
        <f t="shared" si="8"/>
        <v>319847.6469672742</v>
      </c>
      <c r="J32" s="13">
        <f t="shared" si="8"/>
        <v>331319.76529904385</v>
      </c>
      <c r="K32" s="13">
        <f t="shared" si="8"/>
        <v>542431.68199128367</v>
      </c>
      <c r="L32" s="13">
        <f t="shared" si="8"/>
        <v>486442.75665471214</v>
      </c>
      <c r="M32" s="13">
        <f t="shared" si="8"/>
        <v>414617.32014276285</v>
      </c>
      <c r="N32" s="13">
        <f t="shared" si="8"/>
        <v>576349.24923303747</v>
      </c>
    </row>
    <row r="33" spans="2:17" x14ac:dyDescent="0.2">
      <c r="P33" s="77">
        <f>Natural!P33</f>
        <v>1.4999999999999999E-4</v>
      </c>
      <c r="Q33" t="s">
        <v>52</v>
      </c>
    </row>
    <row r="34" spans="2:17" x14ac:dyDescent="0.2">
      <c r="B34" t="s">
        <v>8</v>
      </c>
      <c r="C34" s="2">
        <f>NETWORKDAYS(C$4,EOMONTH(C$4,0)+1,$U$5:$U$20)*8</f>
        <v>168</v>
      </c>
      <c r="D34" s="2">
        <f>NETWORKDAYS(D$4,EOMONTH(D$4,0)+1,$U$5:$U$20)*8</f>
        <v>160</v>
      </c>
      <c r="E34" s="2">
        <f>NETWORKDAYS(E$4,EOMONTH(E$4,0)+1,$U$5:$U$20)*8</f>
        <v>184</v>
      </c>
      <c r="F34" s="2">
        <f>NETWORKDAYS(F$4,EOMONTH(F$4,0)+1,$U$5:$U$20)*8</f>
        <v>160</v>
      </c>
      <c r="G34" s="2">
        <f>NETWORKDAYS(G$4,EOMONTH(G$4,0)+1,$U$5:$U$20)*8</f>
        <v>184</v>
      </c>
      <c r="H34" s="2">
        <f>NETWORKDAYS(H$4,EOMONTH(H$4,0)+1,$U$5:$U$20)*8</f>
        <v>168</v>
      </c>
      <c r="I34" s="2">
        <f>NETWORKDAYS(I$4,EOMONTH(I$4,0)+1,$U$5:$U$20)*8</f>
        <v>160</v>
      </c>
      <c r="J34" s="2">
        <f>NETWORKDAYS(J$4,EOMONTH(J$4,0)+1,$U$5:$U$20)*8</f>
        <v>184</v>
      </c>
      <c r="K34" s="2">
        <f>NETWORKDAYS(K$4,EOMONTH(K$4,0)+1,$U$5:$U$20)*8</f>
        <v>160</v>
      </c>
      <c r="L34" s="2">
        <f>NETWORKDAYS(L$4,EOMONTH(L$4,0)+1,$U$5:$U$20)*8</f>
        <v>176</v>
      </c>
      <c r="M34" s="2">
        <f>NETWORKDAYS(M$4,EOMONTH(M$4,0)+1,$U$5:$U$20)*8</f>
        <v>168</v>
      </c>
      <c r="N34" s="2">
        <f>NETWORKDAYS(N$4,EOMONTH(N$4,0)+1,$U$5:$U$20)*8</f>
        <v>168</v>
      </c>
      <c r="P34" s="77">
        <f>Natural!P34</f>
        <v>1.7000000000000001E-4</v>
      </c>
      <c r="Q34" t="s">
        <v>53</v>
      </c>
    </row>
    <row r="35" spans="2:17" x14ac:dyDescent="0.2"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77">
        <f>Natural!P35</f>
        <v>5.0000000000000002E-5</v>
      </c>
      <c r="Q35" t="s">
        <v>54</v>
      </c>
    </row>
    <row r="36" spans="2:17" x14ac:dyDescent="0.2">
      <c r="B36" t="s">
        <v>0</v>
      </c>
      <c r="C36" s="2">
        <v>16</v>
      </c>
      <c r="D36" s="2">
        <v>16</v>
      </c>
      <c r="E36" s="2">
        <v>16</v>
      </c>
      <c r="F36" s="2">
        <v>17</v>
      </c>
      <c r="G36" s="2">
        <v>18</v>
      </c>
      <c r="H36" s="2">
        <v>18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f>Natural!P36</f>
        <v>2.5000000000000001E-3</v>
      </c>
      <c r="Q36" t="s">
        <v>55</v>
      </c>
    </row>
    <row r="37" spans="2:17" x14ac:dyDescent="0.2">
      <c r="B37" t="s">
        <v>1</v>
      </c>
      <c r="C37" s="5">
        <v>225</v>
      </c>
      <c r="D37" s="5">
        <v>225</v>
      </c>
      <c r="E37" s="5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f>Natural!P37</f>
        <v>3.5000000000000001E-3</v>
      </c>
      <c r="Q37" t="s">
        <v>56</v>
      </c>
    </row>
    <row r="38" spans="2:17" x14ac:dyDescent="0.2">
      <c r="B38" t="s">
        <v>2</v>
      </c>
      <c r="C38" s="2">
        <f>C36*8</f>
        <v>128</v>
      </c>
      <c r="D38" s="2">
        <f t="shared" ref="D38:N38" si="9">D36*8</f>
        <v>128</v>
      </c>
      <c r="E38" s="2">
        <f t="shared" si="9"/>
        <v>128</v>
      </c>
      <c r="F38" s="2">
        <f t="shared" si="9"/>
        <v>136</v>
      </c>
      <c r="G38" s="2">
        <f t="shared" si="9"/>
        <v>144</v>
      </c>
      <c r="H38" s="2">
        <f t="shared" si="9"/>
        <v>144</v>
      </c>
      <c r="I38" s="2">
        <f t="shared" si="9"/>
        <v>144</v>
      </c>
      <c r="J38" s="2">
        <f t="shared" si="9"/>
        <v>152</v>
      </c>
      <c r="K38" s="2">
        <f t="shared" si="9"/>
        <v>152</v>
      </c>
      <c r="L38" s="2">
        <f t="shared" si="9"/>
        <v>152</v>
      </c>
      <c r="M38" s="2">
        <f t="shared" si="9"/>
        <v>152</v>
      </c>
      <c r="N38" s="2">
        <f t="shared" si="9"/>
        <v>160</v>
      </c>
      <c r="P38" s="77">
        <f>Natural!P38</f>
        <v>5.0000000000000001E-4</v>
      </c>
      <c r="Q38" t="s">
        <v>57</v>
      </c>
    </row>
    <row r="39" spans="2:17" x14ac:dyDescent="0.2">
      <c r="B39" t="s">
        <v>3</v>
      </c>
      <c r="C39" s="6">
        <f>6/8</f>
        <v>0.75</v>
      </c>
      <c r="D39" s="6">
        <f t="shared" ref="D39:N39" si="10">6/8</f>
        <v>0.75</v>
      </c>
      <c r="E39" s="6">
        <f t="shared" si="10"/>
        <v>0.75</v>
      </c>
      <c r="F39" s="6">
        <f t="shared" si="10"/>
        <v>0.75</v>
      </c>
      <c r="G39" s="6">
        <f t="shared" si="10"/>
        <v>0.75</v>
      </c>
      <c r="H39" s="6">
        <f t="shared" si="10"/>
        <v>0.75</v>
      </c>
      <c r="I39" s="6">
        <f t="shared" si="10"/>
        <v>0.75</v>
      </c>
      <c r="J39" s="6">
        <f t="shared" si="10"/>
        <v>0.75</v>
      </c>
      <c r="K39" s="6">
        <f t="shared" si="10"/>
        <v>0.75</v>
      </c>
      <c r="L39" s="6">
        <f t="shared" si="10"/>
        <v>0.75</v>
      </c>
      <c r="M39" s="6">
        <f t="shared" si="10"/>
        <v>0.75</v>
      </c>
      <c r="N39" s="6">
        <f t="shared" si="10"/>
        <v>0.75</v>
      </c>
      <c r="P39" s="77">
        <f>Natural!P39</f>
        <v>6.4999999999999997E-3</v>
      </c>
      <c r="Q39" t="s">
        <v>58</v>
      </c>
    </row>
    <row r="40" spans="2:17" x14ac:dyDescent="0.2">
      <c r="B40" s="41" t="s">
        <v>6</v>
      </c>
      <c r="C40" s="22">
        <f>5/8</f>
        <v>0.625</v>
      </c>
      <c r="D40" s="22">
        <f t="shared" ref="D40:N40" si="11">5/8</f>
        <v>0.625</v>
      </c>
      <c r="E40" s="22">
        <f t="shared" si="11"/>
        <v>0.625</v>
      </c>
      <c r="F40" s="22">
        <f t="shared" si="11"/>
        <v>0.625</v>
      </c>
      <c r="G40" s="22">
        <f t="shared" si="11"/>
        <v>0.625</v>
      </c>
      <c r="H40" s="22">
        <f t="shared" si="11"/>
        <v>0.625</v>
      </c>
      <c r="I40" s="22">
        <f t="shared" si="11"/>
        <v>0.625</v>
      </c>
      <c r="J40" s="22">
        <f t="shared" si="11"/>
        <v>0.625</v>
      </c>
      <c r="K40" s="22">
        <f t="shared" si="11"/>
        <v>0.625</v>
      </c>
      <c r="L40" s="22">
        <f t="shared" si="11"/>
        <v>0.625</v>
      </c>
      <c r="M40" s="22">
        <f t="shared" si="11"/>
        <v>0.625</v>
      </c>
      <c r="N40" s="22">
        <f t="shared" si="11"/>
        <v>0.625</v>
      </c>
      <c r="P40" s="77">
        <f>Natural!P40</f>
        <v>7.4999999999999997E-3</v>
      </c>
      <c r="Q40" t="s">
        <v>59</v>
      </c>
    </row>
    <row r="41" spans="2:17" x14ac:dyDescent="0.2">
      <c r="B41" s="1" t="s">
        <v>25</v>
      </c>
      <c r="C41" s="13">
        <f>((C34*C36)-C38)*C37*C40</f>
        <v>360000</v>
      </c>
      <c r="D41" s="13">
        <f t="shared" ref="D41:N41" si="12">((D34*D36)-D38)*D37*D40</f>
        <v>342000</v>
      </c>
      <c r="E41" s="13">
        <f t="shared" si="12"/>
        <v>396000</v>
      </c>
      <c r="F41" s="13">
        <f t="shared" si="12"/>
        <v>379525</v>
      </c>
      <c r="G41" s="13">
        <f t="shared" si="12"/>
        <v>465300</v>
      </c>
      <c r="H41" s="13">
        <f t="shared" si="12"/>
        <v>423000</v>
      </c>
      <c r="I41" s="13">
        <f t="shared" si="12"/>
        <v>401850</v>
      </c>
      <c r="J41" s="13">
        <f t="shared" si="12"/>
        <v>491150</v>
      </c>
      <c r="K41" s="13">
        <f t="shared" si="12"/>
        <v>424175</v>
      </c>
      <c r="L41" s="13">
        <f t="shared" si="12"/>
        <v>468825</v>
      </c>
      <c r="M41" s="13">
        <f t="shared" si="12"/>
        <v>446500</v>
      </c>
      <c r="N41" s="13">
        <f t="shared" si="12"/>
        <v>470000</v>
      </c>
      <c r="P41" s="77">
        <f>Natural!P41</f>
        <v>7.4999999999999997E-3</v>
      </c>
      <c r="Q41" t="s">
        <v>60</v>
      </c>
    </row>
    <row r="43" spans="2:17" x14ac:dyDescent="0.2">
      <c r="B43" t="s">
        <v>4</v>
      </c>
      <c r="C43" s="2">
        <v>5</v>
      </c>
      <c r="D43" s="2">
        <v>5</v>
      </c>
      <c r="E43" s="2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  <c r="P43" s="73">
        <v>0.63</v>
      </c>
      <c r="Q43" t="s">
        <v>89</v>
      </c>
    </row>
    <row r="44" spans="2:17" x14ac:dyDescent="0.2">
      <c r="B44" t="s">
        <v>5</v>
      </c>
      <c r="C44" s="5">
        <v>315</v>
      </c>
      <c r="D44" s="5">
        <v>315</v>
      </c>
      <c r="E44" s="5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  <c r="P44" s="73">
        <v>0.22</v>
      </c>
      <c r="Q44" t="s">
        <v>90</v>
      </c>
    </row>
    <row r="45" spans="2:17" x14ac:dyDescent="0.2">
      <c r="B45" t="s">
        <v>2</v>
      </c>
      <c r="C45" s="2">
        <f>C43*8</f>
        <v>40</v>
      </c>
      <c r="D45" s="2">
        <f t="shared" ref="D45:N45" si="13">D43*8</f>
        <v>40</v>
      </c>
      <c r="E45" s="2">
        <f t="shared" si="13"/>
        <v>40</v>
      </c>
      <c r="F45" s="2">
        <f t="shared" si="13"/>
        <v>48</v>
      </c>
      <c r="G45" s="2">
        <f t="shared" si="13"/>
        <v>48</v>
      </c>
      <c r="H45" s="2">
        <f t="shared" si="13"/>
        <v>48</v>
      </c>
      <c r="I45" s="2">
        <f t="shared" si="13"/>
        <v>48</v>
      </c>
      <c r="J45" s="2">
        <f t="shared" si="13"/>
        <v>48</v>
      </c>
      <c r="K45" s="2">
        <f t="shared" si="13"/>
        <v>48</v>
      </c>
      <c r="L45" s="2">
        <f t="shared" si="13"/>
        <v>56</v>
      </c>
      <c r="M45" s="2">
        <f t="shared" si="13"/>
        <v>56</v>
      </c>
      <c r="N45" s="2">
        <f t="shared" si="13"/>
        <v>56</v>
      </c>
      <c r="P45" s="73">
        <v>0.1</v>
      </c>
      <c r="Q45" t="s">
        <v>91</v>
      </c>
    </row>
    <row r="46" spans="2:17" x14ac:dyDescent="0.2">
      <c r="B46" s="41" t="s">
        <v>6</v>
      </c>
      <c r="C46" s="22">
        <f>3/8</f>
        <v>0.375</v>
      </c>
      <c r="D46" s="22">
        <f t="shared" ref="D46:N46" si="14">3/8</f>
        <v>0.375</v>
      </c>
      <c r="E46" s="22">
        <f t="shared" si="14"/>
        <v>0.375</v>
      </c>
      <c r="F46" s="22">
        <f t="shared" si="14"/>
        <v>0.375</v>
      </c>
      <c r="G46" s="22">
        <f t="shared" si="14"/>
        <v>0.375</v>
      </c>
      <c r="H46" s="22">
        <f t="shared" si="14"/>
        <v>0.375</v>
      </c>
      <c r="I46" s="22">
        <f t="shared" si="14"/>
        <v>0.375</v>
      </c>
      <c r="J46" s="22">
        <f t="shared" si="14"/>
        <v>0.375</v>
      </c>
      <c r="K46" s="22">
        <f t="shared" si="14"/>
        <v>0.375</v>
      </c>
      <c r="L46" s="22">
        <f t="shared" si="14"/>
        <v>0.375</v>
      </c>
      <c r="M46" s="22">
        <f t="shared" si="14"/>
        <v>0.375</v>
      </c>
      <c r="N46" s="22">
        <f t="shared" si="14"/>
        <v>0.375</v>
      </c>
      <c r="P46" s="73">
        <v>0.05</v>
      </c>
      <c r="Q46" t="s">
        <v>92</v>
      </c>
    </row>
    <row r="47" spans="2:17" x14ac:dyDescent="0.2">
      <c r="B47" s="1" t="s">
        <v>25</v>
      </c>
      <c r="C47" s="13">
        <f>((C34*C43)-C45)*C44*C46</f>
        <v>94500</v>
      </c>
      <c r="D47" s="13">
        <f t="shared" ref="D47:N47" si="15">((D34*D43)-D45)*D44*D46</f>
        <v>89775</v>
      </c>
      <c r="E47" s="13">
        <f t="shared" si="15"/>
        <v>103950</v>
      </c>
      <c r="F47" s="13">
        <f t="shared" si="15"/>
        <v>111150</v>
      </c>
      <c r="G47" s="13">
        <f t="shared" si="15"/>
        <v>128700</v>
      </c>
      <c r="H47" s="13">
        <f t="shared" si="15"/>
        <v>117000</v>
      </c>
      <c r="I47" s="13">
        <f t="shared" si="15"/>
        <v>111150</v>
      </c>
      <c r="J47" s="13">
        <f t="shared" si="15"/>
        <v>128700</v>
      </c>
      <c r="K47" s="13">
        <f t="shared" si="15"/>
        <v>111150</v>
      </c>
      <c r="L47" s="13">
        <f t="shared" si="15"/>
        <v>143325</v>
      </c>
      <c r="M47" s="13">
        <f t="shared" si="15"/>
        <v>136500</v>
      </c>
      <c r="N47" s="13">
        <f t="shared" si="15"/>
        <v>136500</v>
      </c>
    </row>
    <row r="49" spans="2:14" x14ac:dyDescent="0.2">
      <c r="B49" s="23" t="s">
        <v>66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26">
        <v>0</v>
      </c>
      <c r="D50" s="26">
        <f>C12/12</f>
        <v>153190.23301159657</v>
      </c>
      <c r="E50" s="26">
        <f t="shared" ref="E50:N50" si="16">D12/12</f>
        <v>169090.83155475667</v>
      </c>
      <c r="F50" s="26">
        <f t="shared" si="16"/>
        <v>265251.83996901853</v>
      </c>
      <c r="G50" s="26">
        <f t="shared" si="16"/>
        <v>163427.07720225363</v>
      </c>
      <c r="H50" s="26">
        <f t="shared" si="16"/>
        <v>188303.63798161977</v>
      </c>
      <c r="I50" s="26">
        <f t="shared" si="16"/>
        <v>277544.04009253083</v>
      </c>
      <c r="J50" s="26">
        <f t="shared" si="16"/>
        <v>235773.56834553348</v>
      </c>
      <c r="K50" s="26">
        <f t="shared" si="16"/>
        <v>204711.9448518455</v>
      </c>
      <c r="L50" s="26">
        <f t="shared" si="16"/>
        <v>273062.85140419292</v>
      </c>
      <c r="M50" s="26">
        <f t="shared" si="16"/>
        <v>194727.24305957937</v>
      </c>
      <c r="N50" s="26">
        <f t="shared" si="16"/>
        <v>241311.15892998144</v>
      </c>
    </row>
    <row r="51" spans="2:14" x14ac:dyDescent="0.2">
      <c r="B51" s="58" t="s">
        <v>67</v>
      </c>
      <c r="C51" s="26">
        <v>5500000</v>
      </c>
      <c r="D51" s="26">
        <f>C51*$P$15*$P$16+((1-$P$16)*C51)</f>
        <v>5459895.833333333</v>
      </c>
      <c r="E51" s="26">
        <f>D51*$P$15*$P$16+((1-$P$16)*D51)</f>
        <v>5420084.092881944</v>
      </c>
      <c r="F51" s="26">
        <f>E51*$P$15*$P$16+((1-$P$16)*E51)</f>
        <v>5380562.646371346</v>
      </c>
      <c r="G51" s="26">
        <f>F51*$P$15*$P$16+((1-$P$16)*F51)</f>
        <v>5341329.377074888</v>
      </c>
      <c r="H51" s="26">
        <f>G51*$P$15*$P$16+((1-$P$16)*G51)</f>
        <v>5302382.1837003836</v>
      </c>
      <c r="I51" s="26">
        <f>H51*$P$15*$P$16+((1-$P$16)*H51)</f>
        <v>5263718.9802775681</v>
      </c>
      <c r="J51" s="26">
        <f>I51*$P$15*$P$16+((1-$P$16)*I51)</f>
        <v>5225337.6960463775</v>
      </c>
      <c r="K51" s="26">
        <f>J51*$P$15*$P$16+((1-$P$16)*J51)</f>
        <v>5187236.2753460389</v>
      </c>
      <c r="L51" s="26">
        <f>K51*$P$15*$P$16+((1-$P$16)*K51)</f>
        <v>5149412.6775049744</v>
      </c>
      <c r="M51" s="26">
        <f>L51*$P$15*$P$16+((1-$P$16)*L51)</f>
        <v>5111864.8767315</v>
      </c>
      <c r="N51" s="26">
        <f>M51*$P$15*$P$16+((1-$P$16)*M51)</f>
        <v>5074590.8620053325</v>
      </c>
    </row>
    <row r="52" spans="2:14" x14ac:dyDescent="0.2">
      <c r="B52" s="67" t="s">
        <v>70</v>
      </c>
      <c r="C52" s="68">
        <f>C$51*$P18</f>
        <v>2502500</v>
      </c>
      <c r="D52" s="68">
        <f>D$51*$P18</f>
        <v>2484252.6041666665</v>
      </c>
      <c r="E52" s="68">
        <f>E$51*$P18</f>
        <v>2466138.2622612845</v>
      </c>
      <c r="F52" s="68">
        <f>F$51*$P18</f>
        <v>2448156.0040989625</v>
      </c>
      <c r="G52" s="68">
        <f>G$51*$P18</f>
        <v>2430304.8665690743</v>
      </c>
      <c r="H52" s="68">
        <f>H$51*$P18</f>
        <v>2412583.8935836744</v>
      </c>
      <c r="I52" s="68">
        <f>I$51*$P18</f>
        <v>2394992.1360262935</v>
      </c>
      <c r="J52" s="68">
        <f>J$51*$P18</f>
        <v>2377528.651701102</v>
      </c>
      <c r="K52" s="68">
        <f>K$51*$P18</f>
        <v>2360192.5052824477</v>
      </c>
      <c r="L52" s="68">
        <f>L$51*$P18</f>
        <v>2342982.7682647635</v>
      </c>
      <c r="M52" s="68">
        <f>M$51*$P18</f>
        <v>2325898.5189128327</v>
      </c>
      <c r="N52" s="68">
        <f>N$51*$P18</f>
        <v>2308938.8422124265</v>
      </c>
    </row>
    <row r="53" spans="2:14" x14ac:dyDescent="0.2">
      <c r="B53" s="67" t="s">
        <v>71</v>
      </c>
      <c r="C53" s="68">
        <f>C$51*$P19</f>
        <v>2447500</v>
      </c>
      <c r="D53" s="68">
        <f>D$51*$P19</f>
        <v>2429653.645833333</v>
      </c>
      <c r="E53" s="68">
        <f>E$51*$P19</f>
        <v>2411937.421332465</v>
      </c>
      <c r="F53" s="68">
        <f>F$51*$P19</f>
        <v>2394350.3776352489</v>
      </c>
      <c r="G53" s="68">
        <f>G$51*$P19</f>
        <v>2376891.5727983252</v>
      </c>
      <c r="H53" s="68">
        <f>H$51*$P19</f>
        <v>2359560.0717466706</v>
      </c>
      <c r="I53" s="68">
        <f>I$51*$P19</f>
        <v>2342354.9462235179</v>
      </c>
      <c r="J53" s="68">
        <f>J$51*$P19</f>
        <v>2325275.2747406382</v>
      </c>
      <c r="K53" s="68">
        <f>K$51*$P19</f>
        <v>2308320.1425289875</v>
      </c>
      <c r="L53" s="68">
        <f>L$51*$P19</f>
        <v>2291488.6414897135</v>
      </c>
      <c r="M53" s="68">
        <f>M$51*$P19</f>
        <v>2274779.8701455174</v>
      </c>
      <c r="N53" s="68">
        <f>N$51*$P19</f>
        <v>2258192.933592373</v>
      </c>
    </row>
    <row r="54" spans="2:14" x14ac:dyDescent="0.2">
      <c r="B54" s="67" t="s">
        <v>72</v>
      </c>
      <c r="C54" s="68">
        <f>C$51*$P20</f>
        <v>330000</v>
      </c>
      <c r="D54" s="68">
        <f>D$51*$P20</f>
        <v>327593.74999999994</v>
      </c>
      <c r="E54" s="68">
        <f>E$51*$P20</f>
        <v>325205.04557291663</v>
      </c>
      <c r="F54" s="68">
        <f>F$51*$P20</f>
        <v>322833.75878228073</v>
      </c>
      <c r="G54" s="68">
        <f>G$51*$P20</f>
        <v>320479.76262449328</v>
      </c>
      <c r="H54" s="68">
        <f>H$51*$P20</f>
        <v>318142.93102202303</v>
      </c>
      <c r="I54" s="68">
        <f>I$51*$P20</f>
        <v>315823.1388166541</v>
      </c>
      <c r="J54" s="68">
        <f>J$51*$P20</f>
        <v>313520.26176278264</v>
      </c>
      <c r="K54" s="68">
        <f>K$51*$P20</f>
        <v>311234.17652076232</v>
      </c>
      <c r="L54" s="68">
        <f>L$51*$P20</f>
        <v>308964.76065029844</v>
      </c>
      <c r="M54" s="68">
        <f>M$51*$P20</f>
        <v>306711.89260388998</v>
      </c>
      <c r="N54" s="68">
        <f>N$51*$P20</f>
        <v>304475.45172031992</v>
      </c>
    </row>
    <row r="55" spans="2:14" x14ac:dyDescent="0.2">
      <c r="B55" s="67" t="s">
        <v>73</v>
      </c>
      <c r="C55" s="68">
        <f>C$51*$P21</f>
        <v>220000</v>
      </c>
      <c r="D55" s="68">
        <f>D$51*$P21</f>
        <v>218395.83333333331</v>
      </c>
      <c r="E55" s="68">
        <f>E$51*$P21</f>
        <v>216803.36371527775</v>
      </c>
      <c r="F55" s="68">
        <f>F$51*$P21</f>
        <v>215222.50585485384</v>
      </c>
      <c r="G55" s="68">
        <f>G$51*$P21</f>
        <v>213653.17508299553</v>
      </c>
      <c r="H55" s="68">
        <f>H$51*$P21</f>
        <v>212095.28734801535</v>
      </c>
      <c r="I55" s="68">
        <f>I$51*$P21</f>
        <v>210548.75921110273</v>
      </c>
      <c r="J55" s="68">
        <f>J$51*$P21</f>
        <v>209013.50784185511</v>
      </c>
      <c r="K55" s="68">
        <f>K$51*$P21</f>
        <v>207489.45101384155</v>
      </c>
      <c r="L55" s="68">
        <f>L$51*$P21</f>
        <v>205976.50710019897</v>
      </c>
      <c r="M55" s="68">
        <f>M$51*$P21</f>
        <v>204474.59506926002</v>
      </c>
      <c r="N55" s="68">
        <f>N$51*$P21</f>
        <v>202983.63448021331</v>
      </c>
    </row>
    <row r="56" spans="2:14" x14ac:dyDescent="0.2">
      <c r="B56" s="58" t="s">
        <v>68</v>
      </c>
      <c r="C56" s="26">
        <f>SUM(C57:C58)</f>
        <v>454500</v>
      </c>
      <c r="D56" s="26">
        <f t="shared" ref="D56:N56" si="17">SUM(D57:D58)</f>
        <v>431775</v>
      </c>
      <c r="E56" s="26">
        <f t="shared" si="17"/>
        <v>499950</v>
      </c>
      <c r="F56" s="26">
        <f t="shared" si="17"/>
        <v>490675</v>
      </c>
      <c r="G56" s="26">
        <f t="shared" si="17"/>
        <v>594000</v>
      </c>
      <c r="H56" s="26">
        <f t="shared" si="17"/>
        <v>540000</v>
      </c>
      <c r="I56" s="26">
        <f t="shared" si="17"/>
        <v>513000</v>
      </c>
      <c r="J56" s="26">
        <f t="shared" si="17"/>
        <v>619850</v>
      </c>
      <c r="K56" s="26">
        <f t="shared" si="17"/>
        <v>535325</v>
      </c>
      <c r="L56" s="26">
        <f t="shared" si="17"/>
        <v>612150</v>
      </c>
      <c r="M56" s="26">
        <f t="shared" si="17"/>
        <v>583000</v>
      </c>
      <c r="N56" s="26">
        <f t="shared" si="17"/>
        <v>606500</v>
      </c>
    </row>
    <row r="57" spans="2:14" x14ac:dyDescent="0.2">
      <c r="B57" s="67" t="s">
        <v>22</v>
      </c>
      <c r="C57" s="68">
        <f>C41</f>
        <v>360000</v>
      </c>
      <c r="D57" s="68">
        <f t="shared" ref="D57:N57" si="18">D41</f>
        <v>342000</v>
      </c>
      <c r="E57" s="68">
        <f t="shared" si="18"/>
        <v>396000</v>
      </c>
      <c r="F57" s="68">
        <f t="shared" si="18"/>
        <v>379525</v>
      </c>
      <c r="G57" s="68">
        <f t="shared" si="18"/>
        <v>465300</v>
      </c>
      <c r="H57" s="68">
        <f t="shared" si="18"/>
        <v>423000</v>
      </c>
      <c r="I57" s="68">
        <f t="shared" si="18"/>
        <v>401850</v>
      </c>
      <c r="J57" s="68">
        <f t="shared" si="18"/>
        <v>491150</v>
      </c>
      <c r="K57" s="68">
        <f t="shared" si="18"/>
        <v>424175</v>
      </c>
      <c r="L57" s="68">
        <f t="shared" si="18"/>
        <v>468825</v>
      </c>
      <c r="M57" s="68">
        <f t="shared" si="18"/>
        <v>446500</v>
      </c>
      <c r="N57" s="68">
        <f t="shared" si="18"/>
        <v>470000</v>
      </c>
    </row>
    <row r="58" spans="2:14" x14ac:dyDescent="0.2">
      <c r="B58" s="69" t="s">
        <v>23</v>
      </c>
      <c r="C58" s="70">
        <f>C47</f>
        <v>94500</v>
      </c>
      <c r="D58" s="70">
        <f t="shared" ref="D58:N58" si="19">D47</f>
        <v>89775</v>
      </c>
      <c r="E58" s="70">
        <f t="shared" si="19"/>
        <v>103950</v>
      </c>
      <c r="F58" s="70">
        <f t="shared" si="19"/>
        <v>111150</v>
      </c>
      <c r="G58" s="70">
        <f t="shared" si="19"/>
        <v>128700</v>
      </c>
      <c r="H58" s="70">
        <f t="shared" si="19"/>
        <v>117000</v>
      </c>
      <c r="I58" s="70">
        <f t="shared" si="19"/>
        <v>111150</v>
      </c>
      <c r="J58" s="70">
        <f t="shared" si="19"/>
        <v>128700</v>
      </c>
      <c r="K58" s="70">
        <f t="shared" si="19"/>
        <v>111150</v>
      </c>
      <c r="L58" s="70">
        <f t="shared" si="19"/>
        <v>143325</v>
      </c>
      <c r="M58" s="70">
        <f t="shared" si="19"/>
        <v>136500</v>
      </c>
      <c r="N58" s="70">
        <f t="shared" si="19"/>
        <v>136500</v>
      </c>
    </row>
    <row r="59" spans="2:14" x14ac:dyDescent="0.2">
      <c r="B59" s="23" t="s">
        <v>69</v>
      </c>
      <c r="C59" s="28">
        <f>C50+C51+C56</f>
        <v>5954500</v>
      </c>
      <c r="D59" s="28">
        <f t="shared" ref="D59:N59" si="20">D50+D51+D56</f>
        <v>6044861.0663449299</v>
      </c>
      <c r="E59" s="28">
        <f t="shared" si="20"/>
        <v>6089124.9244367005</v>
      </c>
      <c r="F59" s="28">
        <f t="shared" si="20"/>
        <v>6136489.4863403644</v>
      </c>
      <c r="G59" s="28">
        <f t="shared" si="20"/>
        <v>6098756.454277142</v>
      </c>
      <c r="H59" s="28">
        <f t="shared" si="20"/>
        <v>6030685.8216820033</v>
      </c>
      <c r="I59" s="28">
        <f t="shared" si="20"/>
        <v>6054263.0203700988</v>
      </c>
      <c r="J59" s="28">
        <f t="shared" si="20"/>
        <v>6080961.2643919112</v>
      </c>
      <c r="K59" s="28">
        <f t="shared" si="20"/>
        <v>5927273.2201978844</v>
      </c>
      <c r="L59" s="28">
        <f t="shared" si="20"/>
        <v>6034625.5289091673</v>
      </c>
      <c r="M59" s="28">
        <f t="shared" si="20"/>
        <v>5889592.1197910793</v>
      </c>
      <c r="N59" s="28">
        <f t="shared" si="20"/>
        <v>5922402.0209353138</v>
      </c>
    </row>
    <row r="60" spans="2:14" x14ac:dyDescent="0.2">
      <c r="B60" s="5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26">
        <f>C$59*$P23</f>
        <v>327497.5</v>
      </c>
      <c r="D62" s="26">
        <f>D$59*$P23</f>
        <v>332467.35864897113</v>
      </c>
      <c r="E62" s="26">
        <f>E$59*$P23</f>
        <v>334901.87084401853</v>
      </c>
      <c r="F62" s="26">
        <f>F$59*$P23</f>
        <v>337506.92174872005</v>
      </c>
      <c r="G62" s="26">
        <f>G$59*$P23</f>
        <v>335431.60498524283</v>
      </c>
      <c r="H62" s="26">
        <f>H$59*$P23</f>
        <v>331687.72019251017</v>
      </c>
      <c r="I62" s="26">
        <f>I$59*$P23</f>
        <v>332984.46612035541</v>
      </c>
      <c r="J62" s="26">
        <f>J$59*$P23</f>
        <v>334452.86954155512</v>
      </c>
      <c r="K62" s="26">
        <f>K$59*$P23</f>
        <v>326000.02711088362</v>
      </c>
      <c r="L62" s="26">
        <f>L$59*$P23</f>
        <v>331904.40409000422</v>
      </c>
      <c r="M62" s="26">
        <f>M$59*$P23</f>
        <v>323927.56658850936</v>
      </c>
      <c r="N62" s="26">
        <f>N$59*$P23</f>
        <v>325732.11115144228</v>
      </c>
    </row>
    <row r="63" spans="2:14" x14ac:dyDescent="0.2">
      <c r="B63" s="64" t="s">
        <v>45</v>
      </c>
      <c r="C63" s="26">
        <f>C$59*$P24</f>
        <v>238180</v>
      </c>
      <c r="D63" s="26">
        <f>D$59*$P24</f>
        <v>241794.44265379719</v>
      </c>
      <c r="E63" s="26">
        <f>E$59*$P24</f>
        <v>243564.99697746802</v>
      </c>
      <c r="F63" s="26">
        <f>F$59*$P24</f>
        <v>245459.57945361457</v>
      </c>
      <c r="G63" s="26">
        <f>G$59*$P24</f>
        <v>243950.25817108568</v>
      </c>
      <c r="H63" s="26">
        <f>H$59*$P24</f>
        <v>241227.43286728015</v>
      </c>
      <c r="I63" s="26">
        <f>I$59*$P24</f>
        <v>242170.52081480395</v>
      </c>
      <c r="J63" s="26">
        <f>J$59*$P24</f>
        <v>243238.45057567646</v>
      </c>
      <c r="K63" s="26">
        <f>K$59*$P24</f>
        <v>237090.92880791539</v>
      </c>
      <c r="L63" s="26">
        <f>L$59*$P24</f>
        <v>241385.02115636668</v>
      </c>
      <c r="M63" s="26">
        <f>M$59*$P24</f>
        <v>235583.68479164317</v>
      </c>
      <c r="N63" s="26">
        <f>N$59*$P24</f>
        <v>236896.08083741256</v>
      </c>
    </row>
    <row r="64" spans="2:14" x14ac:dyDescent="0.2">
      <c r="B64" s="64" t="s">
        <v>74</v>
      </c>
      <c r="C64" s="26">
        <f>C$59*$P25</f>
        <v>238180</v>
      </c>
      <c r="D64" s="26">
        <f>D$59*$P25</f>
        <v>241794.44265379719</v>
      </c>
      <c r="E64" s="26">
        <f>E$59*$P25</f>
        <v>243564.99697746802</v>
      </c>
      <c r="F64" s="26">
        <f>F$59*$P25</f>
        <v>245459.57945361457</v>
      </c>
      <c r="G64" s="26">
        <f>G$59*$P25</f>
        <v>243950.25817108568</v>
      </c>
      <c r="H64" s="26">
        <f>H$59*$P25</f>
        <v>241227.43286728015</v>
      </c>
      <c r="I64" s="26">
        <f>I$59*$P25</f>
        <v>242170.52081480395</v>
      </c>
      <c r="J64" s="26">
        <f>J$59*$P25</f>
        <v>243238.45057567646</v>
      </c>
      <c r="K64" s="26">
        <f>K$59*$P25</f>
        <v>237090.92880791539</v>
      </c>
      <c r="L64" s="26">
        <f>L$59*$P25</f>
        <v>241385.02115636668</v>
      </c>
      <c r="M64" s="26">
        <f>M$59*$P25</f>
        <v>235583.68479164317</v>
      </c>
      <c r="N64" s="26">
        <f>N$59*$P25</f>
        <v>236896.08083741256</v>
      </c>
    </row>
    <row r="65" spans="2:14" x14ac:dyDescent="0.2">
      <c r="B65" s="65" t="s">
        <v>75</v>
      </c>
      <c r="C65" s="32">
        <f>C$59*$P26</f>
        <v>244134.5</v>
      </c>
      <c r="D65" s="32">
        <f>D$59*$P26</f>
        <v>247839.30372014214</v>
      </c>
      <c r="E65" s="32">
        <f>E$59*$P26</f>
        <v>249654.12190190473</v>
      </c>
      <c r="F65" s="32">
        <f>F$59*$P26</f>
        <v>251596.06893995494</v>
      </c>
      <c r="G65" s="32">
        <f>G$59*$P26</f>
        <v>250049.01462536282</v>
      </c>
      <c r="H65" s="32">
        <f>H$59*$P26</f>
        <v>247258.11868896216</v>
      </c>
      <c r="I65" s="32">
        <f>I$59*$P26</f>
        <v>248224.78383517405</v>
      </c>
      <c r="J65" s="32">
        <f>J$59*$P26</f>
        <v>249319.41184006838</v>
      </c>
      <c r="K65" s="32">
        <f>K$59*$P26</f>
        <v>243018.20202811327</v>
      </c>
      <c r="L65" s="32">
        <f>L$59*$P26</f>
        <v>247419.64668527586</v>
      </c>
      <c r="M65" s="32">
        <f>M$59*$P26</f>
        <v>241473.27691143425</v>
      </c>
      <c r="N65" s="32">
        <f>N$59*$P26</f>
        <v>242818.48285834788</v>
      </c>
    </row>
    <row r="66" spans="2:14" x14ac:dyDescent="0.2">
      <c r="B66" s="23" t="s">
        <v>46</v>
      </c>
      <c r="C66" s="42">
        <f>SUM(C62:C65)</f>
        <v>1047992</v>
      </c>
      <c r="D66" s="42">
        <f>SUM(D62:D65)</f>
        <v>1063895.5476767076</v>
      </c>
      <c r="E66" s="42">
        <f>SUM(E62:E65)</f>
        <v>1071685.9867008594</v>
      </c>
      <c r="F66" s="42">
        <f>SUM(F62:F65)</f>
        <v>1080022.1495959042</v>
      </c>
      <c r="G66" s="42">
        <f>SUM(G62:G65)</f>
        <v>1073381.135952777</v>
      </c>
      <c r="H66" s="42">
        <f>SUM(H62:H65)</f>
        <v>1061400.7046160328</v>
      </c>
      <c r="I66" s="42">
        <f>SUM(I62:I65)</f>
        <v>1065550.2915851374</v>
      </c>
      <c r="J66" s="42">
        <f>SUM(J62:J65)</f>
        <v>1070249.1825329764</v>
      </c>
      <c r="K66" s="42">
        <f>SUM(K62:K65)</f>
        <v>1043200.0867548278</v>
      </c>
      <c r="L66" s="42">
        <f>SUM(L62:L65)</f>
        <v>1062094.0930880136</v>
      </c>
      <c r="M66" s="42">
        <f>SUM(M62:M65)</f>
        <v>1036568.21308323</v>
      </c>
      <c r="N66" s="42">
        <f>SUM(N62:N65)</f>
        <v>1042342.7556846153</v>
      </c>
    </row>
    <row r="67" spans="2:14" x14ac:dyDescent="0.2">
      <c r="B67" s="58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26">
        <f>(C34*C36)*(C37*$P$5)</f>
        <v>45360</v>
      </c>
      <c r="D68" s="26">
        <f>(D34*D36)*(D37*$P$5)</f>
        <v>43200</v>
      </c>
      <c r="E68" s="26">
        <f>(E34*E36)*(E37*$P$5)</f>
        <v>49680</v>
      </c>
      <c r="F68" s="26">
        <f>(F34*F36)*(F37*$P$5)</f>
        <v>47940</v>
      </c>
      <c r="G68" s="26">
        <f>(G34*G36)*(G37*$P$5)</f>
        <v>58374</v>
      </c>
      <c r="H68" s="26">
        <f>(H34*H36)*(H37*$P$5)</f>
        <v>53298</v>
      </c>
      <c r="I68" s="26">
        <f>(I34*I36)*(I37*$P$5)</f>
        <v>50760</v>
      </c>
      <c r="J68" s="26">
        <f>(J34*J36)*(J37*$P$5)</f>
        <v>61617</v>
      </c>
      <c r="K68" s="26">
        <f>(K34*K36)*(K37*$P$5)</f>
        <v>53580</v>
      </c>
      <c r="L68" s="26">
        <f>(L34*L36)*(L37*$P$5)</f>
        <v>58938</v>
      </c>
      <c r="M68" s="26">
        <f>(M34*M36)*(M37*$P$5)</f>
        <v>56259</v>
      </c>
      <c r="N68" s="26">
        <f>(N34*N36)*(N37*$P$5)</f>
        <v>59220</v>
      </c>
    </row>
    <row r="69" spans="2:14" x14ac:dyDescent="0.2">
      <c r="B69" s="64" t="s">
        <v>77</v>
      </c>
      <c r="C69" s="26">
        <f>(C34*C43)*(C44*$P$6)</f>
        <v>34398</v>
      </c>
      <c r="D69" s="26">
        <f>(D34*D43)*(D44*$P$6)</f>
        <v>32760.000000000004</v>
      </c>
      <c r="E69" s="26">
        <f>(E34*E43)*(E44*$P$6)</f>
        <v>37674</v>
      </c>
      <c r="F69" s="26">
        <f>(F34*F43)*(F44*$P$6)</f>
        <v>40560</v>
      </c>
      <c r="G69" s="26">
        <f>(G34*G43)*(G44*$P$6)</f>
        <v>46644</v>
      </c>
      <c r="H69" s="26">
        <f>(H34*H43)*(H44*$P$6)</f>
        <v>42588</v>
      </c>
      <c r="I69" s="26">
        <f>(I34*I43)*(I44*$P$6)</f>
        <v>40560</v>
      </c>
      <c r="J69" s="26">
        <f>(J34*J43)*(J44*$P$6)</f>
        <v>46644</v>
      </c>
      <c r="K69" s="26">
        <f>(K34*K43)*(K44*$P$6)</f>
        <v>40560</v>
      </c>
      <c r="L69" s="26">
        <f>(L34*L43)*(L44*$P$6)</f>
        <v>52052</v>
      </c>
      <c r="M69" s="26">
        <f>(M34*M43)*(M44*$P$6)</f>
        <v>49686</v>
      </c>
      <c r="N69" s="26">
        <f>(N34*N43)*(N44*$P$6)</f>
        <v>49686</v>
      </c>
    </row>
    <row r="70" spans="2:14" x14ac:dyDescent="0.2">
      <c r="B70" s="65" t="s">
        <v>27</v>
      </c>
      <c r="C70" s="32">
        <f>$P$7*C12</f>
        <v>18382.827961391591</v>
      </c>
      <c r="D70" s="32">
        <f>$P$7*D12</f>
        <v>20290.899786570801</v>
      </c>
      <c r="E70" s="32">
        <f>$P$7*E12</f>
        <v>31830.220796282229</v>
      </c>
      <c r="F70" s="32">
        <f>$P$7*F12</f>
        <v>19611.249264270435</v>
      </c>
      <c r="G70" s="32">
        <f>$P$7*G12</f>
        <v>22596.436557794372</v>
      </c>
      <c r="H70" s="32">
        <f>$P$7*H12</f>
        <v>33305.284811103702</v>
      </c>
      <c r="I70" s="32">
        <f>$P$7*I12</f>
        <v>28292.828201464021</v>
      </c>
      <c r="J70" s="32">
        <f>$P$7*J12</f>
        <v>24565.433382221461</v>
      </c>
      <c r="K70" s="32">
        <f>$P$7*K12</f>
        <v>32767.542168503154</v>
      </c>
      <c r="L70" s="32">
        <f>$P$7*L12</f>
        <v>23367.269167149523</v>
      </c>
      <c r="M70" s="32">
        <f>$P$7*M12</f>
        <v>28957.339071597773</v>
      </c>
      <c r="N70" s="32">
        <f>$P$7*N12</f>
        <v>31005.054876025319</v>
      </c>
    </row>
    <row r="71" spans="2:14" x14ac:dyDescent="0.2">
      <c r="B71" s="23" t="s">
        <v>24</v>
      </c>
      <c r="C71" s="42">
        <f>SUM(C68:C70)</f>
        <v>98140.827961391595</v>
      </c>
      <c r="D71" s="42">
        <f t="shared" ref="D71:N71" si="21">SUM(D68:D70)</f>
        <v>96250.899786570808</v>
      </c>
      <c r="E71" s="42">
        <f t="shared" si="21"/>
        <v>119184.22079628223</v>
      </c>
      <c r="F71" s="42">
        <f t="shared" si="21"/>
        <v>108111.24926427043</v>
      </c>
      <c r="G71" s="42">
        <f t="shared" si="21"/>
        <v>127614.43655779437</v>
      </c>
      <c r="H71" s="42">
        <f t="shared" si="21"/>
        <v>129191.2848111037</v>
      </c>
      <c r="I71" s="42">
        <f t="shared" si="21"/>
        <v>119612.82820146403</v>
      </c>
      <c r="J71" s="42">
        <f t="shared" si="21"/>
        <v>132826.43338222147</v>
      </c>
      <c r="K71" s="42">
        <f t="shared" si="21"/>
        <v>126907.54216850316</v>
      </c>
      <c r="L71" s="42">
        <f t="shared" si="21"/>
        <v>134357.26916714953</v>
      </c>
      <c r="M71" s="42">
        <f t="shared" si="21"/>
        <v>134902.33907159779</v>
      </c>
      <c r="N71" s="42">
        <f t="shared" si="21"/>
        <v>139911.05487602533</v>
      </c>
    </row>
    <row r="72" spans="2:14" x14ac:dyDescent="0.2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42">
        <f>C59-C66-C71</f>
        <v>4808367.1720386082</v>
      </c>
      <c r="D73" s="42">
        <f t="shared" ref="D73:N73" si="22">D59-D66-D71</f>
        <v>4884714.6188816512</v>
      </c>
      <c r="E73" s="42">
        <f t="shared" si="22"/>
        <v>4898254.7169395583</v>
      </c>
      <c r="F73" s="42">
        <f t="shared" si="22"/>
        <v>4948356.0874801902</v>
      </c>
      <c r="G73" s="42">
        <f t="shared" si="22"/>
        <v>4897760.8817665707</v>
      </c>
      <c r="H73" s="42">
        <f t="shared" si="22"/>
        <v>4840093.8322548671</v>
      </c>
      <c r="I73" s="42">
        <f t="shared" si="22"/>
        <v>4869099.9005834972</v>
      </c>
      <c r="J73" s="42">
        <f t="shared" si="22"/>
        <v>4877885.6484767133</v>
      </c>
      <c r="K73" s="42">
        <f t="shared" si="22"/>
        <v>4757165.5912745539</v>
      </c>
      <c r="L73" s="42">
        <f t="shared" si="22"/>
        <v>4838174.1666540038</v>
      </c>
      <c r="M73" s="42">
        <f t="shared" si="22"/>
        <v>4718121.5676362514</v>
      </c>
      <c r="N73" s="42">
        <f t="shared" si="22"/>
        <v>4740148.2103746729</v>
      </c>
    </row>
    <row r="74" spans="2:14" x14ac:dyDescent="0.2">
      <c r="B74" s="23" t="s">
        <v>29</v>
      </c>
      <c r="C74" s="71">
        <f>C73/C59</f>
        <v>0.80751820842028854</v>
      </c>
      <c r="D74" s="71">
        <f t="shared" ref="D74:N74" si="23">D73/D59</f>
        <v>0.80807723540207521</v>
      </c>
      <c r="E74" s="71">
        <f t="shared" si="23"/>
        <v>0.8044267078972257</v>
      </c>
      <c r="F74" s="71">
        <f t="shared" si="23"/>
        <v>0.80638223181105051</v>
      </c>
      <c r="G74" s="71">
        <f t="shared" si="23"/>
        <v>0.80307533486301186</v>
      </c>
      <c r="H74" s="71">
        <f t="shared" si="23"/>
        <v>0.80257767944955372</v>
      </c>
      <c r="I74" s="71">
        <f t="shared" si="23"/>
        <v>0.80424320585362474</v>
      </c>
      <c r="J74" s="71">
        <f t="shared" si="23"/>
        <v>0.80215700057818018</v>
      </c>
      <c r="K74" s="71">
        <f t="shared" si="23"/>
        <v>0.80258922012637268</v>
      </c>
      <c r="L74" s="71">
        <f t="shared" si="23"/>
        <v>0.80173560786439768</v>
      </c>
      <c r="M74" s="71">
        <f t="shared" si="23"/>
        <v>0.80109479089081925</v>
      </c>
      <c r="N74" s="71">
        <f t="shared" si="23"/>
        <v>0.80037596124318322</v>
      </c>
    </row>
    <row r="75" spans="2:14" x14ac:dyDescent="0.2">
      <c r="B75" s="24"/>
      <c r="C75" s="4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33">
        <f>C$59*$P28</f>
        <v>1012265.0000000001</v>
      </c>
      <c r="D77" s="33">
        <f>D$59*$P28</f>
        <v>1027626.3812786381</v>
      </c>
      <c r="E77" s="33">
        <f>E$59*$P28</f>
        <v>1035151.2371542392</v>
      </c>
      <c r="F77" s="33">
        <f>F$59*$P28</f>
        <v>1043203.212677862</v>
      </c>
      <c r="G77" s="33">
        <f>G$59*$P28</f>
        <v>1036788.5972271143</v>
      </c>
      <c r="H77" s="33">
        <f>H$59*$P28</f>
        <v>1025216.5896859406</v>
      </c>
      <c r="I77" s="33">
        <f>I$59*$P28</f>
        <v>1029224.7134629169</v>
      </c>
      <c r="J77" s="33">
        <f>J$59*$P28</f>
        <v>1033763.414946625</v>
      </c>
      <c r="K77" s="33">
        <f>K$59*$P28</f>
        <v>1007636.4474336404</v>
      </c>
      <c r="L77" s="33">
        <f>L$59*$P28</f>
        <v>1025886.3399145585</v>
      </c>
      <c r="M77" s="33">
        <f>M$59*$P28</f>
        <v>1001230.6603644836</v>
      </c>
      <c r="N77" s="33">
        <f>N$59*$P28</f>
        <v>1006808.3435590034</v>
      </c>
    </row>
    <row r="78" spans="2:14" x14ac:dyDescent="0.2">
      <c r="B78" s="29" t="s">
        <v>48</v>
      </c>
      <c r="C78" s="33">
        <f>C$59*$P29</f>
        <v>506132.50000000006</v>
      </c>
      <c r="D78" s="33">
        <f>D$59*$P29</f>
        <v>513813.19063931907</v>
      </c>
      <c r="E78" s="33">
        <f>E$59*$P29</f>
        <v>517575.6185771196</v>
      </c>
      <c r="F78" s="33">
        <f>F$59*$P29</f>
        <v>521601.60633893101</v>
      </c>
      <c r="G78" s="33">
        <f>G$59*$P29</f>
        <v>518394.29861355713</v>
      </c>
      <c r="H78" s="33">
        <f>H$59*$P29</f>
        <v>512608.29484297032</v>
      </c>
      <c r="I78" s="33">
        <f>I$59*$P29</f>
        <v>514612.35673145845</v>
      </c>
      <c r="J78" s="33">
        <f>J$59*$P29</f>
        <v>516881.7074733125</v>
      </c>
      <c r="K78" s="33">
        <f>K$59*$P29</f>
        <v>503818.22371682018</v>
      </c>
      <c r="L78" s="33">
        <f>L$59*$P29</f>
        <v>512943.16995727923</v>
      </c>
      <c r="M78" s="33">
        <f>M$59*$P29</f>
        <v>500615.3301822418</v>
      </c>
      <c r="N78" s="33">
        <f>N$59*$P29</f>
        <v>503404.17177950172</v>
      </c>
    </row>
    <row r="79" spans="2:14" x14ac:dyDescent="0.2">
      <c r="B79" s="29" t="s">
        <v>49</v>
      </c>
      <c r="C79" s="33">
        <f>C$59*$P30</f>
        <v>238180</v>
      </c>
      <c r="D79" s="33">
        <f>D$59*$P30</f>
        <v>241794.44265379719</v>
      </c>
      <c r="E79" s="33">
        <f>E$59*$P30</f>
        <v>243564.99697746802</v>
      </c>
      <c r="F79" s="33">
        <f>F$59*$P30</f>
        <v>245459.57945361457</v>
      </c>
      <c r="G79" s="33">
        <f>G$59*$P30</f>
        <v>243950.25817108568</v>
      </c>
      <c r="H79" s="33">
        <f>H$59*$P30</f>
        <v>241227.43286728015</v>
      </c>
      <c r="I79" s="33">
        <f>I$59*$P30</f>
        <v>242170.52081480395</v>
      </c>
      <c r="J79" s="33">
        <f>J$59*$P30</f>
        <v>243238.45057567646</v>
      </c>
      <c r="K79" s="33">
        <f>K$59*$P30</f>
        <v>237090.92880791539</v>
      </c>
      <c r="L79" s="33">
        <f>L$59*$P30</f>
        <v>241385.02115636668</v>
      </c>
      <c r="M79" s="33">
        <f>M$59*$P30</f>
        <v>235583.68479164317</v>
      </c>
      <c r="N79" s="33">
        <f>N$59*$P30</f>
        <v>236896.08083741256</v>
      </c>
    </row>
    <row r="80" spans="2:14" x14ac:dyDescent="0.2">
      <c r="B80" s="30" t="s">
        <v>50</v>
      </c>
      <c r="C80" s="32">
        <f>C$59*$P31</f>
        <v>178635</v>
      </c>
      <c r="D80" s="32">
        <f>D$59*$P31</f>
        <v>181345.83199034788</v>
      </c>
      <c r="E80" s="32">
        <f>E$59*$P31</f>
        <v>182673.74773310102</v>
      </c>
      <c r="F80" s="32">
        <f>F$59*$P31</f>
        <v>184094.68459021093</v>
      </c>
      <c r="G80" s="32">
        <f>G$59*$P31</f>
        <v>182962.69362831424</v>
      </c>
      <c r="H80" s="32">
        <f>H$59*$P31</f>
        <v>180920.5746504601</v>
      </c>
      <c r="I80" s="32">
        <f>I$59*$P31</f>
        <v>181627.89061110295</v>
      </c>
      <c r="J80" s="32">
        <f>J$59*$P31</f>
        <v>182428.83793175733</v>
      </c>
      <c r="K80" s="32">
        <f>K$59*$P31</f>
        <v>177818.19660593654</v>
      </c>
      <c r="L80" s="32">
        <f>L$59*$P31</f>
        <v>181038.76586727501</v>
      </c>
      <c r="M80" s="32">
        <f>M$59*$P31</f>
        <v>176687.76359373238</v>
      </c>
      <c r="N80" s="32">
        <f>N$59*$P31</f>
        <v>177672.06062805941</v>
      </c>
    </row>
    <row r="81" spans="2:21" x14ac:dyDescent="0.2">
      <c r="B81" s="23" t="s">
        <v>51</v>
      </c>
      <c r="C81" s="54">
        <f>SUM(C77:C80)</f>
        <v>1935212.5000000002</v>
      </c>
      <c r="D81" s="54">
        <f t="shared" ref="D81:N81" si="24">SUM(D77:D80)</f>
        <v>1964579.8465621022</v>
      </c>
      <c r="E81" s="54">
        <f t="shared" si="24"/>
        <v>1978965.6004419278</v>
      </c>
      <c r="F81" s="54">
        <f t="shared" si="24"/>
        <v>1994359.0830606185</v>
      </c>
      <c r="G81" s="54">
        <f t="shared" si="24"/>
        <v>1982095.8476400713</v>
      </c>
      <c r="H81" s="54">
        <f t="shared" si="24"/>
        <v>1959972.8920466513</v>
      </c>
      <c r="I81" s="54">
        <f t="shared" si="24"/>
        <v>1967635.4816202822</v>
      </c>
      <c r="J81" s="54">
        <f t="shared" si="24"/>
        <v>1976312.4109273714</v>
      </c>
      <c r="K81" s="54">
        <f t="shared" si="24"/>
        <v>1926363.7965643127</v>
      </c>
      <c r="L81" s="54">
        <f t="shared" si="24"/>
        <v>1961253.2968954793</v>
      </c>
      <c r="M81" s="54">
        <f t="shared" si="24"/>
        <v>1914117.438932101</v>
      </c>
      <c r="N81" s="54">
        <f t="shared" si="24"/>
        <v>1924780.656803977</v>
      </c>
    </row>
    <row r="82" spans="2:21" x14ac:dyDescent="0.2">
      <c r="B82" s="24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33">
        <f>C$59*$P33</f>
        <v>893.17499999999995</v>
      </c>
      <c r="D83" s="33">
        <f>D$59*$P33</f>
        <v>906.72915995173935</v>
      </c>
      <c r="E83" s="33">
        <f>E$59*$P33</f>
        <v>913.36873866550502</v>
      </c>
      <c r="F83" s="33">
        <f>F$59*$P33</f>
        <v>920.47342295105454</v>
      </c>
      <c r="G83" s="33">
        <f>G$59*$P33</f>
        <v>914.81346814157121</v>
      </c>
      <c r="H83" s="33">
        <f>H$59*$P33</f>
        <v>904.60287325230047</v>
      </c>
      <c r="I83" s="33">
        <f>I$59*$P33</f>
        <v>908.13945305551476</v>
      </c>
      <c r="J83" s="33">
        <f>J$59*$P33</f>
        <v>912.14418965878656</v>
      </c>
      <c r="K83" s="33">
        <f>K$59*$P33</f>
        <v>889.09098302968255</v>
      </c>
      <c r="L83" s="33">
        <f>L$59*$P33</f>
        <v>905.19382933637496</v>
      </c>
      <c r="M83" s="33">
        <f>M$59*$P33</f>
        <v>883.43881796866185</v>
      </c>
      <c r="N83" s="33">
        <f>N$59*$P33</f>
        <v>888.36030314029699</v>
      </c>
      <c r="U83"/>
    </row>
    <row r="84" spans="2:21" x14ac:dyDescent="0.2">
      <c r="B84" s="53" t="s">
        <v>53</v>
      </c>
      <c r="C84" s="33">
        <f>C$59*$P34</f>
        <v>1012.2650000000001</v>
      </c>
      <c r="D84" s="33">
        <f>D$59*$P34</f>
        <v>1027.6263812786381</v>
      </c>
      <c r="E84" s="33">
        <f>E$59*$P34</f>
        <v>1035.1512371542392</v>
      </c>
      <c r="F84" s="33">
        <f>F$59*$P34</f>
        <v>1043.203212677862</v>
      </c>
      <c r="G84" s="33">
        <f>G$59*$P34</f>
        <v>1036.7885972271142</v>
      </c>
      <c r="H84" s="33">
        <f>H$59*$P34</f>
        <v>1025.2165896859406</v>
      </c>
      <c r="I84" s="33">
        <f>I$59*$P34</f>
        <v>1029.224713462917</v>
      </c>
      <c r="J84" s="33">
        <f>J$59*$P34</f>
        <v>1033.7634149466251</v>
      </c>
      <c r="K84" s="33">
        <f>K$59*$P34</f>
        <v>1007.6364474336405</v>
      </c>
      <c r="L84" s="33">
        <f>L$59*$P34</f>
        <v>1025.8863399145584</v>
      </c>
      <c r="M84" s="33">
        <f>M$59*$P34</f>
        <v>1001.2306603644836</v>
      </c>
      <c r="N84" s="33">
        <f>N$59*$P34</f>
        <v>1006.8083435590034</v>
      </c>
      <c r="U84"/>
    </row>
    <row r="85" spans="2:21" x14ac:dyDescent="0.2">
      <c r="B85" s="53" t="s">
        <v>54</v>
      </c>
      <c r="C85" s="33">
        <f>C$59*$P35</f>
        <v>297.72500000000002</v>
      </c>
      <c r="D85" s="33">
        <f>D$59*$P35</f>
        <v>302.24305331724651</v>
      </c>
      <c r="E85" s="33">
        <f>E$59*$P35</f>
        <v>304.45624622183504</v>
      </c>
      <c r="F85" s="33">
        <f>F$59*$P35</f>
        <v>306.82447431701826</v>
      </c>
      <c r="G85" s="33">
        <f>G$59*$P35</f>
        <v>304.93782271385709</v>
      </c>
      <c r="H85" s="33">
        <f>H$59*$P35</f>
        <v>301.53429108410018</v>
      </c>
      <c r="I85" s="33">
        <f>I$59*$P35</f>
        <v>302.71315101850496</v>
      </c>
      <c r="J85" s="33">
        <f>J$59*$P35</f>
        <v>304.04806321959558</v>
      </c>
      <c r="K85" s="33">
        <f>K$59*$P35</f>
        <v>296.36366100989426</v>
      </c>
      <c r="L85" s="33">
        <f>L$59*$P35</f>
        <v>301.73127644545838</v>
      </c>
      <c r="M85" s="33">
        <f>M$59*$P35</f>
        <v>294.47960598955399</v>
      </c>
      <c r="N85" s="33">
        <f>N$59*$P35</f>
        <v>296.12010104676568</v>
      </c>
      <c r="U85"/>
    </row>
    <row r="86" spans="2:21" x14ac:dyDescent="0.2">
      <c r="B86" s="53" t="s">
        <v>55</v>
      </c>
      <c r="C86" s="33">
        <f>C$59*$P36</f>
        <v>14886.25</v>
      </c>
      <c r="D86" s="33">
        <f>D$59*$P36</f>
        <v>15112.152665862324</v>
      </c>
      <c r="E86" s="33">
        <f>E$59*$P36</f>
        <v>15222.812311091751</v>
      </c>
      <c r="F86" s="33">
        <f>F$59*$P36</f>
        <v>15341.223715850911</v>
      </c>
      <c r="G86" s="33">
        <f>G$59*$P36</f>
        <v>15246.891135692855</v>
      </c>
      <c r="H86" s="33">
        <f>H$59*$P36</f>
        <v>15076.714554205009</v>
      </c>
      <c r="I86" s="33">
        <f>I$59*$P36</f>
        <v>15135.657550925247</v>
      </c>
      <c r="J86" s="33">
        <f>J$59*$P36</f>
        <v>15202.403160979778</v>
      </c>
      <c r="K86" s="33">
        <f>K$59*$P36</f>
        <v>14818.183050494712</v>
      </c>
      <c r="L86" s="33">
        <f>L$59*$P36</f>
        <v>15086.563822272918</v>
      </c>
      <c r="M86" s="33">
        <f>M$59*$P36</f>
        <v>14723.980299477698</v>
      </c>
      <c r="N86" s="33">
        <f>N$59*$P36</f>
        <v>14806.005052338285</v>
      </c>
      <c r="U86"/>
    </row>
    <row r="87" spans="2:21" x14ac:dyDescent="0.2">
      <c r="B87" s="53" t="s">
        <v>56</v>
      </c>
      <c r="C87" s="33">
        <f>C$59*$P37</f>
        <v>20840.75</v>
      </c>
      <c r="D87" s="33">
        <f>D$59*$P37</f>
        <v>21157.013732207255</v>
      </c>
      <c r="E87" s="33">
        <f>E$59*$P37</f>
        <v>21311.937235528454</v>
      </c>
      <c r="F87" s="33">
        <f>F$59*$P37</f>
        <v>21477.713202191277</v>
      </c>
      <c r="G87" s="33">
        <f>G$59*$P37</f>
        <v>21345.647589969998</v>
      </c>
      <c r="H87" s="33">
        <f>H$59*$P37</f>
        <v>21107.400375887013</v>
      </c>
      <c r="I87" s="33">
        <f>I$59*$P37</f>
        <v>21189.920571295344</v>
      </c>
      <c r="J87" s="33">
        <f>J$59*$P37</f>
        <v>21283.364425371688</v>
      </c>
      <c r="K87" s="33">
        <f>K$59*$P37</f>
        <v>20745.456270692597</v>
      </c>
      <c r="L87" s="33">
        <f>L$59*$P37</f>
        <v>21121.189351182085</v>
      </c>
      <c r="M87" s="33">
        <f>M$59*$P37</f>
        <v>20613.572419268778</v>
      </c>
      <c r="N87" s="33">
        <f>N$59*$P37</f>
        <v>20728.4070732736</v>
      </c>
      <c r="U87"/>
    </row>
    <row r="88" spans="2:21" x14ac:dyDescent="0.2">
      <c r="B88" s="53" t="s">
        <v>57</v>
      </c>
      <c r="C88" s="33">
        <f>C$59*$P38</f>
        <v>2977.25</v>
      </c>
      <c r="D88" s="33">
        <f>D$59*$P38</f>
        <v>3022.4305331724649</v>
      </c>
      <c r="E88" s="33">
        <f>E$59*$P38</f>
        <v>3044.5624622183504</v>
      </c>
      <c r="F88" s="33">
        <f>F$59*$P38</f>
        <v>3068.2447431701821</v>
      </c>
      <c r="G88" s="33">
        <f>G$59*$P38</f>
        <v>3049.3782271385712</v>
      </c>
      <c r="H88" s="33">
        <f>H$59*$P38</f>
        <v>3015.3429108410019</v>
      </c>
      <c r="I88" s="33">
        <f>I$59*$P38</f>
        <v>3027.1315101850496</v>
      </c>
      <c r="J88" s="33">
        <f>J$59*$P38</f>
        <v>3040.4806321959559</v>
      </c>
      <c r="K88" s="33">
        <f>K$59*$P38</f>
        <v>2963.6366100989421</v>
      </c>
      <c r="L88" s="33">
        <f>L$59*$P38</f>
        <v>3017.3127644545839</v>
      </c>
      <c r="M88" s="33">
        <f>M$59*$P38</f>
        <v>2944.7960598955397</v>
      </c>
      <c r="N88" s="33">
        <f>N$59*$P38</f>
        <v>2961.2010104676569</v>
      </c>
      <c r="U88"/>
    </row>
    <row r="89" spans="2:21" x14ac:dyDescent="0.2">
      <c r="B89" s="53" t="s">
        <v>58</v>
      </c>
      <c r="C89" s="33">
        <f>C$59*$P39</f>
        <v>38704.25</v>
      </c>
      <c r="D89" s="33">
        <f>D$59*$P39</f>
        <v>39291.596931242042</v>
      </c>
      <c r="E89" s="33">
        <f>E$59*$P39</f>
        <v>39579.312008838555</v>
      </c>
      <c r="F89" s="33">
        <f>F$59*$P39</f>
        <v>39887.181661212366</v>
      </c>
      <c r="G89" s="33">
        <f>G$59*$P39</f>
        <v>39641.916952801424</v>
      </c>
      <c r="H89" s="33">
        <f>H$59*$P39</f>
        <v>39199.457840933021</v>
      </c>
      <c r="I89" s="33">
        <f>I$59*$P39</f>
        <v>39352.70963240564</v>
      </c>
      <c r="J89" s="33">
        <f>J$59*$P39</f>
        <v>39526.248218547422</v>
      </c>
      <c r="K89" s="33">
        <f>K$59*$P39</f>
        <v>38527.275931286247</v>
      </c>
      <c r="L89" s="33">
        <f>L$59*$P39</f>
        <v>39225.065937909589</v>
      </c>
      <c r="M89" s="33">
        <f>M$59*$P39</f>
        <v>38282.348778642016</v>
      </c>
      <c r="N89" s="33">
        <f>N$59*$P39</f>
        <v>38495.613136079541</v>
      </c>
      <c r="U89"/>
    </row>
    <row r="90" spans="2:21" x14ac:dyDescent="0.2">
      <c r="B90" s="53" t="s">
        <v>59</v>
      </c>
      <c r="C90" s="33">
        <f>C$59*$P40</f>
        <v>44658.75</v>
      </c>
      <c r="D90" s="33">
        <f>D$59*$P40</f>
        <v>45336.457997586971</v>
      </c>
      <c r="E90" s="33">
        <f>E$59*$P40</f>
        <v>45668.436933275254</v>
      </c>
      <c r="F90" s="33">
        <f>F$59*$P40</f>
        <v>46023.671147552734</v>
      </c>
      <c r="G90" s="33">
        <f>G$59*$P40</f>
        <v>45740.673407078561</v>
      </c>
      <c r="H90" s="33">
        <f>H$59*$P40</f>
        <v>45230.143662615024</v>
      </c>
      <c r="I90" s="33">
        <f>I$59*$P40</f>
        <v>45406.972652775738</v>
      </c>
      <c r="J90" s="33">
        <f>J$59*$P40</f>
        <v>45607.209482939332</v>
      </c>
      <c r="K90" s="33">
        <f>K$59*$P40</f>
        <v>44454.549151484134</v>
      </c>
      <c r="L90" s="33">
        <f>L$59*$P40</f>
        <v>45259.691466818753</v>
      </c>
      <c r="M90" s="33">
        <f>M$59*$P40</f>
        <v>44171.940898433095</v>
      </c>
      <c r="N90" s="33">
        <f>N$59*$P40</f>
        <v>44418.015157014852</v>
      </c>
      <c r="U90"/>
    </row>
    <row r="91" spans="2:21" x14ac:dyDescent="0.2">
      <c r="B91" s="30" t="s">
        <v>60</v>
      </c>
      <c r="C91" s="32">
        <f>C$59*$P41</f>
        <v>44658.75</v>
      </c>
      <c r="D91" s="32">
        <f>D$59*$P41</f>
        <v>45336.457997586971</v>
      </c>
      <c r="E91" s="32">
        <f>E$59*$P41</f>
        <v>45668.436933275254</v>
      </c>
      <c r="F91" s="32">
        <f>F$59*$P41</f>
        <v>46023.671147552734</v>
      </c>
      <c r="G91" s="32">
        <f>G$59*$P41</f>
        <v>45740.673407078561</v>
      </c>
      <c r="H91" s="32">
        <f>H$59*$P41</f>
        <v>45230.143662615024</v>
      </c>
      <c r="I91" s="32">
        <f>I$59*$P41</f>
        <v>45406.972652775738</v>
      </c>
      <c r="J91" s="32">
        <f>J$59*$P41</f>
        <v>45607.209482939332</v>
      </c>
      <c r="K91" s="32">
        <f>K$59*$P41</f>
        <v>44454.549151484134</v>
      </c>
      <c r="L91" s="32">
        <f>L$59*$P41</f>
        <v>45259.691466818753</v>
      </c>
      <c r="M91" s="32">
        <f>M$59*$P41</f>
        <v>44171.940898433095</v>
      </c>
      <c r="N91" s="32">
        <f>N$59*$P41</f>
        <v>44418.015157014852</v>
      </c>
      <c r="U91"/>
    </row>
    <row r="92" spans="2:21" x14ac:dyDescent="0.2">
      <c r="B92" s="52" t="s">
        <v>61</v>
      </c>
      <c r="C92" s="54">
        <f>SUM(C83:C91)</f>
        <v>168929.16500000001</v>
      </c>
      <c r="D92" s="54">
        <f t="shared" ref="D92:N92" si="25">SUM(D83:D91)</f>
        <v>171492.70845220564</v>
      </c>
      <c r="E92" s="54">
        <f t="shared" si="25"/>
        <v>172748.47410626919</v>
      </c>
      <c r="F92" s="54">
        <f t="shared" si="25"/>
        <v>174092.20672747612</v>
      </c>
      <c r="G92" s="54">
        <f t="shared" si="25"/>
        <v>173021.72060784252</v>
      </c>
      <c r="H92" s="54">
        <f t="shared" si="25"/>
        <v>171090.55676111844</v>
      </c>
      <c r="I92" s="54">
        <f t="shared" si="25"/>
        <v>171759.44188789968</v>
      </c>
      <c r="J92" s="54">
        <f t="shared" si="25"/>
        <v>172516.87107079852</v>
      </c>
      <c r="K92" s="54">
        <f t="shared" si="25"/>
        <v>168156.74125701399</v>
      </c>
      <c r="L92" s="54">
        <f t="shared" si="25"/>
        <v>171202.32625515308</v>
      </c>
      <c r="M92" s="54">
        <f t="shared" si="25"/>
        <v>167087.72843847293</v>
      </c>
      <c r="N92" s="54">
        <f t="shared" si="25"/>
        <v>168018.54533393486</v>
      </c>
      <c r="U92"/>
    </row>
    <row r="93" spans="2:21" x14ac:dyDescent="0.2">
      <c r="B93" s="51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42">
        <f>C73-C81-C92</f>
        <v>2704225.5070386082</v>
      </c>
      <c r="D94" s="42">
        <f t="shared" ref="D94:N94" si="26">D73-D81-D92</f>
        <v>2748642.0638673431</v>
      </c>
      <c r="E94" s="42">
        <f t="shared" si="26"/>
        <v>2746540.6423913613</v>
      </c>
      <c r="F94" s="42">
        <f t="shared" si="26"/>
        <v>2779904.7976920954</v>
      </c>
      <c r="G94" s="42">
        <f t="shared" si="26"/>
        <v>2742643.3135186573</v>
      </c>
      <c r="H94" s="42">
        <f t="shared" si="26"/>
        <v>2709030.3834470971</v>
      </c>
      <c r="I94" s="42">
        <f t="shared" si="26"/>
        <v>2729704.9770753155</v>
      </c>
      <c r="J94" s="42">
        <f t="shared" si="26"/>
        <v>2729056.3664785437</v>
      </c>
      <c r="K94" s="42">
        <f t="shared" si="26"/>
        <v>2662645.0534532275</v>
      </c>
      <c r="L94" s="42">
        <f t="shared" si="26"/>
        <v>2705718.5435033715</v>
      </c>
      <c r="M94" s="42">
        <f t="shared" si="26"/>
        <v>2636916.4002656774</v>
      </c>
      <c r="N94" s="42">
        <f t="shared" si="26"/>
        <v>2647349.0082367612</v>
      </c>
    </row>
    <row r="95" spans="2:21" x14ac:dyDescent="0.2">
      <c r="B95" s="23" t="s">
        <v>34</v>
      </c>
      <c r="C95" s="71">
        <f>C94/C59</f>
        <v>0.45414820842028858</v>
      </c>
      <c r="D95" s="71">
        <f t="shared" ref="D95:N95" si="27">D94/D59</f>
        <v>0.45470723540207514</v>
      </c>
      <c r="E95" s="71">
        <f t="shared" si="27"/>
        <v>0.45105670789722568</v>
      </c>
      <c r="F95" s="71">
        <f t="shared" si="27"/>
        <v>0.45301223181105049</v>
      </c>
      <c r="G95" s="71">
        <f t="shared" si="27"/>
        <v>0.4497053348630119</v>
      </c>
      <c r="H95" s="71">
        <f t="shared" si="27"/>
        <v>0.44920767944955359</v>
      </c>
      <c r="I95" s="71">
        <f t="shared" si="27"/>
        <v>0.45087320585362478</v>
      </c>
      <c r="J95" s="71">
        <f t="shared" si="27"/>
        <v>0.44878700057818016</v>
      </c>
      <c r="K95" s="71">
        <f t="shared" si="27"/>
        <v>0.44921922012637272</v>
      </c>
      <c r="L95" s="71">
        <f t="shared" si="27"/>
        <v>0.44836560786439772</v>
      </c>
      <c r="M95" s="71">
        <f t="shared" si="27"/>
        <v>0.44772479089081918</v>
      </c>
      <c r="N95" s="71">
        <f t="shared" si="27"/>
        <v>0.44700596124318326</v>
      </c>
    </row>
    <row r="97" spans="1:21" x14ac:dyDescent="0.2">
      <c r="A97" s="39" t="s">
        <v>88</v>
      </c>
    </row>
    <row r="98" spans="1:21" s="62" customFormat="1" x14ac:dyDescent="0.2">
      <c r="B98" s="58" t="s">
        <v>84</v>
      </c>
      <c r="C98" s="119">
        <f>(C79+C80+C86+C90)*0.9</f>
        <v>428724</v>
      </c>
      <c r="D98" s="119">
        <f t="shared" ref="D98:N98" si="28">(D79+D80+D86+D90)*0.9</f>
        <v>435229.99677683495</v>
      </c>
      <c r="E98" s="119">
        <f t="shared" si="28"/>
        <v>438416.99455944245</v>
      </c>
      <c r="F98" s="119">
        <f t="shared" si="28"/>
        <v>441827.24301650625</v>
      </c>
      <c r="G98" s="119">
        <f t="shared" si="28"/>
        <v>439110.46470795415</v>
      </c>
      <c r="H98" s="119">
        <f t="shared" si="28"/>
        <v>434209.37916110427</v>
      </c>
      <c r="I98" s="119">
        <f t="shared" si="28"/>
        <v>435906.93746664718</v>
      </c>
      <c r="J98" s="119">
        <f t="shared" si="28"/>
        <v>437829.21103621763</v>
      </c>
      <c r="K98" s="119">
        <f t="shared" si="28"/>
        <v>426763.67185424769</v>
      </c>
      <c r="L98" s="119">
        <f t="shared" si="28"/>
        <v>434493.03808146005</v>
      </c>
      <c r="M98" s="119">
        <f t="shared" si="28"/>
        <v>424050.63262495771</v>
      </c>
      <c r="N98" s="119">
        <f t="shared" si="28"/>
        <v>426412.94550734258</v>
      </c>
      <c r="P98" s="117"/>
      <c r="U98" s="118"/>
    </row>
    <row r="99" spans="1:21" s="62" customFormat="1" x14ac:dyDescent="0.2">
      <c r="B99" s="58" t="s">
        <v>85</v>
      </c>
      <c r="C99" s="119">
        <f>(C77+C78+C88+C89+C91)*0.9</f>
        <v>1444263.9750000003</v>
      </c>
      <c r="D99" s="119">
        <f t="shared" ref="D99:N99" si="29">(D77+D78+D88+D89+D91)*0.9</f>
        <v>1466181.051641963</v>
      </c>
      <c r="E99" s="119">
        <f t="shared" si="29"/>
        <v>1476917.250422122</v>
      </c>
      <c r="F99" s="119">
        <f t="shared" si="29"/>
        <v>1488405.5249118556</v>
      </c>
      <c r="G99" s="119">
        <f t="shared" si="29"/>
        <v>1479253.377984921</v>
      </c>
      <c r="H99" s="119">
        <f t="shared" si="29"/>
        <v>1462742.84604897</v>
      </c>
      <c r="I99" s="119">
        <f t="shared" si="29"/>
        <v>1468461.4955907674</v>
      </c>
      <c r="J99" s="119">
        <f t="shared" si="29"/>
        <v>1474937.1546782583</v>
      </c>
      <c r="K99" s="119">
        <f t="shared" si="29"/>
        <v>1437660.1195589968</v>
      </c>
      <c r="L99" s="119">
        <f t="shared" si="29"/>
        <v>1463698.4220369186</v>
      </c>
      <c r="M99" s="119">
        <f t="shared" si="29"/>
        <v>1428520.5686553265</v>
      </c>
      <c r="N99" s="119">
        <f t="shared" si="29"/>
        <v>1436478.6101778606</v>
      </c>
      <c r="P99" s="117"/>
      <c r="U99" s="118"/>
    </row>
    <row r="100" spans="1:21" s="62" customFormat="1" x14ac:dyDescent="0.2">
      <c r="B100" s="121" t="s">
        <v>86</v>
      </c>
      <c r="C100" s="122">
        <f>(C83+C84+C85+C87)*0.9</f>
        <v>20739.523500000003</v>
      </c>
      <c r="D100" s="122">
        <f t="shared" ref="D100:N100" si="30">(D83+D84+D85+D87)*0.9</f>
        <v>21054.251094079391</v>
      </c>
      <c r="E100" s="122">
        <f t="shared" si="30"/>
        <v>21208.42211181303</v>
      </c>
      <c r="F100" s="122">
        <f t="shared" si="30"/>
        <v>21373.392880923489</v>
      </c>
      <c r="G100" s="122">
        <f t="shared" si="30"/>
        <v>21241.968730247285</v>
      </c>
      <c r="H100" s="122">
        <f t="shared" si="30"/>
        <v>21004.878716918418</v>
      </c>
      <c r="I100" s="122">
        <f t="shared" si="30"/>
        <v>21086.998099949054</v>
      </c>
      <c r="J100" s="122">
        <f t="shared" si="30"/>
        <v>21179.988083877026</v>
      </c>
      <c r="K100" s="122">
        <f t="shared" si="30"/>
        <v>20644.692625949232</v>
      </c>
      <c r="L100" s="122">
        <f t="shared" si="30"/>
        <v>21018.600717190631</v>
      </c>
      <c r="M100" s="122">
        <f t="shared" si="30"/>
        <v>20513.449353232332</v>
      </c>
      <c r="N100" s="122">
        <f t="shared" si="30"/>
        <v>20627.726238917701</v>
      </c>
      <c r="P100" s="117"/>
      <c r="U100" s="118"/>
    </row>
    <row r="101" spans="1:21" x14ac:dyDescent="0.2">
      <c r="B101" s="23" t="s">
        <v>87</v>
      </c>
      <c r="C101" s="120">
        <f>SUM(C98:C100)</f>
        <v>1893727.4985000002</v>
      </c>
      <c r="D101" s="120">
        <f t="shared" ref="D101:N101" si="31">SUM(D98:D100)</f>
        <v>1922465.2995128774</v>
      </c>
      <c r="E101" s="120">
        <f t="shared" si="31"/>
        <v>1936542.6670933773</v>
      </c>
      <c r="F101" s="120">
        <f t="shared" si="31"/>
        <v>1951606.1608092855</v>
      </c>
      <c r="G101" s="120">
        <f t="shared" si="31"/>
        <v>1939605.8114231224</v>
      </c>
      <c r="H101" s="120">
        <f t="shared" si="31"/>
        <v>1917957.1039269927</v>
      </c>
      <c r="I101" s="120">
        <f t="shared" si="31"/>
        <v>1925455.4311573636</v>
      </c>
      <c r="J101" s="120">
        <f t="shared" si="31"/>
        <v>1933946.3537983531</v>
      </c>
      <c r="K101" s="120">
        <f t="shared" si="31"/>
        <v>1885068.4840391935</v>
      </c>
      <c r="L101" s="120">
        <f t="shared" si="31"/>
        <v>1919210.0608355692</v>
      </c>
      <c r="M101" s="120">
        <f t="shared" si="31"/>
        <v>1873084.6506335165</v>
      </c>
      <c r="N101" s="120">
        <f t="shared" si="31"/>
        <v>1883519.2819241208</v>
      </c>
    </row>
    <row r="103" spans="1:21" x14ac:dyDescent="0.2">
      <c r="B103" s="58" t="s">
        <v>94</v>
      </c>
      <c r="C103" s="42">
        <f>C73-C101</f>
        <v>2914639.673538608</v>
      </c>
      <c r="D103" s="42">
        <f t="shared" ref="D103:N103" si="32">D73-D101</f>
        <v>2962249.3193687741</v>
      </c>
      <c r="E103" s="42">
        <f t="shared" si="32"/>
        <v>2961712.0498461807</v>
      </c>
      <c r="F103" s="42">
        <f t="shared" si="32"/>
        <v>2996749.9266709047</v>
      </c>
      <c r="G103" s="42">
        <f t="shared" si="32"/>
        <v>2958155.0703434483</v>
      </c>
      <c r="H103" s="42">
        <f t="shared" si="32"/>
        <v>2922136.7283278741</v>
      </c>
      <c r="I103" s="42">
        <f t="shared" si="32"/>
        <v>2943644.4694261337</v>
      </c>
      <c r="J103" s="42">
        <f t="shared" si="32"/>
        <v>2943939.2946783602</v>
      </c>
      <c r="K103" s="42">
        <f t="shared" si="32"/>
        <v>2872097.1072353604</v>
      </c>
      <c r="L103" s="42">
        <f t="shared" si="32"/>
        <v>2918964.1058184346</v>
      </c>
      <c r="M103" s="42">
        <f t="shared" si="32"/>
        <v>2845036.9170027347</v>
      </c>
      <c r="N103" s="42">
        <f t="shared" si="32"/>
        <v>2856628.9284505518</v>
      </c>
    </row>
    <row r="104" spans="1:21" x14ac:dyDescent="0.2">
      <c r="B104" s="58" t="s">
        <v>95</v>
      </c>
      <c r="C104" s="71">
        <f>C103/C59</f>
        <v>0.48948520842028853</v>
      </c>
      <c r="D104" s="71">
        <f t="shared" ref="D104:N104" si="33">D103/D59</f>
        <v>0.4900442354020752</v>
      </c>
      <c r="E104" s="71">
        <f t="shared" si="33"/>
        <v>0.48639370789722564</v>
      </c>
      <c r="F104" s="71">
        <f t="shared" si="33"/>
        <v>0.4883492318110505</v>
      </c>
      <c r="G104" s="71">
        <f t="shared" si="33"/>
        <v>0.48504233486301185</v>
      </c>
      <c r="H104" s="71">
        <f t="shared" si="33"/>
        <v>0.48454467944955359</v>
      </c>
      <c r="I104" s="71">
        <f t="shared" si="33"/>
        <v>0.48621020585362473</v>
      </c>
      <c r="J104" s="71">
        <f t="shared" si="33"/>
        <v>0.48412400057818006</v>
      </c>
      <c r="K104" s="71">
        <f t="shared" si="33"/>
        <v>0.48455622012637278</v>
      </c>
      <c r="L104" s="71">
        <f t="shared" si="33"/>
        <v>0.48370260786439773</v>
      </c>
      <c r="M104" s="71">
        <f t="shared" si="33"/>
        <v>0.48306179089081919</v>
      </c>
      <c r="N104" s="71">
        <f t="shared" si="33"/>
        <v>0.48234296124318321</v>
      </c>
    </row>
    <row r="106" spans="1:21" x14ac:dyDescent="0.2">
      <c r="B106" s="58" t="s">
        <v>89</v>
      </c>
      <c r="C106" s="119">
        <f>C$110*$P43</f>
        <v>132560.924895</v>
      </c>
      <c r="D106" s="119">
        <f t="shared" ref="D106:N106" si="34">D$110*$P43</f>
        <v>134572.5709659014</v>
      </c>
      <c r="E106" s="119">
        <f t="shared" si="34"/>
        <v>135557.98669653642</v>
      </c>
      <c r="F106" s="119">
        <f t="shared" si="34"/>
        <v>136612.43125664999</v>
      </c>
      <c r="G106" s="119">
        <f t="shared" si="34"/>
        <v>135772.40679961859</v>
      </c>
      <c r="H106" s="119">
        <f t="shared" si="34"/>
        <v>134256.99727488952</v>
      </c>
      <c r="I106" s="119">
        <f t="shared" si="34"/>
        <v>134781.88018101547</v>
      </c>
      <c r="J106" s="119">
        <f t="shared" si="34"/>
        <v>135376.24476588471</v>
      </c>
      <c r="K106" s="119">
        <f t="shared" si="34"/>
        <v>131954.7938827436</v>
      </c>
      <c r="L106" s="119">
        <f t="shared" si="34"/>
        <v>134344.70425848983</v>
      </c>
      <c r="M106" s="119">
        <f t="shared" si="34"/>
        <v>131115.92554434616</v>
      </c>
      <c r="N106" s="119">
        <f t="shared" si="34"/>
        <v>131846.34973468844</v>
      </c>
    </row>
    <row r="107" spans="1:21" x14ac:dyDescent="0.2">
      <c r="B107" s="58" t="s">
        <v>90</v>
      </c>
      <c r="C107" s="119">
        <f t="shared" ref="C107:N109" si="35">C$110*$P44</f>
        <v>46291.116630000004</v>
      </c>
      <c r="D107" s="119">
        <f t="shared" si="35"/>
        <v>46993.596210314769</v>
      </c>
      <c r="E107" s="119">
        <f t="shared" si="35"/>
        <v>47337.709640060333</v>
      </c>
      <c r="F107" s="119">
        <f t="shared" si="35"/>
        <v>47705.928375338088</v>
      </c>
      <c r="G107" s="119">
        <f t="shared" si="35"/>
        <v>47412.586501454112</v>
      </c>
      <c r="H107" s="119">
        <f t="shared" si="35"/>
        <v>46883.39587377094</v>
      </c>
      <c r="I107" s="119">
        <f t="shared" si="35"/>
        <v>47066.68831718</v>
      </c>
      <c r="J107" s="119">
        <f t="shared" si="35"/>
        <v>47274.244203959744</v>
      </c>
      <c r="K107" s="119">
        <f t="shared" si="35"/>
        <v>46079.451832069193</v>
      </c>
      <c r="L107" s="119">
        <f t="shared" si="35"/>
        <v>46914.023709313908</v>
      </c>
      <c r="M107" s="119">
        <f t="shared" si="35"/>
        <v>45786.513682152625</v>
      </c>
      <c r="N107" s="119">
        <f t="shared" si="35"/>
        <v>46041.582447034059</v>
      </c>
    </row>
    <row r="108" spans="1:21" x14ac:dyDescent="0.2">
      <c r="B108" s="58" t="s">
        <v>91</v>
      </c>
      <c r="C108" s="119">
        <f t="shared" si="35"/>
        <v>21041.416650000003</v>
      </c>
      <c r="D108" s="119">
        <f t="shared" si="35"/>
        <v>21360.725550143077</v>
      </c>
      <c r="E108" s="119">
        <f t="shared" si="35"/>
        <v>21517.140745481971</v>
      </c>
      <c r="F108" s="119">
        <f t="shared" si="35"/>
        <v>21684.512897880952</v>
      </c>
      <c r="G108" s="119">
        <f t="shared" si="35"/>
        <v>21551.175682479141</v>
      </c>
      <c r="H108" s="119">
        <f t="shared" si="35"/>
        <v>21310.634488077703</v>
      </c>
      <c r="I108" s="119">
        <f t="shared" si="35"/>
        <v>21393.949235081818</v>
      </c>
      <c r="J108" s="119">
        <f t="shared" si="35"/>
        <v>21488.292819981703</v>
      </c>
      <c r="K108" s="119">
        <f t="shared" si="35"/>
        <v>20945.205378213272</v>
      </c>
      <c r="L108" s="119">
        <f t="shared" si="35"/>
        <v>21324.556231506325</v>
      </c>
      <c r="M108" s="119">
        <f t="shared" si="35"/>
        <v>20812.051673705741</v>
      </c>
      <c r="N108" s="119">
        <f t="shared" si="35"/>
        <v>20927.992021379119</v>
      </c>
    </row>
    <row r="109" spans="1:21" x14ac:dyDescent="0.2">
      <c r="B109" s="121" t="s">
        <v>92</v>
      </c>
      <c r="C109" s="122">
        <f t="shared" si="35"/>
        <v>10520.708325000001</v>
      </c>
      <c r="D109" s="122">
        <f t="shared" si="35"/>
        <v>10680.362775071539</v>
      </c>
      <c r="E109" s="122">
        <f t="shared" si="35"/>
        <v>10758.570372740985</v>
      </c>
      <c r="F109" s="122">
        <f t="shared" si="35"/>
        <v>10842.256448940476</v>
      </c>
      <c r="G109" s="122">
        <f t="shared" si="35"/>
        <v>10775.58784123957</v>
      </c>
      <c r="H109" s="122">
        <f t="shared" si="35"/>
        <v>10655.317244038852</v>
      </c>
      <c r="I109" s="122">
        <f t="shared" si="35"/>
        <v>10696.974617540909</v>
      </c>
      <c r="J109" s="122">
        <f t="shared" si="35"/>
        <v>10744.146409990852</v>
      </c>
      <c r="K109" s="122">
        <f t="shared" si="35"/>
        <v>10472.602689106636</v>
      </c>
      <c r="L109" s="122">
        <f t="shared" si="35"/>
        <v>10662.278115753163</v>
      </c>
      <c r="M109" s="122">
        <f t="shared" si="35"/>
        <v>10406.02583685287</v>
      </c>
      <c r="N109" s="122">
        <f t="shared" si="35"/>
        <v>10463.99601068956</v>
      </c>
    </row>
    <row r="110" spans="1:21" x14ac:dyDescent="0.2">
      <c r="B110" s="23" t="s">
        <v>93</v>
      </c>
      <c r="C110" s="120">
        <f>(C81+C92)*0.1</f>
        <v>210414.16650000002</v>
      </c>
      <c r="D110" s="120">
        <f t="shared" ref="D110:N110" si="36">(D81+D92)*0.1</f>
        <v>213607.25550143077</v>
      </c>
      <c r="E110" s="120">
        <f t="shared" si="36"/>
        <v>215171.40745481971</v>
      </c>
      <c r="F110" s="120">
        <f t="shared" si="36"/>
        <v>216845.12897880949</v>
      </c>
      <c r="G110" s="120">
        <f t="shared" si="36"/>
        <v>215511.7568247914</v>
      </c>
      <c r="H110" s="120">
        <f t="shared" si="36"/>
        <v>213106.344880777</v>
      </c>
      <c r="I110" s="120">
        <f t="shared" si="36"/>
        <v>213939.49235081818</v>
      </c>
      <c r="J110" s="120">
        <f t="shared" si="36"/>
        <v>214882.92819981702</v>
      </c>
      <c r="K110" s="120">
        <f t="shared" si="36"/>
        <v>209452.05378213269</v>
      </c>
      <c r="L110" s="120">
        <f t="shared" si="36"/>
        <v>213245.56231506323</v>
      </c>
      <c r="M110" s="120">
        <f t="shared" si="36"/>
        <v>208120.51673705739</v>
      </c>
      <c r="N110" s="120">
        <f t="shared" si="36"/>
        <v>209279.92021379119</v>
      </c>
    </row>
    <row r="112" spans="1:21" x14ac:dyDescent="0.2">
      <c r="B112" s="58" t="s">
        <v>96</v>
      </c>
      <c r="C112" s="42">
        <f>C103-C110</f>
        <v>2704225.5070386082</v>
      </c>
      <c r="D112" s="42">
        <f t="shared" ref="D112:N112" si="37">D103-D110</f>
        <v>2748642.0638673431</v>
      </c>
      <c r="E112" s="42">
        <f t="shared" si="37"/>
        <v>2746540.6423913608</v>
      </c>
      <c r="F112" s="42">
        <f t="shared" si="37"/>
        <v>2779904.7976920954</v>
      </c>
      <c r="G112" s="42">
        <f t="shared" si="37"/>
        <v>2742643.3135186569</v>
      </c>
      <c r="H112" s="42">
        <f t="shared" si="37"/>
        <v>2709030.3834470971</v>
      </c>
      <c r="I112" s="42">
        <f t="shared" si="37"/>
        <v>2729704.9770753155</v>
      </c>
      <c r="J112" s="42">
        <f t="shared" si="37"/>
        <v>2729056.3664785433</v>
      </c>
      <c r="K112" s="42">
        <f t="shared" si="37"/>
        <v>2662645.0534532275</v>
      </c>
      <c r="L112" s="42">
        <f t="shared" si="37"/>
        <v>2705718.5435033715</v>
      </c>
      <c r="M112" s="42">
        <f t="shared" si="37"/>
        <v>2636916.4002656774</v>
      </c>
      <c r="N112" s="42">
        <f t="shared" si="37"/>
        <v>2647349.0082367607</v>
      </c>
    </row>
    <row r="113" spans="2:14" x14ac:dyDescent="0.2">
      <c r="B113" s="58" t="s">
        <v>97</v>
      </c>
      <c r="C113" s="71">
        <f>C112/C59</f>
        <v>0.45414820842028858</v>
      </c>
      <c r="D113" s="71">
        <f t="shared" ref="D113:N113" si="38">D112/D59</f>
        <v>0.45470723540207514</v>
      </c>
      <c r="E113" s="71">
        <f t="shared" si="38"/>
        <v>0.45105670789722563</v>
      </c>
      <c r="F113" s="71">
        <f t="shared" si="38"/>
        <v>0.45301223181105049</v>
      </c>
      <c r="G113" s="71">
        <f t="shared" si="38"/>
        <v>0.44970533486301184</v>
      </c>
      <c r="H113" s="71">
        <f t="shared" si="38"/>
        <v>0.44920767944955359</v>
      </c>
      <c r="I113" s="71">
        <f t="shared" si="38"/>
        <v>0.45087320585362478</v>
      </c>
      <c r="J113" s="71">
        <f t="shared" si="38"/>
        <v>0.44878700057818005</v>
      </c>
      <c r="K113" s="71">
        <f t="shared" si="38"/>
        <v>0.44921922012637272</v>
      </c>
      <c r="L113" s="71">
        <f t="shared" si="38"/>
        <v>0.44836560786439772</v>
      </c>
      <c r="M113" s="71">
        <f t="shared" si="38"/>
        <v>0.44772479089081918</v>
      </c>
      <c r="N113" s="71">
        <f t="shared" si="38"/>
        <v>0.4470059612431832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EF39B-E71A-4705-A993-D9500A5342B0}">
  <dimension ref="B2:U92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105</v>
      </c>
    </row>
    <row r="3" spans="2:21" ht="15" customHeight="1" x14ac:dyDescent="0.2">
      <c r="B3" s="52"/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f>'Func View - Data-Driven'!C5</f>
        <v>918241.81085671578</v>
      </c>
      <c r="D5" s="96">
        <f>'Func View - Data-Driven'!D5</f>
        <v>1098822.1071652398</v>
      </c>
      <c r="E5" s="96">
        <f>'Func View - Data-Driven'!E5</f>
        <v>1389108.8186953156</v>
      </c>
      <c r="F5" s="96">
        <f>'Func View - Data-Driven'!F5</f>
        <v>1060457.1162919106</v>
      </c>
      <c r="G5" s="96">
        <f>'Func View - Data-Driven'!G5</f>
        <v>1080187.977512805</v>
      </c>
      <c r="H5" s="96">
        <f>'Func View - Data-Driven'!H5</f>
        <v>1449758.253748731</v>
      </c>
      <c r="I5" s="96">
        <f>'Func View - Data-Driven'!I5</f>
        <v>1270033.6214879407</v>
      </c>
      <c r="J5" s="96">
        <f>'Func View - Data-Driven'!J5</f>
        <v>1137642.609668985</v>
      </c>
      <c r="K5" s="96">
        <f>'Func View - Data-Driven'!K5</f>
        <v>1505986.0966062024</v>
      </c>
      <c r="L5" s="96">
        <f>'Func View - Data-Driven'!L5</f>
        <v>825220.26826456212</v>
      </c>
      <c r="M5" s="96">
        <f>'Func View - Data-Driven'!M5</f>
        <v>1232003.1532279779</v>
      </c>
      <c r="N5" s="96">
        <f>'Func View - Data-Driven'!N5</f>
        <v>1753899.7673868714</v>
      </c>
      <c r="P5" s="96">
        <f t="shared" ref="P5:P12" si="1">SUM(C5:E5)</f>
        <v>3406172.7367172712</v>
      </c>
      <c r="Q5" s="96">
        <f t="shared" ref="Q5:Q12" si="2">SUM(F5:H5)</f>
        <v>3590403.3475534469</v>
      </c>
      <c r="R5" s="96">
        <f t="shared" ref="R5:R12" si="3">SUM(I5:K5)</f>
        <v>3913662.3277631281</v>
      </c>
      <c r="S5" s="96">
        <f t="shared" ref="S5:S12" si="4">SUM(L5:N5)</f>
        <v>3811123.1888794117</v>
      </c>
      <c r="T5" s="91"/>
      <c r="U5" s="96">
        <f t="shared" ref="U5:U12" si="5">SUM(P5:S5)</f>
        <v>14721361.600913256</v>
      </c>
    </row>
    <row r="6" spans="2:21" s="25" customFormat="1" ht="15" customHeight="1" x14ac:dyDescent="0.2">
      <c r="B6" s="78" t="s">
        <v>10</v>
      </c>
      <c r="C6" s="81">
        <f>'Func View - Data-Driven'!C6</f>
        <v>622514.35130164481</v>
      </c>
      <c r="D6" s="81">
        <f>'Func View - Data-Driven'!D6</f>
        <v>935097.23442405579</v>
      </c>
      <c r="E6" s="81">
        <f>'Func View - Data-Driven'!E6</f>
        <v>1179236.180272124</v>
      </c>
      <c r="F6" s="81">
        <f>'Func View - Data-Driven'!F6</f>
        <v>777579.95049804996</v>
      </c>
      <c r="G6" s="81">
        <f>'Func View - Data-Driven'!G6</f>
        <v>753453.09429011669</v>
      </c>
      <c r="H6" s="81">
        <f>'Func View - Data-Driven'!H6</f>
        <v>1159929.2819288557</v>
      </c>
      <c r="I6" s="81">
        <f>'Func View - Data-Driven'!I6</f>
        <v>1011896.7065513673</v>
      </c>
      <c r="J6" s="81">
        <f>'Func View - Data-Driven'!J6</f>
        <v>874189.60777134181</v>
      </c>
      <c r="K6" s="81">
        <f>'Func View - Data-Driven'!K6</f>
        <v>1000548.9055383139</v>
      </c>
      <c r="L6" s="81">
        <f>'Func View - Data-Driven'!L6</f>
        <v>766538.84680967382</v>
      </c>
      <c r="M6" s="81">
        <f>'Func View - Data-Driven'!M6</f>
        <v>1069760.2684737833</v>
      </c>
      <c r="N6" s="81">
        <f>'Func View - Data-Driven'!N6</f>
        <v>1248360.343877424</v>
      </c>
      <c r="P6" s="81">
        <f t="shared" si="1"/>
        <v>2736847.7659978243</v>
      </c>
      <c r="Q6" s="81">
        <f t="shared" si="2"/>
        <v>2690962.3267170223</v>
      </c>
      <c r="R6" s="81">
        <f t="shared" si="3"/>
        <v>2886635.2198610231</v>
      </c>
      <c r="S6" s="81">
        <f t="shared" si="4"/>
        <v>3084659.4591608811</v>
      </c>
      <c r="T6" s="91"/>
      <c r="U6" s="81">
        <f t="shared" si="5"/>
        <v>11399104.77173675</v>
      </c>
    </row>
    <row r="7" spans="2:21" ht="15" customHeight="1" x14ac:dyDescent="0.2">
      <c r="B7" s="78" t="s">
        <v>11</v>
      </c>
      <c r="C7" s="81">
        <f>'Func View - Data-Driven'!C7</f>
        <v>295727.45955507096</v>
      </c>
      <c r="D7" s="81">
        <f>'Func View - Data-Driven'!D7</f>
        <v>163724.87274118402</v>
      </c>
      <c r="E7" s="81">
        <f>'Func View - Data-Driven'!E7</f>
        <v>209872.6384231917</v>
      </c>
      <c r="F7" s="81">
        <f>'Func View - Data-Driven'!F7</f>
        <v>282877.16579386062</v>
      </c>
      <c r="G7" s="81">
        <f>'Func View - Data-Driven'!G7</f>
        <v>326734.8832226884</v>
      </c>
      <c r="H7" s="81">
        <f>'Func View - Data-Driven'!H7</f>
        <v>289828.97181987535</v>
      </c>
      <c r="I7" s="81">
        <f>'Func View - Data-Driven'!I7</f>
        <v>258136.91493657327</v>
      </c>
      <c r="J7" s="81">
        <f>'Func View - Data-Driven'!J7</f>
        <v>263453.00189764332</v>
      </c>
      <c r="K7" s="81">
        <f>'Func View - Data-Driven'!K7</f>
        <v>505437.1910678884</v>
      </c>
      <c r="L7" s="81">
        <f>'Func View - Data-Driven'!L7</f>
        <v>58681.421454888339</v>
      </c>
      <c r="M7" s="81">
        <f>'Func View - Data-Driven'!M7</f>
        <v>162242.88475419473</v>
      </c>
      <c r="N7" s="81">
        <f>'Func View - Data-Driven'!N7</f>
        <v>505539.42350944749</v>
      </c>
      <c r="P7" s="81">
        <f t="shared" si="1"/>
        <v>669324.97071944666</v>
      </c>
      <c r="Q7" s="81">
        <f t="shared" si="2"/>
        <v>899441.02083642432</v>
      </c>
      <c r="R7" s="81">
        <f t="shared" si="3"/>
        <v>1027027.107902105</v>
      </c>
      <c r="S7" s="81">
        <f t="shared" si="4"/>
        <v>726463.72971853055</v>
      </c>
      <c r="T7" s="79"/>
      <c r="U7" s="81">
        <f t="shared" si="5"/>
        <v>3322256.8291765065</v>
      </c>
    </row>
    <row r="8" spans="2:21" s="25" customFormat="1" ht="15" customHeight="1" x14ac:dyDescent="0.2">
      <c r="B8" s="51" t="s">
        <v>12</v>
      </c>
      <c r="C8" s="96">
        <f>'Func View - Data-Driven'!C8</f>
        <v>721374.25132581848</v>
      </c>
      <c r="D8" s="96">
        <f>'Func View - Data-Driven'!D8</f>
        <v>595242.65474325209</v>
      </c>
      <c r="E8" s="96">
        <f>'Func View - Data-Driven'!E8</f>
        <v>1249710.3438458135</v>
      </c>
      <c r="F8" s="96">
        <f>'Func View - Data-Driven'!F8</f>
        <v>708675.28488725773</v>
      </c>
      <c r="G8" s="96">
        <f>'Func View - Data-Driven'!G8</f>
        <v>903837.01582346321</v>
      </c>
      <c r="H8" s="96">
        <f>'Func View - Data-Driven'!H8</f>
        <v>1378195.5446574034</v>
      </c>
      <c r="I8" s="96">
        <f>'Func View - Data-Driven'!I8</f>
        <v>1037250.3520580088</v>
      </c>
      <c r="J8" s="96">
        <f>'Func View - Data-Driven'!J8</f>
        <v>767663.40366682317</v>
      </c>
      <c r="K8" s="96">
        <f>'Func View - Data-Driven'!K8</f>
        <v>1064955.3437205083</v>
      </c>
      <c r="L8" s="96">
        <f>'Func View - Data-Driven'!L8</f>
        <v>978466.69816156151</v>
      </c>
      <c r="M8" s="96">
        <f>'Func View - Data-Driven'!M8</f>
        <v>1432889.9008914893</v>
      </c>
      <c r="N8" s="96">
        <f>'Func View - Data-Driven'!N8</f>
        <v>944729.99244707869</v>
      </c>
      <c r="P8" s="96">
        <f t="shared" si="1"/>
        <v>2566327.2499148841</v>
      </c>
      <c r="Q8" s="96">
        <f t="shared" si="2"/>
        <v>2990707.8453681245</v>
      </c>
      <c r="R8" s="96">
        <f t="shared" si="3"/>
        <v>2869869.0994453402</v>
      </c>
      <c r="S8" s="96">
        <f t="shared" si="4"/>
        <v>3356086.5915001296</v>
      </c>
      <c r="T8" s="91"/>
      <c r="U8" s="96">
        <f t="shared" si="5"/>
        <v>11782990.786228478</v>
      </c>
    </row>
    <row r="9" spans="2:21" s="25" customFormat="1" ht="15" customHeight="1" x14ac:dyDescent="0.2">
      <c r="B9" s="78" t="s">
        <v>10</v>
      </c>
      <c r="C9" s="81">
        <f>'Func View - Data-Driven'!C9</f>
        <v>280387.13024097512</v>
      </c>
      <c r="D9" s="81">
        <f>'Func View - Data-Driven'!D9</f>
        <v>371671.55899892846</v>
      </c>
      <c r="E9" s="81">
        <f>'Func View - Data-Driven'!E9</f>
        <v>506998.66365879396</v>
      </c>
      <c r="F9" s="81">
        <f>'Func View - Data-Driven'!F9</f>
        <v>513002.39174325723</v>
      </c>
      <c r="G9" s="81">
        <f>'Func View - Data-Driven'!G9</f>
        <v>588858.86338006426</v>
      </c>
      <c r="H9" s="81">
        <f>'Func View - Data-Driven'!H9</f>
        <v>1062092.8353568551</v>
      </c>
      <c r="I9" s="81">
        <f>'Func View - Data-Driven'!I9</f>
        <v>792710.35184878763</v>
      </c>
      <c r="J9" s="81">
        <f>'Func View - Data-Driven'!J9</f>
        <v>683730.56914685224</v>
      </c>
      <c r="K9" s="81">
        <f>'Func View - Data-Driven'!K9</f>
        <v>798742.06590077106</v>
      </c>
      <c r="L9" s="81">
        <f>'Func View - Data-Driven'!L9</f>
        <v>699678.83003006235</v>
      </c>
      <c r="M9" s="81">
        <f>'Func View - Data-Driven'!M9</f>
        <v>1139585.0260586068</v>
      </c>
      <c r="N9" s="81">
        <f>'Func View - Data-Driven'!N9</f>
        <v>650505.02564016473</v>
      </c>
      <c r="P9" s="81">
        <f t="shared" si="1"/>
        <v>1159057.3528986976</v>
      </c>
      <c r="Q9" s="81">
        <f t="shared" si="2"/>
        <v>2163954.0904801767</v>
      </c>
      <c r="R9" s="81">
        <f t="shared" si="3"/>
        <v>2275182.9868964111</v>
      </c>
      <c r="S9" s="81">
        <f t="shared" si="4"/>
        <v>2489768.8817288335</v>
      </c>
      <c r="T9" s="91"/>
      <c r="U9" s="81">
        <f t="shared" si="5"/>
        <v>8087963.3120041192</v>
      </c>
    </row>
    <row r="10" spans="2:21" ht="15" customHeight="1" x14ac:dyDescent="0.2">
      <c r="B10" s="78" t="s">
        <v>11</v>
      </c>
      <c r="C10" s="81">
        <f>'Func View - Data-Driven'!C10</f>
        <v>440987.1210848433</v>
      </c>
      <c r="D10" s="81">
        <f>'Func View - Data-Driven'!D10</f>
        <v>223571.0957443236</v>
      </c>
      <c r="E10" s="81">
        <f>'Func View - Data-Driven'!E10</f>
        <v>742711.68018701964</v>
      </c>
      <c r="F10" s="81">
        <f>'Func View - Data-Driven'!F10</f>
        <v>195672.89314400047</v>
      </c>
      <c r="G10" s="81">
        <f>'Func View - Data-Driven'!G10</f>
        <v>314978.1524433989</v>
      </c>
      <c r="H10" s="81">
        <f>'Func View - Data-Driven'!H10</f>
        <v>316102.7093005483</v>
      </c>
      <c r="I10" s="81">
        <f>'Func View - Data-Driven'!I10</f>
        <v>244540.00020922109</v>
      </c>
      <c r="J10" s="81">
        <f>'Func View - Data-Driven'!J10</f>
        <v>83932.834519970944</v>
      </c>
      <c r="K10" s="81">
        <f>'Func View - Data-Driven'!K10</f>
        <v>266213.27781973733</v>
      </c>
      <c r="L10" s="81">
        <f>'Func View - Data-Driven'!L10</f>
        <v>278787.8681314991</v>
      </c>
      <c r="M10" s="81">
        <f>'Func View - Data-Driven'!M10</f>
        <v>293304.87483288266</v>
      </c>
      <c r="N10" s="81">
        <f>'Func View - Data-Driven'!N10</f>
        <v>294224.96680691402</v>
      </c>
      <c r="P10" s="81">
        <f t="shared" si="1"/>
        <v>1407269.8970161865</v>
      </c>
      <c r="Q10" s="81">
        <f t="shared" si="2"/>
        <v>826753.7548879477</v>
      </c>
      <c r="R10" s="81">
        <f t="shared" si="3"/>
        <v>594686.11254892941</v>
      </c>
      <c r="S10" s="81">
        <f t="shared" si="4"/>
        <v>866317.70977129578</v>
      </c>
      <c r="T10" s="79"/>
      <c r="U10" s="81">
        <f t="shared" si="5"/>
        <v>3695027.4742243597</v>
      </c>
    </row>
    <row r="11" spans="2:21" ht="15" customHeight="1" x14ac:dyDescent="0.2">
      <c r="B11" s="31" t="s">
        <v>13</v>
      </c>
      <c r="C11" s="97">
        <f>'Func View - Data-Driven'!C11</f>
        <v>198666.7339566247</v>
      </c>
      <c r="D11" s="97">
        <f>'Func View - Data-Driven'!D11</f>
        <v>335025.21674858825</v>
      </c>
      <c r="E11" s="97">
        <f>'Func View - Data-Driven'!E11</f>
        <v>544202.91708709358</v>
      </c>
      <c r="F11" s="97">
        <f>'Func View - Data-Driven'!F11</f>
        <v>191992.52524787508</v>
      </c>
      <c r="G11" s="97">
        <f>'Func View - Data-Driven'!G11</f>
        <v>275618.66244316887</v>
      </c>
      <c r="H11" s="97">
        <f>'Func View - Data-Driven'!H11</f>
        <v>502574.68270423537</v>
      </c>
      <c r="I11" s="97">
        <f>'Func View - Data-Driven'!I11</f>
        <v>521998.84660045261</v>
      </c>
      <c r="J11" s="97">
        <f>'Func View - Data-Driven'!J11</f>
        <v>551237.32488633774</v>
      </c>
      <c r="K11" s="97">
        <f>'Func View - Data-Driven'!K11</f>
        <v>705812.77652360452</v>
      </c>
      <c r="L11" s="97">
        <f>'Func View - Data-Driven'!L11</f>
        <v>533039.95028882893</v>
      </c>
      <c r="M11" s="97">
        <f>'Func View - Data-Driven'!M11</f>
        <v>230840.85304030988</v>
      </c>
      <c r="N11" s="97">
        <f>'Func View - Data-Driven'!N11</f>
        <v>401875.72776858194</v>
      </c>
      <c r="P11" s="97">
        <f t="shared" si="1"/>
        <v>1077894.8677923065</v>
      </c>
      <c r="Q11" s="97">
        <f t="shared" si="2"/>
        <v>970185.87039527926</v>
      </c>
      <c r="R11" s="97">
        <f t="shared" si="3"/>
        <v>1779048.9480103948</v>
      </c>
      <c r="S11" s="97">
        <f t="shared" si="4"/>
        <v>1165756.5310977208</v>
      </c>
      <c r="T11" s="79"/>
      <c r="U11" s="97">
        <f t="shared" si="5"/>
        <v>4992886.2172957007</v>
      </c>
    </row>
    <row r="12" spans="2:21" ht="15" customHeight="1" x14ac:dyDescent="0.2">
      <c r="B12" s="52" t="s">
        <v>14</v>
      </c>
      <c r="C12" s="82">
        <f>'Func View - Data-Driven'!C12</f>
        <v>1838282.796139159</v>
      </c>
      <c r="D12" s="82">
        <f>'Func View - Data-Driven'!D12</f>
        <v>2029089.9786570801</v>
      </c>
      <c r="E12" s="82">
        <f>'Func View - Data-Driven'!E12</f>
        <v>3183022.0796282226</v>
      </c>
      <c r="F12" s="82">
        <f>'Func View - Data-Driven'!F12</f>
        <v>1961124.9264270435</v>
      </c>
      <c r="G12" s="82">
        <f>'Func View - Data-Driven'!G12</f>
        <v>2259643.6557794372</v>
      </c>
      <c r="H12" s="82">
        <f>'Func View - Data-Driven'!H12</f>
        <v>3330528.4811103698</v>
      </c>
      <c r="I12" s="82">
        <f>'Func View - Data-Driven'!I12</f>
        <v>2829282.8201464019</v>
      </c>
      <c r="J12" s="82">
        <f>'Func View - Data-Driven'!J12</f>
        <v>2456543.338222146</v>
      </c>
      <c r="K12" s="82">
        <f>'Func View - Data-Driven'!K12</f>
        <v>3276754.2168503152</v>
      </c>
      <c r="L12" s="82">
        <f>'Func View - Data-Driven'!L12</f>
        <v>2336726.9167149523</v>
      </c>
      <c r="M12" s="82">
        <f>'Func View - Data-Driven'!M12</f>
        <v>2895733.9071597774</v>
      </c>
      <c r="N12" s="82">
        <f>'Func View - Data-Driven'!N12</f>
        <v>3100505.4876025319</v>
      </c>
      <c r="P12" s="82">
        <f t="shared" si="1"/>
        <v>7050394.8544244617</v>
      </c>
      <c r="Q12" s="82">
        <f t="shared" si="2"/>
        <v>7551297.06331685</v>
      </c>
      <c r="R12" s="82">
        <f t="shared" si="3"/>
        <v>8562580.3752188645</v>
      </c>
      <c r="S12" s="82">
        <f t="shared" si="4"/>
        <v>8332966.3114772616</v>
      </c>
      <c r="T12" s="79"/>
      <c r="U12" s="82">
        <f t="shared" si="5"/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f>'Func View - Data-Driven'!C15</f>
        <v>6.7393931455971043E-2</v>
      </c>
      <c r="D15" s="101">
        <f>'Func View - Data-Driven'!D15</f>
        <v>0.14484668328968767</v>
      </c>
      <c r="E15" s="101">
        <f>'Func View - Data-Driven'!E15</f>
        <v>0.11567215284129743</v>
      </c>
      <c r="F15" s="101">
        <f>'Func View - Data-Driven'!F15</f>
        <v>0.1462793629016185</v>
      </c>
      <c r="G15" s="101">
        <f>'Func View - Data-Driven'!G15</f>
        <v>0.11740251602634331</v>
      </c>
      <c r="H15" s="101">
        <f>'Func View - Data-Driven'!H15</f>
        <v>0.20384898186803421</v>
      </c>
      <c r="I15" s="101">
        <f>'Func View - Data-Driven'!I15</f>
        <v>0.12675550059165933</v>
      </c>
      <c r="J15" s="101">
        <f>'Func View - Data-Driven'!J15</f>
        <v>0.17077228679600875</v>
      </c>
      <c r="K15" s="101">
        <f>'Func View - Data-Driven'!K15</f>
        <v>0.19781124572277028</v>
      </c>
      <c r="L15" s="101">
        <f>'Func View - Data-Driven'!L15</f>
        <v>0.33258751868872005</v>
      </c>
      <c r="M15" s="101">
        <f>'Func View - Data-Driven'!M15</f>
        <v>0.17732830917255957</v>
      </c>
      <c r="N15" s="101">
        <f>'Func View - Data-Driven'!N15</f>
        <v>0.20561240301531233</v>
      </c>
      <c r="P15" s="101">
        <f>P25/P5</f>
        <v>0.11465475654137559</v>
      </c>
      <c r="Q15" s="101">
        <f t="shared" ref="Q15:S15" si="6">Q25/Q5</f>
        <v>0.16083750648016584</v>
      </c>
      <c r="R15" s="101">
        <f t="shared" si="6"/>
        <v>0.16689292753926907</v>
      </c>
      <c r="S15" s="101">
        <f t="shared" si="6"/>
        <v>0.22396298964093894</v>
      </c>
      <c r="T15" s="79"/>
      <c r="U15" s="101">
        <f t="shared" ref="U15:U22" si="7">U25/U5</f>
        <v>0.16810391600890268</v>
      </c>
    </row>
    <row r="16" spans="2:21" ht="15" customHeight="1" x14ac:dyDescent="0.2">
      <c r="B16" s="94" t="s">
        <v>10</v>
      </c>
      <c r="C16" s="99">
        <f>'Func View - Data-Driven'!C16</f>
        <v>8.269779157262673E-2</v>
      </c>
      <c r="D16" s="99">
        <f>'Func View - Data-Driven'!D16</f>
        <v>0.14520413222718045</v>
      </c>
      <c r="E16" s="99">
        <f>'Func View - Data-Driven'!E16</f>
        <v>0.13561154879632886</v>
      </c>
      <c r="F16" s="99">
        <f>'Func View - Data-Driven'!F16</f>
        <v>0.17832635139258812</v>
      </c>
      <c r="G16" s="99">
        <f>'Func View - Data-Driven'!G16</f>
        <v>0.13885500252245264</v>
      </c>
      <c r="H16" s="99">
        <f>'Func View - Data-Driven'!H16</f>
        <v>0.18952940132167459</v>
      </c>
      <c r="I16" s="99">
        <f>'Func View - Data-Driven'!I16</f>
        <v>0.13185705933438946</v>
      </c>
      <c r="J16" s="99">
        <f>'Func View - Data-Driven'!J16</f>
        <v>0.17459490622063628</v>
      </c>
      <c r="K16" s="99">
        <f>'Func View - Data-Driven'!K16</f>
        <v>0.25025408643068464</v>
      </c>
      <c r="L16" s="99">
        <f>'Func View - Data-Driven'!L16</f>
        <v>0.25312276989029103</v>
      </c>
      <c r="M16" s="99">
        <f>'Func View - Data-Driven'!M16</f>
        <v>0.17053504999123692</v>
      </c>
      <c r="N16" s="99">
        <f>'Func View - Data-Driven'!N16</f>
        <v>0.23583693040225787</v>
      </c>
      <c r="P16" s="99">
        <f t="shared" ref="P16:S22" si="8">P26/P6</f>
        <v>0.12685345296298783</v>
      </c>
      <c r="Q16" s="99">
        <f t="shared" si="8"/>
        <v>0.17210364655718491</v>
      </c>
      <c r="R16" s="99">
        <f t="shared" si="8"/>
        <v>0.1858379005624578</v>
      </c>
      <c r="S16" s="99">
        <f t="shared" si="8"/>
        <v>0.21748576703966052</v>
      </c>
      <c r="T16" s="79"/>
      <c r="U16" s="99">
        <f t="shared" si="7"/>
        <v>0.17699800259839513</v>
      </c>
    </row>
    <row r="17" spans="2:21" ht="15" customHeight="1" x14ac:dyDescent="0.2">
      <c r="B17" s="94" t="s">
        <v>11</v>
      </c>
      <c r="C17" s="100">
        <f>'Func View - Data-Driven'!C17</f>
        <v>3.5178889378835419E-2</v>
      </c>
      <c r="D17" s="100">
        <f>'Func View - Data-Driven'!D17</f>
        <v>0.14280515161950749</v>
      </c>
      <c r="E17" s="100">
        <f>'Func View - Data-Driven'!E17</f>
        <v>4.5604790246004716E-2</v>
      </c>
      <c r="F17" s="100">
        <f>'Func View - Data-Driven'!F17</f>
        <v>5.8187785575158441E-2</v>
      </c>
      <c r="G17" s="100">
        <f>'Func View - Data-Driven'!G17</f>
        <v>6.7932921071297683E-2</v>
      </c>
      <c r="H17" s="100">
        <f>'Func View - Data-Driven'!H17</f>
        <v>0.26115761004404708</v>
      </c>
      <c r="I17" s="100">
        <f>'Func View - Data-Driven'!I17</f>
        <v>0.10675739032015726</v>
      </c>
      <c r="J17" s="100">
        <f>'Func View - Data-Driven'!J17</f>
        <v>0.15808807309791401</v>
      </c>
      <c r="K17" s="100">
        <f>'Func View - Data-Driven'!K17</f>
        <v>9.3996908746969907E-2</v>
      </c>
      <c r="L17" s="100">
        <f>'Func View - Data-Driven'!L17</f>
        <v>1.3706131049093142</v>
      </c>
      <c r="M17" s="100">
        <f>'Func View - Data-Driven'!M17</f>
        <v>0.22212015799005139</v>
      </c>
      <c r="N17" s="100">
        <f>'Func View - Data-Driven'!N17</f>
        <v>0.13097707360742727</v>
      </c>
      <c r="P17" s="100">
        <f t="shared" si="8"/>
        <v>6.4774688547365178E-2</v>
      </c>
      <c r="Q17" s="100">
        <f t="shared" si="8"/>
        <v>0.1271312847130262</v>
      </c>
      <c r="R17" s="100">
        <f t="shared" si="8"/>
        <v>0.11364484290033255</v>
      </c>
      <c r="S17" s="100">
        <f t="shared" si="8"/>
        <v>0.25146611904543847</v>
      </c>
      <c r="T17" s="79"/>
      <c r="U17" s="100">
        <f t="shared" si="7"/>
        <v>0.13758712272785661</v>
      </c>
    </row>
    <row r="18" spans="2:21" ht="15" customHeight="1" x14ac:dyDescent="0.2">
      <c r="B18" s="93" t="s">
        <v>12</v>
      </c>
      <c r="C18" s="101">
        <f>'Func View - Data-Driven'!C18</f>
        <v>0.17841142091049092</v>
      </c>
      <c r="D18" s="101">
        <f>'Func View - Data-Driven'!D18</f>
        <v>0.16576614011777902</v>
      </c>
      <c r="E18" s="101">
        <f>'Func View - Data-Driven'!E18</f>
        <v>8.7735600019642646E-2</v>
      </c>
      <c r="F18" s="101">
        <f>'Func View - Data-Driven'!F18</f>
        <v>0.19496123355955849</v>
      </c>
      <c r="G18" s="101">
        <f>'Func View - Data-Driven'!G18</f>
        <v>0.12927223517600184</v>
      </c>
      <c r="H18" s="101">
        <f>'Func View - Data-Driven'!H18</f>
        <v>0.12033628224965125</v>
      </c>
      <c r="I18" s="101">
        <f>'Func View - Data-Driven'!I18</f>
        <v>0.12118049769423624</v>
      </c>
      <c r="J18" s="101">
        <f>'Func View - Data-Driven'!J18</f>
        <v>9.4538332549951906E-2</v>
      </c>
      <c r="K18" s="101">
        <f>'Func View - Data-Driven'!K18</f>
        <v>0.16041499448777996</v>
      </c>
      <c r="L18" s="101">
        <f>'Func View - Data-Driven'!L18</f>
        <v>0.11049149223598738</v>
      </c>
      <c r="M18" s="101">
        <f>'Func View - Data-Driven'!M18</f>
        <v>9.8512058859721238E-2</v>
      </c>
      <c r="N18" s="101">
        <f>'Func View - Data-Driven'!N18</f>
        <v>0.16380225226010331</v>
      </c>
      <c r="P18" s="101">
        <f t="shared" si="8"/>
        <v>0.130464673959654</v>
      </c>
      <c r="Q18" s="101">
        <f t="shared" si="8"/>
        <v>0.14071991943780132</v>
      </c>
      <c r="R18" s="101">
        <f t="shared" si="8"/>
        <v>0.12861316138153725</v>
      </c>
      <c r="S18" s="101">
        <f t="shared" si="8"/>
        <v>0.12038368777580427</v>
      </c>
      <c r="T18" s="79"/>
      <c r="U18" s="101">
        <f t="shared" si="7"/>
        <v>0.12974534740309565</v>
      </c>
    </row>
    <row r="19" spans="2:21" ht="15" customHeight="1" x14ac:dyDescent="0.2">
      <c r="B19" s="94" t="s">
        <v>10</v>
      </c>
      <c r="C19" s="99">
        <f>'Func View - Data-Driven'!C19</f>
        <v>0.25513485939404251</v>
      </c>
      <c r="D19" s="99">
        <f>'Func View - Data-Driven'!D19</f>
        <v>0.13216248357945287</v>
      </c>
      <c r="E19" s="99">
        <f>'Func View - Data-Driven'!E19</f>
        <v>0.1076882767868082</v>
      </c>
      <c r="F19" s="99">
        <f>'Func View - Data-Driven'!F19</f>
        <v>0.15435124114687773</v>
      </c>
      <c r="G19" s="99">
        <f>'Func View - Data-Driven'!G19</f>
        <v>0.11540937166472348</v>
      </c>
      <c r="H19" s="99">
        <f>'Func View - Data-Driven'!H19</f>
        <v>9.0990282613901921E-2</v>
      </c>
      <c r="I19" s="99">
        <f>'Func View - Data-Driven'!I19</f>
        <v>0.10240525647455437</v>
      </c>
      <c r="J19" s="99">
        <f>'Func View - Data-Driven'!J19</f>
        <v>4.614145810641769E-2</v>
      </c>
      <c r="K19" s="99">
        <f>'Func View - Data-Driven'!K19</f>
        <v>0.1553360702956525</v>
      </c>
      <c r="L19" s="99">
        <f>'Func View - Data-Driven'!L19</f>
        <v>0.10728859254871663</v>
      </c>
      <c r="M19" s="99">
        <f>'Func View - Data-Driven'!M19</f>
        <v>9.4760413813254091E-2</v>
      </c>
      <c r="N19" s="99">
        <f>'Func View - Data-Driven'!N19</f>
        <v>0.16792263506510405</v>
      </c>
      <c r="P19" s="99">
        <f t="shared" si="8"/>
        <v>0.15120509726926629</v>
      </c>
      <c r="Q19" s="99">
        <f t="shared" si="8"/>
        <v>0.11265604738223021</v>
      </c>
      <c r="R19" s="99">
        <f t="shared" si="8"/>
        <v>0.10407931465914845</v>
      </c>
      <c r="S19" s="99">
        <f t="shared" si="8"/>
        <v>0.1173962875543655</v>
      </c>
      <c r="T19" s="79"/>
      <c r="U19" s="99">
        <f t="shared" si="7"/>
        <v>0.11722691700545769</v>
      </c>
    </row>
    <row r="20" spans="2:21" ht="15" customHeight="1" x14ac:dyDescent="0.2">
      <c r="B20" s="94" t="s">
        <v>11</v>
      </c>
      <c r="C20" s="99">
        <f>'Func View - Data-Driven'!C20</f>
        <v>0.12962935061850114</v>
      </c>
      <c r="D20" s="99">
        <f>'Func View - Data-Driven'!D20</f>
        <v>0.22162990628166296</v>
      </c>
      <c r="E20" s="99">
        <f>'Func View - Data-Driven'!E20</f>
        <v>7.1151099980620497E-2</v>
      </c>
      <c r="F20" s="99">
        <f>'Func View - Data-Driven'!F20</f>
        <v>0.30142985525591814</v>
      </c>
      <c r="G20" s="99">
        <f>'Func View - Data-Driven'!G20</f>
        <v>0.15518917572289023</v>
      </c>
      <c r="H20" s="99">
        <f>'Func View - Data-Driven'!H20</f>
        <v>0.21893770211245839</v>
      </c>
      <c r="I20" s="99">
        <f>'Func View - Data-Driven'!I20</f>
        <v>0.18204304803596411</v>
      </c>
      <c r="J20" s="99">
        <f>'Func View - Data-Driven'!J20</f>
        <v>0.48878717089143386</v>
      </c>
      <c r="K20" s="99">
        <f>'Func View - Data-Driven'!K20</f>
        <v>0.17565371749587982</v>
      </c>
      <c r="L20" s="99">
        <f>'Func View - Data-Driven'!L20</f>
        <v>0.11852986607525422</v>
      </c>
      <c r="M20" s="99">
        <f>'Func View - Data-Driven'!M20</f>
        <v>0.11308842251708248</v>
      </c>
      <c r="N20" s="99">
        <f>'Func View - Data-Driven'!N20</f>
        <v>0.15469245525238268</v>
      </c>
      <c r="P20" s="99">
        <f t="shared" si="8"/>
        <v>0.11338242115924385</v>
      </c>
      <c r="Q20" s="99">
        <f t="shared" si="8"/>
        <v>0.21417459729118007</v>
      </c>
      <c r="R20" s="99">
        <f t="shared" si="8"/>
        <v>0.22247610771242296</v>
      </c>
      <c r="S20" s="99">
        <f t="shared" si="8"/>
        <v>0.12896937871195249</v>
      </c>
      <c r="T20" s="79"/>
      <c r="U20" s="99">
        <f t="shared" si="7"/>
        <v>0.1571466607860838</v>
      </c>
    </row>
    <row r="21" spans="2:21" s="36" customFormat="1" ht="15" customHeight="1" x14ac:dyDescent="0.2">
      <c r="B21" s="19" t="s">
        <v>13</v>
      </c>
      <c r="C21" s="102">
        <f>'Func View - Data-Driven'!C21</f>
        <v>0.15169917201438265</v>
      </c>
      <c r="D21" s="102">
        <f>'Func View - Data-Driven'!D21</f>
        <v>3.1052479234059648E-2</v>
      </c>
      <c r="E21" s="102">
        <f>'Func View - Data-Driven'!E21</f>
        <v>0.13756140402794095</v>
      </c>
      <c r="F21" s="102">
        <f>'Func View - Data-Driven'!F21</f>
        <v>0.19289808628569899</v>
      </c>
      <c r="G21" s="102">
        <f>'Func View - Data-Driven'!G21</f>
        <v>0.29362421360352814</v>
      </c>
      <c r="H21" s="102">
        <f>'Func View - Data-Driven'!H21</f>
        <v>0.20370342944125933</v>
      </c>
      <c r="I21" s="102">
        <f>'Func View - Data-Driven'!I21</f>
        <v>6.3543024716316024E-2</v>
      </c>
      <c r="J21" s="102">
        <f>'Func View - Data-Driven'!J21</f>
        <v>0.11695201728276121</v>
      </c>
      <c r="K21" s="102">
        <f>'Func View - Data-Driven'!K21</f>
        <v>0.10441280328015808</v>
      </c>
      <c r="L21" s="102">
        <f>'Func View - Data-Driven'!L21</f>
        <v>0.1948682263338565</v>
      </c>
      <c r="M21" s="102">
        <f>'Func View - Data-Driven'!M21</f>
        <v>0.23822191395150702</v>
      </c>
      <c r="N21" s="102">
        <f>'Func View - Data-Driven'!N21</f>
        <v>0.15173049442597039</v>
      </c>
      <c r="P21" s="102">
        <f t="shared" si="8"/>
        <v>0.10706263053367782</v>
      </c>
      <c r="Q21" s="102">
        <f t="shared" si="8"/>
        <v>0.22711059484224291</v>
      </c>
      <c r="R21" s="102">
        <f t="shared" si="8"/>
        <v>9.6306284061393493E-2</v>
      </c>
      <c r="S21" s="102">
        <f t="shared" si="8"/>
        <v>0.18858200363024816</v>
      </c>
      <c r="T21" s="85"/>
      <c r="U21" s="102">
        <f t="shared" si="7"/>
        <v>0.1455903487896815</v>
      </c>
    </row>
    <row r="22" spans="2:21" ht="15" customHeight="1" x14ac:dyDescent="0.2">
      <c r="B22" s="95" t="s">
        <v>14</v>
      </c>
      <c r="C22" s="98">
        <f>'Func View - Data-Driven'!C22</f>
        <v>9.9549306149495281E-2</v>
      </c>
      <c r="D22" s="98">
        <f>'Func View - Data-Driven'!D22</f>
        <v>0.10960177195157539</v>
      </c>
      <c r="E22" s="98">
        <f>'Func View - Data-Driven'!E22</f>
        <v>8.7049858779637571E-2</v>
      </c>
      <c r="F22" s="98">
        <f>'Func View - Data-Driven'!F22</f>
        <v>0.13964829458312192</v>
      </c>
      <c r="G22" s="98">
        <f>'Func View - Data-Driven'!G22</f>
        <v>0.11909489594017039</v>
      </c>
      <c r="H22" s="98">
        <f>'Func View - Data-Driven'!H22</f>
        <v>0.1403396189289258</v>
      </c>
      <c r="I22" s="98">
        <f>'Func View - Data-Driven'!I22</f>
        <v>9.3728128359109347E-2</v>
      </c>
      <c r="J22" s="98">
        <f>'Func View - Data-Driven'!J22</f>
        <v>0.11182169263736468</v>
      </c>
      <c r="K22" s="98">
        <f>'Func View - Data-Driven'!K22</f>
        <v>0.13724746376650401</v>
      </c>
      <c r="L22" s="98">
        <f>'Func View - Data-Driven'!L22</f>
        <v>0.17259448997409876</v>
      </c>
      <c r="M22" s="98">
        <f>'Func View - Data-Driven'!M22</f>
        <v>0.11871126583876601</v>
      </c>
      <c r="N22" s="98">
        <f>'Func View - Data-Driven'!N22</f>
        <v>0.15411906819048526</v>
      </c>
      <c r="P22" s="98">
        <f t="shared" si="8"/>
        <v>0.11924881246290682</v>
      </c>
      <c r="Q22" s="98">
        <f t="shared" si="8"/>
        <v>0.16138461626597198</v>
      </c>
      <c r="R22" s="98">
        <f t="shared" si="8"/>
        <v>0.13939712586080016</v>
      </c>
      <c r="S22" s="98">
        <f t="shared" si="8"/>
        <v>0.1772969277453611</v>
      </c>
      <c r="T22" s="79"/>
      <c r="U22" s="98">
        <f t="shared" si="7"/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f>'Func View - Data-Driven'!C25</f>
        <v>61883.925660884226</v>
      </c>
      <c r="D25" s="96">
        <f>'Func View - Data-Driven'!D25</f>
        <v>159160.73774827071</v>
      </c>
      <c r="E25" s="96">
        <f>'Func View - Data-Driven'!E25</f>
        <v>169489.24245703485</v>
      </c>
      <c r="F25" s="96">
        <f>'Func View - Data-Driven'!F25</f>
        <v>155122.99135566823</v>
      </c>
      <c r="G25" s="96">
        <f>'Func View - Data-Driven'!G25</f>
        <v>126816.78634141046</v>
      </c>
      <c r="H25" s="96">
        <f>'Func View - Data-Driven'!H25</f>
        <v>295531.74398145801</v>
      </c>
      <c r="I25" s="96">
        <f>'Func View - Data-Driven'!I25</f>
        <v>160983.74745994189</v>
      </c>
      <c r="J25" s="96">
        <f>'Func View - Data-Driven'!J25</f>
        <v>194277.83000975178</v>
      </c>
      <c r="K25" s="96">
        <f>'Func View - Data-Driven'!K25</f>
        <v>297900.98581084522</v>
      </c>
      <c r="L25" s="96">
        <f>'Func View - Data-Driven'!L25</f>
        <v>274457.96139375068</v>
      </c>
      <c r="M25" s="96">
        <f>'Func View - Data-Driven'!M25</f>
        <v>218469.0360571791</v>
      </c>
      <c r="N25" s="96">
        <f>'Func View - Data-Driven'!N25</f>
        <v>360623.54582041199</v>
      </c>
      <c r="P25" s="96">
        <f t="shared" ref="P25:P32" si="9">SUM(C25:E25)</f>
        <v>390533.90586618974</v>
      </c>
      <c r="Q25" s="96">
        <f t="shared" ref="Q25:Q32" si="10">SUM(F25:H25)</f>
        <v>577471.52167853666</v>
      </c>
      <c r="R25" s="96">
        <f t="shared" ref="R25:R32" si="11">SUM(I25:K25)</f>
        <v>653162.56328053889</v>
      </c>
      <c r="S25" s="96">
        <f t="shared" ref="S25:S32" si="12">SUM(L25:N25)</f>
        <v>853550.54327134183</v>
      </c>
      <c r="T25" s="79"/>
      <c r="U25" s="96">
        <f t="shared" ref="U25:U32" si="13">SUM(P25:S25)</f>
        <v>2474718.534096607</v>
      </c>
    </row>
    <row r="26" spans="2:21" ht="15" customHeight="1" x14ac:dyDescent="0.2">
      <c r="B26" s="78" t="s">
        <v>10</v>
      </c>
      <c r="C26" s="81">
        <f>'Func View - Data-Driven'!C26</f>
        <v>51480.562074912355</v>
      </c>
      <c r="D26" s="81">
        <f>'Func View - Data-Driven'!D26</f>
        <v>135779.98247258135</v>
      </c>
      <c r="E26" s="81">
        <f>'Func View - Data-Driven'!E26</f>
        <v>159918.04480336962</v>
      </c>
      <c r="F26" s="81">
        <f>'Func View - Data-Driven'!F26</f>
        <v>138662.99548834653</v>
      </c>
      <c r="G26" s="81">
        <f>'Func View - Data-Driven'!G26</f>
        <v>104620.7313082039</v>
      </c>
      <c r="H26" s="81">
        <f>'Func View - Data-Driven'!H26</f>
        <v>219840.70237945591</v>
      </c>
      <c r="I26" s="81">
        <f>'Func View - Data-Driven'!I26</f>
        <v>133425.72407601692</v>
      </c>
      <c r="J26" s="81">
        <f>'Func View - Data-Driven'!J26</f>
        <v>152629.05258789225</v>
      </c>
      <c r="K26" s="81">
        <f>'Func View - Data-Driven'!K26</f>
        <v>250391.45228471214</v>
      </c>
      <c r="L26" s="81">
        <f>'Func View - Data-Driven'!L26</f>
        <v>194028.43613297411</v>
      </c>
      <c r="M26" s="81">
        <f>'Func View - Data-Driven'!M26</f>
        <v>182431.62086281565</v>
      </c>
      <c r="N26" s="81">
        <f>'Func View - Data-Driven'!N26</f>
        <v>294409.47153595876</v>
      </c>
      <c r="P26" s="81">
        <f t="shared" si="9"/>
        <v>347178.58935086336</v>
      </c>
      <c r="Q26" s="81">
        <f t="shared" si="10"/>
        <v>463124.42917600635</v>
      </c>
      <c r="R26" s="81">
        <f t="shared" si="11"/>
        <v>536446.22894862131</v>
      </c>
      <c r="S26" s="81">
        <f t="shared" si="12"/>
        <v>670869.52853174857</v>
      </c>
      <c r="T26" s="79"/>
      <c r="U26" s="81">
        <f t="shared" si="13"/>
        <v>2017618.7760072395</v>
      </c>
    </row>
    <row r="27" spans="2:21" ht="15" customHeight="1" x14ac:dyDescent="0.2">
      <c r="B27" s="78" t="s">
        <v>11</v>
      </c>
      <c r="C27" s="81">
        <f>'Func View - Data-Driven'!C27</f>
        <v>10403.363585971867</v>
      </c>
      <c r="D27" s="81">
        <f>'Func View - Data-Driven'!D27</f>
        <v>23380.755275689353</v>
      </c>
      <c r="E27" s="81">
        <f>'Func View - Data-Driven'!E27</f>
        <v>9571.1976536652473</v>
      </c>
      <c r="F27" s="81">
        <f>'Func View - Data-Driven'!F27</f>
        <v>16459.995867321704</v>
      </c>
      <c r="G27" s="81">
        <f>'Func View - Data-Driven'!G27</f>
        <v>22196.055033206558</v>
      </c>
      <c r="H27" s="81">
        <f>'Func View - Data-Driven'!H27</f>
        <v>75691.041602002122</v>
      </c>
      <c r="I27" s="81">
        <f>'Func View - Data-Driven'!I27</f>
        <v>27558.023383924985</v>
      </c>
      <c r="J27" s="81">
        <f>'Func View - Data-Driven'!J27</f>
        <v>41648.777421859515</v>
      </c>
      <c r="K27" s="81">
        <f>'Func View - Data-Driven'!K27</f>
        <v>47509.533526133098</v>
      </c>
      <c r="L27" s="81">
        <f>'Func View - Data-Driven'!L27</f>
        <v>80429.525260776558</v>
      </c>
      <c r="M27" s="81">
        <f>'Func View - Data-Driven'!M27</f>
        <v>36037.415194363435</v>
      </c>
      <c r="N27" s="81">
        <f>'Func View - Data-Driven'!N27</f>
        <v>66214.074284453251</v>
      </c>
      <c r="P27" s="81">
        <f t="shared" si="9"/>
        <v>43355.316515326471</v>
      </c>
      <c r="Q27" s="81">
        <f t="shared" si="10"/>
        <v>114347.09250253039</v>
      </c>
      <c r="R27" s="81">
        <f t="shared" si="11"/>
        <v>116716.33433191761</v>
      </c>
      <c r="S27" s="81">
        <f t="shared" si="12"/>
        <v>182681.01473959326</v>
      </c>
      <c r="T27" s="79"/>
      <c r="U27" s="81">
        <f t="shared" si="13"/>
        <v>457099.75808936777</v>
      </c>
    </row>
    <row r="28" spans="2:21" ht="15" customHeight="1" x14ac:dyDescent="0.2">
      <c r="B28" s="51" t="s">
        <v>12</v>
      </c>
      <c r="C28" s="96">
        <f>'Func View - Data-Driven'!C28</f>
        <v>128701.40518728085</v>
      </c>
      <c r="D28" s="96">
        <f>'Func View - Data-Driven'!D28</f>
        <v>98671.077310248656</v>
      </c>
      <c r="E28" s="96">
        <f>'Func View - Data-Driven'!E28</f>
        <v>107442.56543639135</v>
      </c>
      <c r="F28" s="96">
        <f>'Func View - Data-Driven'!F28</f>
        <v>138164.20773479133</v>
      </c>
      <c r="G28" s="96">
        <f>'Func View - Data-Driven'!G28</f>
        <v>116841.03127030641</v>
      </c>
      <c r="H28" s="96">
        <f>'Func View - Data-Driven'!H28</f>
        <v>165846.92805710511</v>
      </c>
      <c r="I28" s="96">
        <f>'Func View - Data-Driven'!I28</f>
        <v>125694.51389591125</v>
      </c>
      <c r="J28" s="96">
        <f>'Func View - Data-Driven'!J28</f>
        <v>72573.618142282081</v>
      </c>
      <c r="K28" s="96">
        <f>'Func View - Data-Driven'!K28</f>
        <v>170834.80559265718</v>
      </c>
      <c r="L28" s="96">
        <f>'Func View - Data-Driven'!L28</f>
        <v>108112.24558309035</v>
      </c>
      <c r="M28" s="96">
        <f>'Func View - Data-Driven'!M28</f>
        <v>141156.93425612256</v>
      </c>
      <c r="N28" s="96">
        <f>'Func View - Data-Driven'!N28</f>
        <v>154748.90054050187</v>
      </c>
      <c r="P28" s="96">
        <f t="shared" si="9"/>
        <v>334815.04793392087</v>
      </c>
      <c r="Q28" s="96">
        <f t="shared" si="10"/>
        <v>420852.16706220282</v>
      </c>
      <c r="R28" s="96">
        <f t="shared" si="11"/>
        <v>369102.93763085053</v>
      </c>
      <c r="S28" s="96">
        <f t="shared" si="12"/>
        <v>404018.08037971478</v>
      </c>
      <c r="T28" s="79"/>
      <c r="U28" s="96">
        <f t="shared" si="13"/>
        <v>1528788.233006689</v>
      </c>
    </row>
    <row r="29" spans="2:21" ht="15" customHeight="1" x14ac:dyDescent="0.2">
      <c r="B29" s="78" t="s">
        <v>10</v>
      </c>
      <c r="C29" s="81">
        <f>'Func View - Data-Driven'!C29</f>
        <v>71536.531049930272</v>
      </c>
      <c r="D29" s="81">
        <f>'Func View - Data-Driven'!D29</f>
        <v>49121.036313145531</v>
      </c>
      <c r="E29" s="81">
        <f>'Func View - Data-Driven'!E29</f>
        <v>54597.812422630079</v>
      </c>
      <c r="F29" s="81">
        <f>'Func View - Data-Driven'!F29</f>
        <v>79182.555876888538</v>
      </c>
      <c r="G29" s="81">
        <f>'Func View - Data-Driven'!G29</f>
        <v>67959.831421896466</v>
      </c>
      <c r="H29" s="81">
        <f>'Func View - Data-Driven'!H29</f>
        <v>96640.12725132065</v>
      </c>
      <c r="I29" s="81">
        <f>'Func View - Data-Driven'!I29</f>
        <v>81177.706891109337</v>
      </c>
      <c r="J29" s="81">
        <f>'Func View - Data-Driven'!J29</f>
        <v>31548.325412366608</v>
      </c>
      <c r="K29" s="81">
        <f>'Func View - Data-Driven'!K29</f>
        <v>124073.45369685687</v>
      </c>
      <c r="L29" s="81">
        <f>'Func View - Data-Driven'!L29</f>
        <v>75067.55691005812</v>
      </c>
      <c r="M29" s="81">
        <f>'Func View - Data-Driven'!M29</f>
        <v>107987.54864470153</v>
      </c>
      <c r="N29" s="81">
        <f>'Func View - Data-Driven'!N29</f>
        <v>109234.51802858953</v>
      </c>
      <c r="P29" s="81">
        <f t="shared" si="9"/>
        <v>175255.37978570588</v>
      </c>
      <c r="Q29" s="81">
        <f t="shared" si="10"/>
        <v>243782.51455010567</v>
      </c>
      <c r="R29" s="81">
        <f t="shared" si="11"/>
        <v>236799.48600033281</v>
      </c>
      <c r="S29" s="81">
        <f t="shared" si="12"/>
        <v>292289.62358334917</v>
      </c>
      <c r="T29" s="79"/>
      <c r="U29" s="81">
        <f t="shared" si="13"/>
        <v>948127.00391949352</v>
      </c>
    </row>
    <row r="30" spans="2:21" ht="15" customHeight="1" x14ac:dyDescent="0.2">
      <c r="B30" s="78" t="s">
        <v>11</v>
      </c>
      <c r="C30" s="81">
        <f>'Func View - Data-Driven'!C30</f>
        <v>57164.874137350569</v>
      </c>
      <c r="D30" s="81">
        <f>'Func View - Data-Driven'!D30</f>
        <v>49550.040997103133</v>
      </c>
      <c r="E30" s="81">
        <f>'Func View - Data-Driven'!E30</f>
        <v>52844.75301376127</v>
      </c>
      <c r="F30" s="81">
        <f>'Func View - Data-Driven'!F30</f>
        <v>58981.651857902798</v>
      </c>
      <c r="G30" s="81">
        <f>'Func View - Data-Driven'!G30</f>
        <v>48881.199848409939</v>
      </c>
      <c r="H30" s="81">
        <f>'Func View - Data-Driven'!H30</f>
        <v>69206.800805784471</v>
      </c>
      <c r="I30" s="81">
        <f>'Func View - Data-Driven'!I30</f>
        <v>44516.807004801907</v>
      </c>
      <c r="J30" s="81">
        <f>'Func View - Data-Driven'!J30</f>
        <v>41025.292729915476</v>
      </c>
      <c r="K30" s="81">
        <f>'Func View - Data-Driven'!K30</f>
        <v>46761.351895800311</v>
      </c>
      <c r="L30" s="81">
        <f>'Func View - Data-Driven'!L30</f>
        <v>33044.688673032222</v>
      </c>
      <c r="M30" s="81">
        <f>'Func View - Data-Driven'!M30</f>
        <v>33169.385611421028</v>
      </c>
      <c r="N30" s="81">
        <f>'Func View - Data-Driven'!N30</f>
        <v>45514.382511912328</v>
      </c>
      <c r="P30" s="81">
        <f t="shared" si="9"/>
        <v>159559.66814821499</v>
      </c>
      <c r="Q30" s="81">
        <f t="shared" si="10"/>
        <v>177069.65251209721</v>
      </c>
      <c r="R30" s="81">
        <f t="shared" si="11"/>
        <v>132303.45163051769</v>
      </c>
      <c r="S30" s="81">
        <f t="shared" si="12"/>
        <v>111728.45679636559</v>
      </c>
      <c r="T30" s="79"/>
      <c r="U30" s="81">
        <f t="shared" si="13"/>
        <v>580661.22908719548</v>
      </c>
    </row>
    <row r="31" spans="2:21" ht="15" customHeight="1" x14ac:dyDescent="0.2">
      <c r="B31" s="31" t="s">
        <v>13</v>
      </c>
      <c r="C31" s="97">
        <f>'Func View - Data-Driven'!C31</f>
        <v>30137.579048021606</v>
      </c>
      <c r="D31" s="97">
        <f>'Func View - Data-Driven'!D31</f>
        <v>10403.363585971869</v>
      </c>
      <c r="E31" s="97">
        <f>'Func View - Data-Driven'!E31</f>
        <v>74861.317350601734</v>
      </c>
      <c r="F31" s="97">
        <f>'Func View - Data-Driven'!F31</f>
        <v>37034.990701473849</v>
      </c>
      <c r="G31" s="97">
        <f>'Func View - Data-Driven'!G31</f>
        <v>80928.313014331739</v>
      </c>
      <c r="H31" s="97">
        <f>'Func View - Data-Driven'!H31</f>
        <v>102376.18641720551</v>
      </c>
      <c r="I31" s="97">
        <f>'Func View - Data-Driven'!I31</f>
        <v>33169.385611421014</v>
      </c>
      <c r="J31" s="97">
        <f>'Func View - Data-Driven'!J31</f>
        <v>64468.317147010028</v>
      </c>
      <c r="K31" s="97">
        <f>'Func View - Data-Driven'!K31</f>
        <v>73695.890587781294</v>
      </c>
      <c r="L31" s="97">
        <f>'Func View - Data-Driven'!L31</f>
        <v>103872.54967787114</v>
      </c>
      <c r="M31" s="97">
        <f>'Func View - Data-Driven'!M31</f>
        <v>54991.349829461178</v>
      </c>
      <c r="N31" s="97">
        <f>'Func View - Data-Driven'!N31</f>
        <v>60976.802872123619</v>
      </c>
      <c r="O31" s="36"/>
      <c r="P31" s="97">
        <f t="shared" si="9"/>
        <v>115402.25998459521</v>
      </c>
      <c r="Q31" s="97">
        <f t="shared" si="10"/>
        <v>220339.49013301107</v>
      </c>
      <c r="R31" s="97">
        <f t="shared" si="11"/>
        <v>171333.59334621235</v>
      </c>
      <c r="S31" s="97">
        <f t="shared" si="12"/>
        <v>219840.70237945591</v>
      </c>
      <c r="T31" s="85"/>
      <c r="U31" s="97">
        <f t="shared" si="13"/>
        <v>726916.04584327457</v>
      </c>
    </row>
    <row r="32" spans="2:21" ht="15" customHeight="1" x14ac:dyDescent="0.2">
      <c r="B32" s="52" t="s">
        <v>14</v>
      </c>
      <c r="C32" s="82">
        <f>'Func View - Data-Driven'!C32</f>
        <v>220722.9098961867</v>
      </c>
      <c r="D32" s="82">
        <f>'Func View - Data-Driven'!D32</f>
        <v>268235.17864449124</v>
      </c>
      <c r="E32" s="82">
        <f>'Func View - Data-Driven'!E32</f>
        <v>351793.12524402793</v>
      </c>
      <c r="F32" s="82">
        <f>'Func View - Data-Driven'!F32</f>
        <v>330322.1897919334</v>
      </c>
      <c r="G32" s="82">
        <f>'Func View - Data-Driven'!G32</f>
        <v>324586.1306260486</v>
      </c>
      <c r="H32" s="82">
        <f>'Func View - Data-Driven'!H32</f>
        <v>563754.85845576867</v>
      </c>
      <c r="I32" s="82">
        <f>'Func View - Data-Driven'!I32</f>
        <v>319847.6469672742</v>
      </c>
      <c r="J32" s="82">
        <f>'Func View - Data-Driven'!J32</f>
        <v>331319.76529904385</v>
      </c>
      <c r="K32" s="82">
        <f>'Func View - Data-Driven'!K32</f>
        <v>542431.68199128367</v>
      </c>
      <c r="L32" s="82">
        <f>'Func View - Data-Driven'!L32</f>
        <v>486442.75665471214</v>
      </c>
      <c r="M32" s="82">
        <f>'Func View - Data-Driven'!M32</f>
        <v>414617.32014276285</v>
      </c>
      <c r="N32" s="82">
        <f>'Func View - Data-Driven'!N32</f>
        <v>576349.24923303747</v>
      </c>
      <c r="P32" s="82">
        <f t="shared" si="9"/>
        <v>840751.21378470585</v>
      </c>
      <c r="Q32" s="82">
        <f t="shared" si="10"/>
        <v>1218663.1788737508</v>
      </c>
      <c r="R32" s="82">
        <f t="shared" si="11"/>
        <v>1193599.0942576015</v>
      </c>
      <c r="S32" s="82">
        <f t="shared" si="12"/>
        <v>1477409.3260305123</v>
      </c>
      <c r="T32" s="79"/>
      <c r="U32" s="82">
        <f t="shared" si="13"/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f>'Func View - Data-Driven'!C34</f>
        <v>168</v>
      </c>
      <c r="D34" s="86">
        <f>'Func View - Data-Driven'!D34</f>
        <v>160</v>
      </c>
      <c r="E34" s="86">
        <f>'Func View - Data-Driven'!E34</f>
        <v>184</v>
      </c>
      <c r="F34" s="86">
        <f>'Func View - Data-Driven'!F34</f>
        <v>160</v>
      </c>
      <c r="G34" s="86">
        <f>'Func View - Data-Driven'!G34</f>
        <v>184</v>
      </c>
      <c r="H34" s="86">
        <f>'Func View - Data-Driven'!H34</f>
        <v>168</v>
      </c>
      <c r="I34" s="86">
        <f>'Func View - Data-Driven'!I34</f>
        <v>160</v>
      </c>
      <c r="J34" s="86">
        <f>'Func View - Data-Driven'!J34</f>
        <v>184</v>
      </c>
      <c r="K34" s="86">
        <f>'Func View - Data-Driven'!K34</f>
        <v>160</v>
      </c>
      <c r="L34" s="86">
        <f>'Func View - Data-Driven'!L34</f>
        <v>176</v>
      </c>
      <c r="M34" s="86">
        <f>'Func View - Data-Driven'!M34</f>
        <v>168</v>
      </c>
      <c r="N34" s="86">
        <f>'Func View - Data-Driven'!N34</f>
        <v>168</v>
      </c>
      <c r="O34" s="38"/>
      <c r="P34" s="86">
        <f t="shared" ref="P34" si="14">SUM(C34:E34)</f>
        <v>512</v>
      </c>
      <c r="Q34" s="86">
        <f t="shared" ref="Q34" si="15">SUM(F34:H34)</f>
        <v>512</v>
      </c>
      <c r="R34" s="86">
        <f t="shared" ref="R34" si="16">SUM(I34:K34)</f>
        <v>504</v>
      </c>
      <c r="S34" s="86">
        <f t="shared" ref="S34" si="17">SUM(L34:N34)</f>
        <v>512</v>
      </c>
      <c r="T34" s="86"/>
      <c r="U34" s="86">
        <f t="shared" ref="U34" si="18">SUM(P34:S34)</f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f>'Func View - Data-Driven'!C36</f>
        <v>16</v>
      </c>
      <c r="D36" s="103">
        <f>'Func View - Data-Driven'!D36</f>
        <v>16</v>
      </c>
      <c r="E36" s="103">
        <f>'Func View - Data-Driven'!E36</f>
        <v>16</v>
      </c>
      <c r="F36" s="103">
        <f>'Func View - Data-Driven'!F36</f>
        <v>17</v>
      </c>
      <c r="G36" s="103">
        <f>'Func View - Data-Driven'!G36</f>
        <v>18</v>
      </c>
      <c r="H36" s="103">
        <f>'Func View - Data-Driven'!H36</f>
        <v>18</v>
      </c>
      <c r="I36" s="103">
        <f>'Func View - Data-Driven'!I36</f>
        <v>18</v>
      </c>
      <c r="J36" s="103">
        <f>'Func View - Data-Driven'!J36</f>
        <v>19</v>
      </c>
      <c r="K36" s="103">
        <f>'Func View - Data-Driven'!K36</f>
        <v>19</v>
      </c>
      <c r="L36" s="103">
        <f>'Func View - Data-Driven'!L36</f>
        <v>19</v>
      </c>
      <c r="M36" s="103">
        <f>'Func View - Data-Driven'!M36</f>
        <v>19</v>
      </c>
      <c r="N36" s="103">
        <f>'Func View - Data-Driven'!N36</f>
        <v>20</v>
      </c>
      <c r="O36" s="37"/>
      <c r="P36" s="103">
        <f>SUMPRODUCT(C36:E36,$C$41:$E$41)/SUM($C$41:$E$41)</f>
        <v>16</v>
      </c>
      <c r="Q36" s="103">
        <f>SUMPRODUCT(F36:H36,$F$41:$H$41)/SUM($F$41:$H$41)</f>
        <v>17.70064874884152</v>
      </c>
      <c r="R36" s="103">
        <f>SUMPRODUCT(I36:K36,$I$41:$K$41)/SUM($I$41:$K$41)</f>
        <v>18.694915254237287</v>
      </c>
      <c r="S36" s="103">
        <f>SUMPRODUCT(L36:N36,$L$41:$N$41)/SUM($L$41:$N$41)</f>
        <v>19.339270568278202</v>
      </c>
      <c r="T36" s="87"/>
      <c r="U36" s="103">
        <f>SUMPRODUCT(P36:S36,$P$41:$S$41)/SUM($P$41:$S$41)</f>
        <v>18.038498912362567</v>
      </c>
    </row>
    <row r="37" spans="2:21" ht="15" customHeight="1" x14ac:dyDescent="0.2">
      <c r="B37" s="51" t="s">
        <v>1</v>
      </c>
      <c r="C37" s="103">
        <f>'Func View - Data-Driven'!C37</f>
        <v>225</v>
      </c>
      <c r="D37" s="103">
        <f>'Func View - Data-Driven'!D37</f>
        <v>225</v>
      </c>
      <c r="E37" s="103">
        <f>'Func View - Data-Driven'!E37</f>
        <v>225</v>
      </c>
      <c r="F37" s="103">
        <f>'Func View - Data-Driven'!F37</f>
        <v>235</v>
      </c>
      <c r="G37" s="103">
        <f>'Func View - Data-Driven'!G37</f>
        <v>235</v>
      </c>
      <c r="H37" s="103">
        <f>'Func View - Data-Driven'!H37</f>
        <v>235</v>
      </c>
      <c r="I37" s="103">
        <f>'Func View - Data-Driven'!I37</f>
        <v>235</v>
      </c>
      <c r="J37" s="103">
        <f>'Func View - Data-Driven'!J37</f>
        <v>235</v>
      </c>
      <c r="K37" s="103">
        <f>'Func View - Data-Driven'!K37</f>
        <v>235</v>
      </c>
      <c r="L37" s="103">
        <f>'Func View - Data-Driven'!L37</f>
        <v>235</v>
      </c>
      <c r="M37" s="103">
        <f>'Func View - Data-Driven'!M37</f>
        <v>235</v>
      </c>
      <c r="N37" s="103">
        <f>'Func View - Data-Driven'!N37</f>
        <v>235</v>
      </c>
      <c r="O37" s="37"/>
      <c r="P37" s="103">
        <f>SUMPRODUCT(C37:E37,$C$41:$E$41)/SUM($C$41:$E$41)</f>
        <v>225</v>
      </c>
      <c r="Q37" s="103">
        <f>SUMPRODUCT(F37:H37,$F$41:$H$41)/SUM($F$41:$H$41)</f>
        <v>235</v>
      </c>
      <c r="R37" s="103">
        <f>SUMPRODUCT(I37:K37,$I$41:$K$41)/SUM($I$41:$K$41)</f>
        <v>235</v>
      </c>
      <c r="S37" s="103">
        <f>SUMPRODUCT(L37:N37,$L$41:$N$41)/SUM($L$41:$N$41)</f>
        <v>235</v>
      </c>
      <c r="T37" s="87"/>
      <c r="U37" s="103">
        <f>SUMPRODUCT(P37:S37,$P$41:$S$41)/SUM($P$41:$S$41)</f>
        <v>232.83360380401808</v>
      </c>
    </row>
    <row r="38" spans="2:21" ht="15" customHeight="1" x14ac:dyDescent="0.2">
      <c r="B38" s="51" t="s">
        <v>2</v>
      </c>
      <c r="C38" s="103">
        <f>'Func View - Data-Driven'!C38</f>
        <v>128</v>
      </c>
      <c r="D38" s="103">
        <f>'Func View - Data-Driven'!D38</f>
        <v>128</v>
      </c>
      <c r="E38" s="103">
        <f>'Func View - Data-Driven'!E38</f>
        <v>128</v>
      </c>
      <c r="F38" s="103">
        <f>'Func View - Data-Driven'!F38</f>
        <v>136</v>
      </c>
      <c r="G38" s="103">
        <f>'Func View - Data-Driven'!G38</f>
        <v>144</v>
      </c>
      <c r="H38" s="103">
        <f>'Func View - Data-Driven'!H38</f>
        <v>144</v>
      </c>
      <c r="I38" s="103">
        <f>'Func View - Data-Driven'!I38</f>
        <v>144</v>
      </c>
      <c r="J38" s="103">
        <f>'Func View - Data-Driven'!J38</f>
        <v>152</v>
      </c>
      <c r="K38" s="103">
        <f>'Func View - Data-Driven'!K38</f>
        <v>152</v>
      </c>
      <c r="L38" s="103">
        <f>'Func View - Data-Driven'!L38</f>
        <v>152</v>
      </c>
      <c r="M38" s="103">
        <f>'Func View - Data-Driven'!M38</f>
        <v>152</v>
      </c>
      <c r="N38" s="103">
        <f>'Func View - Data-Driven'!N38</f>
        <v>160</v>
      </c>
      <c r="O38" s="38"/>
      <c r="P38" s="103">
        <f>SUM(C38:E38)</f>
        <v>384</v>
      </c>
      <c r="Q38" s="103">
        <f>SUM(F38:H38)</f>
        <v>424</v>
      </c>
      <c r="R38" s="103">
        <f>SUM(I38:K38)</f>
        <v>448</v>
      </c>
      <c r="S38" s="103">
        <f>SUM(L38:N38)</f>
        <v>464</v>
      </c>
      <c r="T38" s="86"/>
      <c r="U38" s="103">
        <f>SUM(P38:S38)</f>
        <v>1720</v>
      </c>
    </row>
    <row r="39" spans="2:21" ht="15" customHeight="1" x14ac:dyDescent="0.2">
      <c r="B39" s="51" t="s">
        <v>3</v>
      </c>
      <c r="C39" s="84">
        <f>'Func View - Data-Driven'!C39</f>
        <v>0.75</v>
      </c>
      <c r="D39" s="84">
        <f>'Func View - Data-Driven'!D39</f>
        <v>0.75</v>
      </c>
      <c r="E39" s="84">
        <f>'Func View - Data-Driven'!E39</f>
        <v>0.75</v>
      </c>
      <c r="F39" s="84">
        <f>'Func View - Data-Driven'!F39</f>
        <v>0.75</v>
      </c>
      <c r="G39" s="84">
        <f>'Func View - Data-Driven'!G39</f>
        <v>0.75</v>
      </c>
      <c r="H39" s="84">
        <f>'Func View - Data-Driven'!H39</f>
        <v>0.75</v>
      </c>
      <c r="I39" s="84">
        <f>'Func View - Data-Driven'!I39</f>
        <v>0.75</v>
      </c>
      <c r="J39" s="84">
        <f>'Func View - Data-Driven'!J39</f>
        <v>0.75</v>
      </c>
      <c r="K39" s="84">
        <f>'Func View - Data-Driven'!K39</f>
        <v>0.75</v>
      </c>
      <c r="L39" s="84">
        <f>'Func View - Data-Driven'!L39</f>
        <v>0.75</v>
      </c>
      <c r="M39" s="84">
        <f>'Func View - Data-Driven'!M39</f>
        <v>0.75</v>
      </c>
      <c r="N39" s="84">
        <f>'Func View - Data-Driven'!N39</f>
        <v>0.75</v>
      </c>
      <c r="P39" s="84">
        <f t="shared" ref="P39:P40" si="19">SUMPRODUCT(C39:E39,$C$41:$E$41)/SUM($C$41:$E$41)</f>
        <v>0.75</v>
      </c>
      <c r="Q39" s="84">
        <f t="shared" ref="Q39:Q40" si="20">SUMPRODUCT(F39:H39,$F$41:$H$41)/SUM($F$41:$H$41)</f>
        <v>0.75</v>
      </c>
      <c r="R39" s="84">
        <f t="shared" ref="R39:R40" si="21">SUMPRODUCT(I39:K39,$I$41:$K$41)/SUM($I$41:$K$41)</f>
        <v>0.75</v>
      </c>
      <c r="S39" s="84">
        <f t="shared" ref="S39:S40" si="22">SUMPRODUCT(L39:N39,$L$41:$N$41)/SUM($L$41:$N$41)</f>
        <v>0.75</v>
      </c>
      <c r="T39" s="79"/>
      <c r="U39" s="84">
        <f t="shared" ref="U39:U40" si="23">SUMPRODUCT(P39:S39,$P$41:$S$41)/SUM($P$41:$S$41)</f>
        <v>0.75</v>
      </c>
    </row>
    <row r="40" spans="2:21" ht="15" customHeight="1" x14ac:dyDescent="0.2">
      <c r="B40" s="31" t="s">
        <v>6</v>
      </c>
      <c r="C40" s="104">
        <f>'Func View - Data-Driven'!C40</f>
        <v>0.625</v>
      </c>
      <c r="D40" s="104">
        <f>'Func View - Data-Driven'!D40</f>
        <v>0.625</v>
      </c>
      <c r="E40" s="104">
        <f>'Func View - Data-Driven'!E40</f>
        <v>0.625</v>
      </c>
      <c r="F40" s="104">
        <f>'Func View - Data-Driven'!F40</f>
        <v>0.625</v>
      </c>
      <c r="G40" s="104">
        <f>'Func View - Data-Driven'!G40</f>
        <v>0.625</v>
      </c>
      <c r="H40" s="104">
        <f>'Func View - Data-Driven'!H40</f>
        <v>0.625</v>
      </c>
      <c r="I40" s="104">
        <f>'Func View - Data-Driven'!I40</f>
        <v>0.625</v>
      </c>
      <c r="J40" s="104">
        <f>'Func View - Data-Driven'!J40</f>
        <v>0.625</v>
      </c>
      <c r="K40" s="104">
        <f>'Func View - Data-Driven'!K40</f>
        <v>0.625</v>
      </c>
      <c r="L40" s="104">
        <f>'Func View - Data-Driven'!L40</f>
        <v>0.625</v>
      </c>
      <c r="M40" s="104">
        <f>'Func View - Data-Driven'!M40</f>
        <v>0.625</v>
      </c>
      <c r="N40" s="104">
        <f>'Func View - Data-Driven'!N40</f>
        <v>0.625</v>
      </c>
      <c r="P40" s="104">
        <f t="shared" si="19"/>
        <v>0.625</v>
      </c>
      <c r="Q40" s="104">
        <f t="shared" si="20"/>
        <v>0.625</v>
      </c>
      <c r="R40" s="104">
        <f t="shared" si="21"/>
        <v>0.625</v>
      </c>
      <c r="S40" s="104">
        <f t="shared" si="22"/>
        <v>0.625</v>
      </c>
      <c r="T40" s="79"/>
      <c r="U40" s="104">
        <f t="shared" si="23"/>
        <v>0.625</v>
      </c>
    </row>
    <row r="41" spans="2:21" ht="15" customHeight="1" x14ac:dyDescent="0.2">
      <c r="B41" s="52" t="s">
        <v>25</v>
      </c>
      <c r="C41" s="82">
        <f>'Func View - Data-Driven'!C41</f>
        <v>360000</v>
      </c>
      <c r="D41" s="82">
        <f>'Func View - Data-Driven'!D41</f>
        <v>342000</v>
      </c>
      <c r="E41" s="82">
        <f>'Func View - Data-Driven'!E41</f>
        <v>396000</v>
      </c>
      <c r="F41" s="82">
        <f>'Func View - Data-Driven'!F41</f>
        <v>379525</v>
      </c>
      <c r="G41" s="82">
        <f>'Func View - Data-Driven'!G41</f>
        <v>465300</v>
      </c>
      <c r="H41" s="82">
        <f>'Func View - Data-Driven'!H41</f>
        <v>423000</v>
      </c>
      <c r="I41" s="82">
        <f>'Func View - Data-Driven'!I41</f>
        <v>401850</v>
      </c>
      <c r="J41" s="82">
        <f>'Func View - Data-Driven'!J41</f>
        <v>491150</v>
      </c>
      <c r="K41" s="82">
        <f>'Func View - Data-Driven'!K41</f>
        <v>424175</v>
      </c>
      <c r="L41" s="82">
        <f>'Func View - Data-Driven'!L41</f>
        <v>468825</v>
      </c>
      <c r="M41" s="82">
        <f>'Func View - Data-Driven'!M41</f>
        <v>446500</v>
      </c>
      <c r="N41" s="82">
        <f>'Func View - Data-Driven'!N41</f>
        <v>470000</v>
      </c>
      <c r="P41" s="82">
        <f>SUM(C41:E41)</f>
        <v>1098000</v>
      </c>
      <c r="Q41" s="82">
        <f>SUM(F41:H41)</f>
        <v>1267825</v>
      </c>
      <c r="R41" s="82">
        <f>SUM(I41:K41)</f>
        <v>1317175</v>
      </c>
      <c r="S41" s="82">
        <f>SUM(L41:N41)</f>
        <v>1385325</v>
      </c>
      <c r="T41" s="79"/>
      <c r="U41" s="82">
        <f>SUM(P41:S41)</f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f>'Func View - Data-Driven'!C43</f>
        <v>5</v>
      </c>
      <c r="D43" s="103">
        <f>'Func View - Data-Driven'!D43</f>
        <v>5</v>
      </c>
      <c r="E43" s="103">
        <f>'Func View - Data-Driven'!E43</f>
        <v>5</v>
      </c>
      <c r="F43" s="103">
        <f>'Func View - Data-Driven'!F43</f>
        <v>6</v>
      </c>
      <c r="G43" s="103">
        <f>'Func View - Data-Driven'!G43</f>
        <v>6</v>
      </c>
      <c r="H43" s="103">
        <f>'Func View - Data-Driven'!H43</f>
        <v>6</v>
      </c>
      <c r="I43" s="103">
        <f>'Func View - Data-Driven'!I43</f>
        <v>6</v>
      </c>
      <c r="J43" s="103">
        <f>'Func View - Data-Driven'!J43</f>
        <v>6</v>
      </c>
      <c r="K43" s="103">
        <f>'Func View - Data-Driven'!K43</f>
        <v>6</v>
      </c>
      <c r="L43" s="103">
        <f>'Func View - Data-Driven'!L43</f>
        <v>7</v>
      </c>
      <c r="M43" s="103">
        <f>'Func View - Data-Driven'!M43</f>
        <v>7</v>
      </c>
      <c r="N43" s="103">
        <f>'Func View - Data-Driven'!N43</f>
        <v>7</v>
      </c>
      <c r="P43" s="103">
        <f>SUMPRODUCT(C43:E43,$C$47:$E$47)/SUM($C$47:$E$47)</f>
        <v>5</v>
      </c>
      <c r="Q43" s="103">
        <f>SUMPRODUCT(F43:H43,$F$47:$H$47)/SUM($F$47:$H$47)</f>
        <v>6</v>
      </c>
      <c r="R43" s="103">
        <f>SUMPRODUCT(I43:K43,$I$47:$K$47)/SUM($I$47:$K$47)</f>
        <v>6</v>
      </c>
      <c r="S43" s="103">
        <f>SUMPRODUCT(L43:N43,$L$47:$N$47)/SUM($L$47:$N$47)</f>
        <v>7</v>
      </c>
      <c r="T43" s="87"/>
      <c r="U43" s="103">
        <f>SUMPRODUCT(P43:S43,$P$47:$S$47)/SUM($P$47:$S$47)</f>
        <v>6.0906966864910794</v>
      </c>
    </row>
    <row r="44" spans="2:21" ht="15" customHeight="1" x14ac:dyDescent="0.2">
      <c r="B44" s="51" t="s">
        <v>5</v>
      </c>
      <c r="C44" s="103">
        <f>'Func View - Data-Driven'!C44</f>
        <v>315</v>
      </c>
      <c r="D44" s="103">
        <f>'Func View - Data-Driven'!D44</f>
        <v>315</v>
      </c>
      <c r="E44" s="103">
        <f>'Func View - Data-Driven'!E44</f>
        <v>315</v>
      </c>
      <c r="F44" s="103">
        <f>'Func View - Data-Driven'!F44</f>
        <v>325</v>
      </c>
      <c r="G44" s="103">
        <f>'Func View - Data-Driven'!G44</f>
        <v>325</v>
      </c>
      <c r="H44" s="103">
        <f>'Func View - Data-Driven'!H44</f>
        <v>325</v>
      </c>
      <c r="I44" s="103">
        <f>'Func View - Data-Driven'!I44</f>
        <v>325</v>
      </c>
      <c r="J44" s="103">
        <f>'Func View - Data-Driven'!J44</f>
        <v>325</v>
      </c>
      <c r="K44" s="103">
        <f>'Func View - Data-Driven'!K44</f>
        <v>325</v>
      </c>
      <c r="L44" s="103">
        <f>'Func View - Data-Driven'!L44</f>
        <v>325</v>
      </c>
      <c r="M44" s="103">
        <f>'Func View - Data-Driven'!M44</f>
        <v>325</v>
      </c>
      <c r="N44" s="103">
        <f>'Func View - Data-Driven'!N44</f>
        <v>325</v>
      </c>
      <c r="P44" s="103">
        <f>SUMPRODUCT(C44:E44,$C$47:$E$47)/SUM($C$47:$E$47)</f>
        <v>315</v>
      </c>
      <c r="Q44" s="103">
        <f>SUMPRODUCT(F44:H44,$F$47:$H$47)/SUM($F$47:$H$47)</f>
        <v>325</v>
      </c>
      <c r="R44" s="103">
        <f>SUMPRODUCT(I44:K44,$I$47:$K$47)/SUM($I$47:$K$47)</f>
        <v>325</v>
      </c>
      <c r="S44" s="103">
        <f>SUMPRODUCT(L44:N44,$L$47:$N$47)/SUM($L$47:$N$47)</f>
        <v>325</v>
      </c>
      <c r="T44" s="87"/>
      <c r="U44" s="103">
        <f>SUMPRODUCT(P44:S44,$P$47:$S$47)/SUM($P$47:$S$47)</f>
        <v>322.95932455395069</v>
      </c>
    </row>
    <row r="45" spans="2:21" ht="15" customHeight="1" x14ac:dyDescent="0.2">
      <c r="B45" s="51" t="s">
        <v>2</v>
      </c>
      <c r="C45" s="103">
        <f>'Func View - Data-Driven'!C45</f>
        <v>40</v>
      </c>
      <c r="D45" s="103">
        <f>'Func View - Data-Driven'!D45</f>
        <v>40</v>
      </c>
      <c r="E45" s="103">
        <f>'Func View - Data-Driven'!E45</f>
        <v>40</v>
      </c>
      <c r="F45" s="103">
        <f>'Func View - Data-Driven'!F45</f>
        <v>48</v>
      </c>
      <c r="G45" s="103">
        <f>'Func View - Data-Driven'!G45</f>
        <v>48</v>
      </c>
      <c r="H45" s="103">
        <f>'Func View - Data-Driven'!H45</f>
        <v>48</v>
      </c>
      <c r="I45" s="103">
        <f>'Func View - Data-Driven'!I45</f>
        <v>48</v>
      </c>
      <c r="J45" s="103">
        <f>'Func View - Data-Driven'!J45</f>
        <v>48</v>
      </c>
      <c r="K45" s="103">
        <f>'Func View - Data-Driven'!K45</f>
        <v>48</v>
      </c>
      <c r="L45" s="103">
        <f>'Func View - Data-Driven'!L45</f>
        <v>56</v>
      </c>
      <c r="M45" s="103">
        <f>'Func View - Data-Driven'!M45</f>
        <v>56</v>
      </c>
      <c r="N45" s="103">
        <f>'Func View - Data-Driven'!N45</f>
        <v>56</v>
      </c>
      <c r="P45" s="103">
        <f>SUM(C45:E45)</f>
        <v>120</v>
      </c>
      <c r="Q45" s="103">
        <f>SUM(F45:H45)</f>
        <v>144</v>
      </c>
      <c r="R45" s="103">
        <f>SUM(I45:K45)</f>
        <v>144</v>
      </c>
      <c r="S45" s="103">
        <f>SUM(L45:N45)</f>
        <v>168</v>
      </c>
      <c r="T45" s="86"/>
      <c r="U45" s="103">
        <f>SUM(P45:S45)</f>
        <v>576</v>
      </c>
    </row>
    <row r="46" spans="2:21" ht="15" customHeight="1" x14ac:dyDescent="0.2">
      <c r="B46" s="31" t="s">
        <v>6</v>
      </c>
      <c r="C46" s="104">
        <f>'Func View - Data-Driven'!C46</f>
        <v>0.375</v>
      </c>
      <c r="D46" s="104">
        <f>'Func View - Data-Driven'!D46</f>
        <v>0.375</v>
      </c>
      <c r="E46" s="104">
        <f>'Func View - Data-Driven'!E46</f>
        <v>0.375</v>
      </c>
      <c r="F46" s="104">
        <f>'Func View - Data-Driven'!F46</f>
        <v>0.375</v>
      </c>
      <c r="G46" s="104">
        <f>'Func View - Data-Driven'!G46</f>
        <v>0.375</v>
      </c>
      <c r="H46" s="104">
        <f>'Func View - Data-Driven'!H46</f>
        <v>0.375</v>
      </c>
      <c r="I46" s="104">
        <f>'Func View - Data-Driven'!I46</f>
        <v>0.375</v>
      </c>
      <c r="J46" s="104">
        <f>'Func View - Data-Driven'!J46</f>
        <v>0.375</v>
      </c>
      <c r="K46" s="104">
        <f>'Func View - Data-Driven'!K46</f>
        <v>0.375</v>
      </c>
      <c r="L46" s="104">
        <f>'Func View - Data-Driven'!L46</f>
        <v>0.375</v>
      </c>
      <c r="M46" s="104">
        <f>'Func View - Data-Driven'!M46</f>
        <v>0.375</v>
      </c>
      <c r="N46" s="104">
        <f>'Func View - Data-Driven'!N46</f>
        <v>0.375</v>
      </c>
      <c r="P46" s="104">
        <f>SUMPRODUCT(C46:E46,$C$47:$E$47)/SUM($C$47:$E$47)</f>
        <v>0.375</v>
      </c>
      <c r="Q46" s="104">
        <f>SUMPRODUCT(F46:H46,$F$47:$H$47)/SUM($F$47:$H$47)</f>
        <v>0.375</v>
      </c>
      <c r="R46" s="104">
        <f>SUMPRODUCT(I46:K46,$I$47:$K$47)/SUM($I$47:$K$47)</f>
        <v>0.375</v>
      </c>
      <c r="S46" s="104">
        <f>SUMPRODUCT(L46:N46,$L$47:$N$47)/SUM($L$47:$N$47)</f>
        <v>0.375</v>
      </c>
      <c r="T46" s="79"/>
      <c r="U46" s="104">
        <f>SUMPRODUCT(P46:S46,$P$47:$S$47)/SUM($P$47:$S$47)</f>
        <v>0.375</v>
      </c>
    </row>
    <row r="47" spans="2:21" ht="15" customHeight="1" x14ac:dyDescent="0.2">
      <c r="B47" s="52" t="s">
        <v>25</v>
      </c>
      <c r="C47" s="82">
        <f>'Func View - Data-Driven'!C47</f>
        <v>94500</v>
      </c>
      <c r="D47" s="82">
        <f>'Func View - Data-Driven'!D47</f>
        <v>89775</v>
      </c>
      <c r="E47" s="82">
        <f>'Func View - Data-Driven'!E47</f>
        <v>103950</v>
      </c>
      <c r="F47" s="82">
        <f>'Func View - Data-Driven'!F47</f>
        <v>111150</v>
      </c>
      <c r="G47" s="82">
        <f>'Func View - Data-Driven'!G47</f>
        <v>128700</v>
      </c>
      <c r="H47" s="82">
        <f>'Func View - Data-Driven'!H47</f>
        <v>117000</v>
      </c>
      <c r="I47" s="82">
        <f>'Func View - Data-Driven'!I47</f>
        <v>111150</v>
      </c>
      <c r="J47" s="82">
        <f>'Func View - Data-Driven'!J47</f>
        <v>128700</v>
      </c>
      <c r="K47" s="82">
        <f>'Func View - Data-Driven'!K47</f>
        <v>111150</v>
      </c>
      <c r="L47" s="82">
        <f>'Func View - Data-Driven'!L47</f>
        <v>143325</v>
      </c>
      <c r="M47" s="82">
        <f>'Func View - Data-Driven'!M47</f>
        <v>136500</v>
      </c>
      <c r="N47" s="82">
        <f>'Func View - Data-Driven'!N47</f>
        <v>136500</v>
      </c>
      <c r="P47" s="82">
        <f>SUM(C47:E47)</f>
        <v>288225</v>
      </c>
      <c r="Q47" s="82">
        <f>SUM(F47:H47)</f>
        <v>356850</v>
      </c>
      <c r="R47" s="82">
        <f>SUM(I47:K47)</f>
        <v>351000</v>
      </c>
      <c r="S47" s="82">
        <f>SUM(L47:N47)</f>
        <v>416325</v>
      </c>
      <c r="T47" s="79"/>
      <c r="U47" s="82">
        <f>SUM(P47:S47)</f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f>'Func View - Data-Driven'!C50</f>
        <v>0</v>
      </c>
      <c r="D50" s="96">
        <f>'Func View - Data-Driven'!D50</f>
        <v>153190.23301159657</v>
      </c>
      <c r="E50" s="96">
        <f>'Func View - Data-Driven'!E50</f>
        <v>169090.83155475667</v>
      </c>
      <c r="F50" s="96">
        <f>'Func View - Data-Driven'!F50</f>
        <v>265251.83996901853</v>
      </c>
      <c r="G50" s="96">
        <f>'Func View - Data-Driven'!G50</f>
        <v>163427.07720225363</v>
      </c>
      <c r="H50" s="96">
        <f>'Func View - Data-Driven'!H50</f>
        <v>188303.63798161977</v>
      </c>
      <c r="I50" s="96">
        <f>'Func View - Data-Driven'!I50</f>
        <v>277544.04009253083</v>
      </c>
      <c r="J50" s="96">
        <f>'Func View - Data-Driven'!J50</f>
        <v>235773.56834553348</v>
      </c>
      <c r="K50" s="96">
        <f>'Func View - Data-Driven'!K50</f>
        <v>204711.9448518455</v>
      </c>
      <c r="L50" s="96">
        <f>'Func View - Data-Driven'!L50</f>
        <v>273062.85140419292</v>
      </c>
      <c r="M50" s="96">
        <f>'Func View - Data-Driven'!M50</f>
        <v>194727.24305957937</v>
      </c>
      <c r="N50" s="96">
        <f>'Func View - Data-Driven'!N50</f>
        <v>241311.15892998144</v>
      </c>
      <c r="P50" s="96">
        <f t="shared" ref="P50:P59" si="24">SUM(C50:E50)</f>
        <v>322281.06456635322</v>
      </c>
      <c r="Q50" s="96">
        <f t="shared" ref="Q50:Q59" si="25">SUM(F50:H50)</f>
        <v>616982.5551528919</v>
      </c>
      <c r="R50" s="96">
        <f t="shared" ref="R50:R59" si="26">SUM(I50:K50)</f>
        <v>718029.55328990985</v>
      </c>
      <c r="S50" s="96">
        <f t="shared" ref="S50:S59" si="27">SUM(L50:N50)</f>
        <v>709101.25339375366</v>
      </c>
      <c r="T50" s="79"/>
      <c r="U50" s="96">
        <f t="shared" ref="U50:U59" si="28">SUM(P50:S50)</f>
        <v>2366394.4264029087</v>
      </c>
    </row>
    <row r="51" spans="2:21" ht="15" customHeight="1" x14ac:dyDescent="0.2">
      <c r="B51" s="55" t="s">
        <v>67</v>
      </c>
      <c r="C51" s="96">
        <f>'Func View - Data-Driven'!C51</f>
        <v>5500000</v>
      </c>
      <c r="D51" s="96">
        <f>'Func View - Data-Driven'!D51</f>
        <v>5459895.833333333</v>
      </c>
      <c r="E51" s="96">
        <f>'Func View - Data-Driven'!E51</f>
        <v>5420084.092881944</v>
      </c>
      <c r="F51" s="96">
        <f>'Func View - Data-Driven'!F51</f>
        <v>5380562.646371346</v>
      </c>
      <c r="G51" s="96">
        <f>'Func View - Data-Driven'!G51</f>
        <v>5341329.377074888</v>
      </c>
      <c r="H51" s="96">
        <f>'Func View - Data-Driven'!H51</f>
        <v>5302382.1837003836</v>
      </c>
      <c r="I51" s="96">
        <f>'Func View - Data-Driven'!I51</f>
        <v>5263718.9802775681</v>
      </c>
      <c r="J51" s="96">
        <f>'Func View - Data-Driven'!J51</f>
        <v>5225337.6960463775</v>
      </c>
      <c r="K51" s="96">
        <f>'Func View - Data-Driven'!K51</f>
        <v>5187236.2753460389</v>
      </c>
      <c r="L51" s="96">
        <f>'Func View - Data-Driven'!L51</f>
        <v>5149412.6775049744</v>
      </c>
      <c r="M51" s="96">
        <f>'Func View - Data-Driven'!M51</f>
        <v>5111864.8767315</v>
      </c>
      <c r="N51" s="96">
        <f>'Func View - Data-Driven'!N51</f>
        <v>5074590.8620053325</v>
      </c>
      <c r="P51" s="96">
        <f t="shared" si="24"/>
        <v>16379979.926215276</v>
      </c>
      <c r="Q51" s="96">
        <f t="shared" si="25"/>
        <v>16024274.207146619</v>
      </c>
      <c r="R51" s="96">
        <f t="shared" si="26"/>
        <v>15676292.951669985</v>
      </c>
      <c r="S51" s="96">
        <f t="shared" si="27"/>
        <v>15335868.416241808</v>
      </c>
      <c r="T51" s="79"/>
      <c r="U51" s="96">
        <f t="shared" si="28"/>
        <v>63416415.501273692</v>
      </c>
    </row>
    <row r="52" spans="2:21" ht="15" customHeight="1" x14ac:dyDescent="0.2">
      <c r="B52" s="105" t="s">
        <v>70</v>
      </c>
      <c r="C52" s="81">
        <f>'Func View - Data-Driven'!C52</f>
        <v>2502500</v>
      </c>
      <c r="D52" s="81">
        <f>'Func View - Data-Driven'!D52</f>
        <v>2484252.6041666665</v>
      </c>
      <c r="E52" s="81">
        <f>'Func View - Data-Driven'!E52</f>
        <v>2466138.2622612845</v>
      </c>
      <c r="F52" s="81">
        <f>'Func View - Data-Driven'!F52</f>
        <v>2448156.0040989625</v>
      </c>
      <c r="G52" s="81">
        <f>'Func View - Data-Driven'!G52</f>
        <v>2430304.8665690743</v>
      </c>
      <c r="H52" s="81">
        <f>'Func View - Data-Driven'!H52</f>
        <v>2412583.8935836744</v>
      </c>
      <c r="I52" s="81">
        <f>'Func View - Data-Driven'!I52</f>
        <v>2394992.1360262935</v>
      </c>
      <c r="J52" s="81">
        <f>'Func View - Data-Driven'!J52</f>
        <v>2377528.651701102</v>
      </c>
      <c r="K52" s="81">
        <f>'Func View - Data-Driven'!K52</f>
        <v>2360192.5052824477</v>
      </c>
      <c r="L52" s="81">
        <f>'Func View - Data-Driven'!L52</f>
        <v>2342982.7682647635</v>
      </c>
      <c r="M52" s="81">
        <f>'Func View - Data-Driven'!M52</f>
        <v>2325898.5189128327</v>
      </c>
      <c r="N52" s="81">
        <f>'Func View - Data-Driven'!N52</f>
        <v>2308938.8422124265</v>
      </c>
      <c r="P52" s="81">
        <f t="shared" si="24"/>
        <v>7452890.8664279506</v>
      </c>
      <c r="Q52" s="81">
        <f t="shared" si="25"/>
        <v>7291044.7642517108</v>
      </c>
      <c r="R52" s="81">
        <f t="shared" si="26"/>
        <v>7132713.2930098427</v>
      </c>
      <c r="S52" s="81">
        <f t="shared" si="27"/>
        <v>6977820.1293900227</v>
      </c>
      <c r="T52" s="79"/>
      <c r="U52" s="81">
        <f t="shared" si="28"/>
        <v>28854469.053079527</v>
      </c>
    </row>
    <row r="53" spans="2:21" ht="15" customHeight="1" x14ac:dyDescent="0.2">
      <c r="B53" s="105" t="s">
        <v>71</v>
      </c>
      <c r="C53" s="81">
        <f>'Func View - Data-Driven'!C53</f>
        <v>2447500</v>
      </c>
      <c r="D53" s="81">
        <f>'Func View - Data-Driven'!D53</f>
        <v>2429653.645833333</v>
      </c>
      <c r="E53" s="81">
        <f>'Func View - Data-Driven'!E53</f>
        <v>2411937.421332465</v>
      </c>
      <c r="F53" s="81">
        <f>'Func View - Data-Driven'!F53</f>
        <v>2394350.3776352489</v>
      </c>
      <c r="G53" s="81">
        <f>'Func View - Data-Driven'!G53</f>
        <v>2376891.5727983252</v>
      </c>
      <c r="H53" s="81">
        <f>'Func View - Data-Driven'!H53</f>
        <v>2359560.0717466706</v>
      </c>
      <c r="I53" s="81">
        <f>'Func View - Data-Driven'!I53</f>
        <v>2342354.9462235179</v>
      </c>
      <c r="J53" s="81">
        <f>'Func View - Data-Driven'!J53</f>
        <v>2325275.2747406382</v>
      </c>
      <c r="K53" s="81">
        <f>'Func View - Data-Driven'!K53</f>
        <v>2308320.1425289875</v>
      </c>
      <c r="L53" s="81">
        <f>'Func View - Data-Driven'!L53</f>
        <v>2291488.6414897135</v>
      </c>
      <c r="M53" s="81">
        <f>'Func View - Data-Driven'!M53</f>
        <v>2274779.8701455174</v>
      </c>
      <c r="N53" s="81">
        <f>'Func View - Data-Driven'!N53</f>
        <v>2258192.933592373</v>
      </c>
      <c r="P53" s="81">
        <f t="shared" si="24"/>
        <v>7289091.0671657976</v>
      </c>
      <c r="Q53" s="81">
        <f t="shared" si="25"/>
        <v>7130802.0221802453</v>
      </c>
      <c r="R53" s="81">
        <f t="shared" si="26"/>
        <v>6975950.3634931436</v>
      </c>
      <c r="S53" s="81">
        <f t="shared" si="27"/>
        <v>6824461.4452276044</v>
      </c>
      <c r="T53" s="79"/>
      <c r="U53" s="81">
        <f t="shared" si="28"/>
        <v>28220304.898066793</v>
      </c>
    </row>
    <row r="54" spans="2:21" ht="15" customHeight="1" x14ac:dyDescent="0.2">
      <c r="B54" s="105" t="s">
        <v>72</v>
      </c>
      <c r="C54" s="81">
        <f>'Func View - Data-Driven'!C54</f>
        <v>330000</v>
      </c>
      <c r="D54" s="81">
        <f>'Func View - Data-Driven'!D54</f>
        <v>327593.74999999994</v>
      </c>
      <c r="E54" s="81">
        <f>'Func View - Data-Driven'!E54</f>
        <v>325205.04557291663</v>
      </c>
      <c r="F54" s="81">
        <f>'Func View - Data-Driven'!F54</f>
        <v>322833.75878228073</v>
      </c>
      <c r="G54" s="81">
        <f>'Func View - Data-Driven'!G54</f>
        <v>320479.76262449328</v>
      </c>
      <c r="H54" s="81">
        <f>'Func View - Data-Driven'!H54</f>
        <v>318142.93102202303</v>
      </c>
      <c r="I54" s="81">
        <f>'Func View - Data-Driven'!I54</f>
        <v>315823.1388166541</v>
      </c>
      <c r="J54" s="81">
        <f>'Func View - Data-Driven'!J54</f>
        <v>313520.26176278264</v>
      </c>
      <c r="K54" s="81">
        <f>'Func View - Data-Driven'!K54</f>
        <v>311234.17652076232</v>
      </c>
      <c r="L54" s="81">
        <f>'Func View - Data-Driven'!L54</f>
        <v>308964.76065029844</v>
      </c>
      <c r="M54" s="81">
        <f>'Func View - Data-Driven'!M54</f>
        <v>306711.89260388998</v>
      </c>
      <c r="N54" s="81">
        <f>'Func View - Data-Driven'!N54</f>
        <v>304475.45172031992</v>
      </c>
      <c r="P54" s="81">
        <f t="shared" si="24"/>
        <v>982798.79557291663</v>
      </c>
      <c r="Q54" s="81">
        <f t="shared" si="25"/>
        <v>961456.45242879703</v>
      </c>
      <c r="R54" s="81">
        <f t="shared" si="26"/>
        <v>940577.57710019895</v>
      </c>
      <c r="S54" s="81">
        <f t="shared" si="27"/>
        <v>920152.10497450829</v>
      </c>
      <c r="T54" s="79"/>
      <c r="U54" s="81">
        <f t="shared" si="28"/>
        <v>3804984.9300764212</v>
      </c>
    </row>
    <row r="55" spans="2:21" ht="15" customHeight="1" x14ac:dyDescent="0.2">
      <c r="B55" s="105" t="s">
        <v>73</v>
      </c>
      <c r="C55" s="81">
        <f>'Func View - Data-Driven'!C55</f>
        <v>220000</v>
      </c>
      <c r="D55" s="81">
        <f>'Func View - Data-Driven'!D55</f>
        <v>218395.83333333331</v>
      </c>
      <c r="E55" s="81">
        <f>'Func View - Data-Driven'!E55</f>
        <v>216803.36371527775</v>
      </c>
      <c r="F55" s="81">
        <f>'Func View - Data-Driven'!F55</f>
        <v>215222.50585485384</v>
      </c>
      <c r="G55" s="81">
        <f>'Func View - Data-Driven'!G55</f>
        <v>213653.17508299553</v>
      </c>
      <c r="H55" s="81">
        <f>'Func View - Data-Driven'!H55</f>
        <v>212095.28734801535</v>
      </c>
      <c r="I55" s="81">
        <f>'Func View - Data-Driven'!I55</f>
        <v>210548.75921110273</v>
      </c>
      <c r="J55" s="81">
        <f>'Func View - Data-Driven'!J55</f>
        <v>209013.50784185511</v>
      </c>
      <c r="K55" s="81">
        <f>'Func View - Data-Driven'!K55</f>
        <v>207489.45101384155</v>
      </c>
      <c r="L55" s="81">
        <f>'Func View - Data-Driven'!L55</f>
        <v>205976.50710019897</v>
      </c>
      <c r="M55" s="81">
        <f>'Func View - Data-Driven'!M55</f>
        <v>204474.59506926002</v>
      </c>
      <c r="N55" s="81">
        <f>'Func View - Data-Driven'!N55</f>
        <v>202983.63448021331</v>
      </c>
      <c r="P55" s="81">
        <f t="shared" si="24"/>
        <v>655199.19704861101</v>
      </c>
      <c r="Q55" s="81">
        <f t="shared" si="25"/>
        <v>640970.96828586468</v>
      </c>
      <c r="R55" s="81">
        <f t="shared" si="26"/>
        <v>627051.71806679945</v>
      </c>
      <c r="S55" s="81">
        <f t="shared" si="27"/>
        <v>613434.73664967227</v>
      </c>
      <c r="T55" s="79"/>
      <c r="U55" s="81">
        <f t="shared" si="28"/>
        <v>2536656.6200509472</v>
      </c>
    </row>
    <row r="56" spans="2:21" ht="15" customHeight="1" x14ac:dyDescent="0.2">
      <c r="B56" s="55" t="s">
        <v>68</v>
      </c>
      <c r="C56" s="107">
        <f>'Func View - Data-Driven'!C56</f>
        <v>454500</v>
      </c>
      <c r="D56" s="107">
        <f>'Func View - Data-Driven'!D56</f>
        <v>431775</v>
      </c>
      <c r="E56" s="107">
        <f>'Func View - Data-Driven'!E56</f>
        <v>499950</v>
      </c>
      <c r="F56" s="107">
        <f>'Func View - Data-Driven'!F56</f>
        <v>490675</v>
      </c>
      <c r="G56" s="107">
        <f>'Func View - Data-Driven'!G56</f>
        <v>594000</v>
      </c>
      <c r="H56" s="107">
        <f>'Func View - Data-Driven'!H56</f>
        <v>540000</v>
      </c>
      <c r="I56" s="107">
        <f>'Func View - Data-Driven'!I56</f>
        <v>513000</v>
      </c>
      <c r="J56" s="107">
        <f>'Func View - Data-Driven'!J56</f>
        <v>619850</v>
      </c>
      <c r="K56" s="107">
        <f>'Func View - Data-Driven'!K56</f>
        <v>535325</v>
      </c>
      <c r="L56" s="107">
        <f>'Func View - Data-Driven'!L56</f>
        <v>612150</v>
      </c>
      <c r="M56" s="107">
        <f>'Func View - Data-Driven'!M56</f>
        <v>583000</v>
      </c>
      <c r="N56" s="107">
        <f>'Func View - Data-Driven'!N56</f>
        <v>606500</v>
      </c>
      <c r="P56" s="107">
        <f t="shared" si="24"/>
        <v>1386225</v>
      </c>
      <c r="Q56" s="107">
        <f t="shared" si="25"/>
        <v>1624675</v>
      </c>
      <c r="R56" s="107">
        <f t="shared" si="26"/>
        <v>1668175</v>
      </c>
      <c r="S56" s="107">
        <f t="shared" si="27"/>
        <v>1801650</v>
      </c>
      <c r="T56" s="79"/>
      <c r="U56" s="107">
        <f t="shared" si="28"/>
        <v>6480725</v>
      </c>
    </row>
    <row r="57" spans="2:21" ht="15" customHeight="1" x14ac:dyDescent="0.2">
      <c r="B57" s="105" t="s">
        <v>22</v>
      </c>
      <c r="C57" s="27">
        <f>'Func View - Data-Driven'!C57</f>
        <v>360000</v>
      </c>
      <c r="D57" s="27">
        <f>'Func View - Data-Driven'!D57</f>
        <v>342000</v>
      </c>
      <c r="E57" s="27">
        <f>'Func View - Data-Driven'!E57</f>
        <v>396000</v>
      </c>
      <c r="F57" s="27">
        <f>'Func View - Data-Driven'!F57</f>
        <v>379525</v>
      </c>
      <c r="G57" s="27">
        <f>'Func View - Data-Driven'!G57</f>
        <v>465300</v>
      </c>
      <c r="H57" s="27">
        <f>'Func View - Data-Driven'!H57</f>
        <v>423000</v>
      </c>
      <c r="I57" s="27">
        <f>'Func View - Data-Driven'!I57</f>
        <v>401850</v>
      </c>
      <c r="J57" s="27">
        <f>'Func View - Data-Driven'!J57</f>
        <v>491150</v>
      </c>
      <c r="K57" s="27">
        <f>'Func View - Data-Driven'!K57</f>
        <v>424175</v>
      </c>
      <c r="L57" s="27">
        <f>'Func View - Data-Driven'!L57</f>
        <v>468825</v>
      </c>
      <c r="M57" s="27">
        <f>'Func View - Data-Driven'!M57</f>
        <v>446500</v>
      </c>
      <c r="N57" s="27">
        <f>'Func View - Data-Driven'!N57</f>
        <v>470000</v>
      </c>
      <c r="P57" s="27">
        <f t="shared" si="24"/>
        <v>1098000</v>
      </c>
      <c r="Q57" s="27">
        <f t="shared" si="25"/>
        <v>1267825</v>
      </c>
      <c r="R57" s="27">
        <f t="shared" si="26"/>
        <v>1317175</v>
      </c>
      <c r="S57" s="27">
        <f t="shared" si="27"/>
        <v>1385325</v>
      </c>
      <c r="T57" s="79"/>
      <c r="U57" s="27">
        <f t="shared" si="28"/>
        <v>5068325</v>
      </c>
    </row>
    <row r="58" spans="2:21" ht="15" customHeight="1" x14ac:dyDescent="0.2">
      <c r="B58" s="69" t="s">
        <v>23</v>
      </c>
      <c r="C58" s="106">
        <f>'Func View - Data-Driven'!C58</f>
        <v>94500</v>
      </c>
      <c r="D58" s="106">
        <f>'Func View - Data-Driven'!D58</f>
        <v>89775</v>
      </c>
      <c r="E58" s="106">
        <f>'Func View - Data-Driven'!E58</f>
        <v>103950</v>
      </c>
      <c r="F58" s="106">
        <f>'Func View - Data-Driven'!F58</f>
        <v>111150</v>
      </c>
      <c r="G58" s="106">
        <f>'Func View - Data-Driven'!G58</f>
        <v>128700</v>
      </c>
      <c r="H58" s="106">
        <f>'Func View - Data-Driven'!H58</f>
        <v>117000</v>
      </c>
      <c r="I58" s="106">
        <f>'Func View - Data-Driven'!I58</f>
        <v>111150</v>
      </c>
      <c r="J58" s="106">
        <f>'Func View - Data-Driven'!J58</f>
        <v>128700</v>
      </c>
      <c r="K58" s="106">
        <f>'Func View - Data-Driven'!K58</f>
        <v>111150</v>
      </c>
      <c r="L58" s="106">
        <f>'Func View - Data-Driven'!L58</f>
        <v>143325</v>
      </c>
      <c r="M58" s="106">
        <f>'Func View - Data-Driven'!M58</f>
        <v>136500</v>
      </c>
      <c r="N58" s="106">
        <f>'Func View - Data-Driven'!N58</f>
        <v>136500</v>
      </c>
      <c r="P58" s="106">
        <f t="shared" si="24"/>
        <v>288225</v>
      </c>
      <c r="Q58" s="106">
        <f t="shared" si="25"/>
        <v>356850</v>
      </c>
      <c r="R58" s="106">
        <f t="shared" si="26"/>
        <v>351000</v>
      </c>
      <c r="S58" s="106">
        <f t="shared" si="27"/>
        <v>416325</v>
      </c>
      <c r="T58" s="79"/>
      <c r="U58" s="106">
        <f t="shared" si="28"/>
        <v>1412400</v>
      </c>
    </row>
    <row r="59" spans="2:21" ht="15" customHeight="1" x14ac:dyDescent="0.2">
      <c r="B59" s="52" t="s">
        <v>69</v>
      </c>
      <c r="C59" s="28">
        <f>'Func View - Data-Driven'!C59</f>
        <v>5954500</v>
      </c>
      <c r="D59" s="28">
        <f>'Func View - Data-Driven'!D59</f>
        <v>6044861.0663449299</v>
      </c>
      <c r="E59" s="28">
        <f>'Func View - Data-Driven'!E59</f>
        <v>6089124.9244367005</v>
      </c>
      <c r="F59" s="28">
        <f>'Func View - Data-Driven'!F59</f>
        <v>6136489.4863403644</v>
      </c>
      <c r="G59" s="28">
        <f>'Func View - Data-Driven'!G59</f>
        <v>6098756.454277142</v>
      </c>
      <c r="H59" s="28">
        <f>'Func View - Data-Driven'!H59</f>
        <v>6030685.8216820033</v>
      </c>
      <c r="I59" s="28">
        <f>'Func View - Data-Driven'!I59</f>
        <v>6054263.0203700988</v>
      </c>
      <c r="J59" s="28">
        <f>'Func View - Data-Driven'!J59</f>
        <v>6080961.2643919112</v>
      </c>
      <c r="K59" s="28">
        <f>'Func View - Data-Driven'!K59</f>
        <v>5927273.2201978844</v>
      </c>
      <c r="L59" s="28">
        <f>'Func View - Data-Driven'!L59</f>
        <v>6034625.5289091673</v>
      </c>
      <c r="M59" s="28">
        <f>'Func View - Data-Driven'!M59</f>
        <v>5889592.1197910793</v>
      </c>
      <c r="N59" s="28">
        <f>'Func View - Data-Driven'!N59</f>
        <v>5922402.0209353138</v>
      </c>
      <c r="P59" s="28">
        <f t="shared" si="24"/>
        <v>18088485.990781631</v>
      </c>
      <c r="Q59" s="28">
        <f t="shared" si="25"/>
        <v>18265931.762299508</v>
      </c>
      <c r="R59" s="28">
        <f t="shared" si="26"/>
        <v>18062497.504959896</v>
      </c>
      <c r="S59" s="28">
        <f t="shared" si="27"/>
        <v>17846619.66963556</v>
      </c>
      <c r="T59" s="79"/>
      <c r="U59" s="28">
        <f t="shared" si="28"/>
        <v>72263534.927676603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f>'Func View - Data-Driven'!C62</f>
        <v>327497.5</v>
      </c>
      <c r="D62" s="26">
        <f>'Func View - Data-Driven'!D62</f>
        <v>332467.35864897113</v>
      </c>
      <c r="E62" s="26">
        <f>'Func View - Data-Driven'!E62</f>
        <v>334901.87084401853</v>
      </c>
      <c r="F62" s="26">
        <f>'Func View - Data-Driven'!F62</f>
        <v>337506.92174872005</v>
      </c>
      <c r="G62" s="26">
        <f>'Func View - Data-Driven'!G62</f>
        <v>335431.60498524283</v>
      </c>
      <c r="H62" s="26">
        <f>'Func View - Data-Driven'!H62</f>
        <v>331687.72019251017</v>
      </c>
      <c r="I62" s="26">
        <f>'Func View - Data-Driven'!I62</f>
        <v>332984.46612035541</v>
      </c>
      <c r="J62" s="26">
        <f>'Func View - Data-Driven'!J62</f>
        <v>334452.86954155512</v>
      </c>
      <c r="K62" s="26">
        <f>'Func View - Data-Driven'!K62</f>
        <v>326000.02711088362</v>
      </c>
      <c r="L62" s="26">
        <f>'Func View - Data-Driven'!L62</f>
        <v>331904.40409000422</v>
      </c>
      <c r="M62" s="26">
        <f>'Func View - Data-Driven'!M62</f>
        <v>323927.56658850936</v>
      </c>
      <c r="N62" s="26">
        <f>'Func View - Data-Driven'!N62</f>
        <v>325732.11115144228</v>
      </c>
      <c r="P62" s="26">
        <f t="shared" ref="P62:P66" si="29">SUM(C62:E62)</f>
        <v>994866.72949298972</v>
      </c>
      <c r="Q62" s="26">
        <f t="shared" ref="Q62:Q66" si="30">SUM(F62:H62)</f>
        <v>1004626.246926473</v>
      </c>
      <c r="R62" s="26">
        <f t="shared" ref="R62:R66" si="31">SUM(I62:K62)</f>
        <v>993437.36277279409</v>
      </c>
      <c r="S62" s="26">
        <f t="shared" ref="S62:S66" si="32">SUM(L62:N62)</f>
        <v>981564.08182995592</v>
      </c>
      <c r="T62" s="79"/>
      <c r="U62" s="26">
        <f t="shared" ref="U62:U66" si="33">SUM(P62:S62)</f>
        <v>3974494.4210222126</v>
      </c>
    </row>
    <row r="63" spans="2:21" ht="15" customHeight="1" x14ac:dyDescent="0.2">
      <c r="B63" s="57" t="s">
        <v>45</v>
      </c>
      <c r="C63" s="26">
        <f>'Func View - Data-Driven'!C63</f>
        <v>238180</v>
      </c>
      <c r="D63" s="26">
        <f>'Func View - Data-Driven'!D63</f>
        <v>241794.44265379719</v>
      </c>
      <c r="E63" s="26">
        <f>'Func View - Data-Driven'!E63</f>
        <v>243564.99697746802</v>
      </c>
      <c r="F63" s="26">
        <f>'Func View - Data-Driven'!F63</f>
        <v>245459.57945361457</v>
      </c>
      <c r="G63" s="26">
        <f>'Func View - Data-Driven'!G63</f>
        <v>243950.25817108568</v>
      </c>
      <c r="H63" s="26">
        <f>'Func View - Data-Driven'!H63</f>
        <v>241227.43286728015</v>
      </c>
      <c r="I63" s="26">
        <f>'Func View - Data-Driven'!I63</f>
        <v>242170.52081480395</v>
      </c>
      <c r="J63" s="26">
        <f>'Func View - Data-Driven'!J63</f>
        <v>243238.45057567646</v>
      </c>
      <c r="K63" s="26">
        <f>'Func View - Data-Driven'!K63</f>
        <v>237090.92880791539</v>
      </c>
      <c r="L63" s="26">
        <f>'Func View - Data-Driven'!L63</f>
        <v>241385.02115636668</v>
      </c>
      <c r="M63" s="26">
        <f>'Func View - Data-Driven'!M63</f>
        <v>235583.68479164317</v>
      </c>
      <c r="N63" s="26">
        <f>'Func View - Data-Driven'!N63</f>
        <v>236896.08083741256</v>
      </c>
      <c r="P63" s="26">
        <f t="shared" si="29"/>
        <v>723539.43963126524</v>
      </c>
      <c r="Q63" s="26">
        <f t="shared" si="30"/>
        <v>730637.27049198048</v>
      </c>
      <c r="R63" s="26">
        <f t="shared" si="31"/>
        <v>722499.90019839583</v>
      </c>
      <c r="S63" s="26">
        <f t="shared" si="32"/>
        <v>713864.78678542236</v>
      </c>
      <c r="T63" s="79"/>
      <c r="U63" s="26">
        <f t="shared" si="33"/>
        <v>2890541.3971070638</v>
      </c>
    </row>
    <row r="64" spans="2:21" ht="15" customHeight="1" x14ac:dyDescent="0.2">
      <c r="B64" s="57" t="s">
        <v>74</v>
      </c>
      <c r="C64" s="26">
        <f>'Func View - Data-Driven'!C64</f>
        <v>238180</v>
      </c>
      <c r="D64" s="26">
        <f>'Func View - Data-Driven'!D64</f>
        <v>241794.44265379719</v>
      </c>
      <c r="E64" s="26">
        <f>'Func View - Data-Driven'!E64</f>
        <v>243564.99697746802</v>
      </c>
      <c r="F64" s="26">
        <f>'Func View - Data-Driven'!F64</f>
        <v>245459.57945361457</v>
      </c>
      <c r="G64" s="26">
        <f>'Func View - Data-Driven'!G64</f>
        <v>243950.25817108568</v>
      </c>
      <c r="H64" s="26">
        <f>'Func View - Data-Driven'!H64</f>
        <v>241227.43286728015</v>
      </c>
      <c r="I64" s="26">
        <f>'Func View - Data-Driven'!I64</f>
        <v>242170.52081480395</v>
      </c>
      <c r="J64" s="26">
        <f>'Func View - Data-Driven'!J64</f>
        <v>243238.45057567646</v>
      </c>
      <c r="K64" s="26">
        <f>'Func View - Data-Driven'!K64</f>
        <v>237090.92880791539</v>
      </c>
      <c r="L64" s="26">
        <f>'Func View - Data-Driven'!L64</f>
        <v>241385.02115636668</v>
      </c>
      <c r="M64" s="26">
        <f>'Func View - Data-Driven'!M64</f>
        <v>235583.68479164317</v>
      </c>
      <c r="N64" s="26">
        <f>'Func View - Data-Driven'!N64</f>
        <v>236896.08083741256</v>
      </c>
      <c r="P64" s="26">
        <f t="shared" si="29"/>
        <v>723539.43963126524</v>
      </c>
      <c r="Q64" s="26">
        <f t="shared" si="30"/>
        <v>730637.27049198048</v>
      </c>
      <c r="R64" s="26">
        <f t="shared" si="31"/>
        <v>722499.90019839583</v>
      </c>
      <c r="S64" s="26">
        <f t="shared" si="32"/>
        <v>713864.78678542236</v>
      </c>
      <c r="T64" s="79"/>
      <c r="U64" s="26">
        <f t="shared" si="33"/>
        <v>2890541.3971070638</v>
      </c>
    </row>
    <row r="65" spans="2:21" ht="15" customHeight="1" x14ac:dyDescent="0.2">
      <c r="B65" s="89" t="s">
        <v>75</v>
      </c>
      <c r="C65" s="32">
        <f>'Func View - Data-Driven'!C65</f>
        <v>244134.5</v>
      </c>
      <c r="D65" s="32">
        <f>'Func View - Data-Driven'!D65</f>
        <v>247839.30372014214</v>
      </c>
      <c r="E65" s="32">
        <f>'Func View - Data-Driven'!E65</f>
        <v>249654.12190190473</v>
      </c>
      <c r="F65" s="32">
        <f>'Func View - Data-Driven'!F65</f>
        <v>251596.06893995494</v>
      </c>
      <c r="G65" s="32">
        <f>'Func View - Data-Driven'!G65</f>
        <v>250049.01462536282</v>
      </c>
      <c r="H65" s="32">
        <f>'Func View - Data-Driven'!H65</f>
        <v>247258.11868896216</v>
      </c>
      <c r="I65" s="32">
        <f>'Func View - Data-Driven'!I65</f>
        <v>248224.78383517405</v>
      </c>
      <c r="J65" s="32">
        <f>'Func View - Data-Driven'!J65</f>
        <v>249319.41184006838</v>
      </c>
      <c r="K65" s="32">
        <f>'Func View - Data-Driven'!K65</f>
        <v>243018.20202811327</v>
      </c>
      <c r="L65" s="32">
        <f>'Func View - Data-Driven'!L65</f>
        <v>247419.64668527586</v>
      </c>
      <c r="M65" s="32">
        <f>'Func View - Data-Driven'!M65</f>
        <v>241473.27691143425</v>
      </c>
      <c r="N65" s="32">
        <f>'Func View - Data-Driven'!N65</f>
        <v>242818.48285834788</v>
      </c>
      <c r="P65" s="32">
        <f t="shared" si="29"/>
        <v>741627.92562204681</v>
      </c>
      <c r="Q65" s="32">
        <f t="shared" si="30"/>
        <v>748903.20225427998</v>
      </c>
      <c r="R65" s="32">
        <f t="shared" si="31"/>
        <v>740562.39770335576</v>
      </c>
      <c r="S65" s="32">
        <f t="shared" si="32"/>
        <v>731711.40645505791</v>
      </c>
      <c r="T65" s="79"/>
      <c r="U65" s="32">
        <f t="shared" si="33"/>
        <v>2962804.9320347402</v>
      </c>
    </row>
    <row r="66" spans="2:21" ht="15" customHeight="1" x14ac:dyDescent="0.2">
      <c r="B66" s="52" t="s">
        <v>46</v>
      </c>
      <c r="C66" s="28">
        <f>'Func View - Data-Driven'!C66</f>
        <v>1047992</v>
      </c>
      <c r="D66" s="28">
        <f>'Func View - Data-Driven'!D66</f>
        <v>1063895.5476767076</v>
      </c>
      <c r="E66" s="28">
        <f>'Func View - Data-Driven'!E66</f>
        <v>1071685.9867008594</v>
      </c>
      <c r="F66" s="28">
        <f>'Func View - Data-Driven'!F66</f>
        <v>1080022.1495959042</v>
      </c>
      <c r="G66" s="28">
        <f>'Func View - Data-Driven'!G66</f>
        <v>1073381.135952777</v>
      </c>
      <c r="H66" s="28">
        <f>'Func View - Data-Driven'!H66</f>
        <v>1061400.7046160328</v>
      </c>
      <c r="I66" s="28">
        <f>'Func View - Data-Driven'!I66</f>
        <v>1065550.2915851374</v>
      </c>
      <c r="J66" s="28">
        <f>'Func View - Data-Driven'!J66</f>
        <v>1070249.1825329764</v>
      </c>
      <c r="K66" s="28">
        <f>'Func View - Data-Driven'!K66</f>
        <v>1043200.0867548278</v>
      </c>
      <c r="L66" s="28">
        <f>'Func View - Data-Driven'!L66</f>
        <v>1062094.0930880136</v>
      </c>
      <c r="M66" s="28">
        <f>'Func View - Data-Driven'!M66</f>
        <v>1036568.21308323</v>
      </c>
      <c r="N66" s="28">
        <f>'Func View - Data-Driven'!N66</f>
        <v>1042342.7556846153</v>
      </c>
      <c r="P66" s="28">
        <f t="shared" si="29"/>
        <v>3183573.534377567</v>
      </c>
      <c r="Q66" s="28">
        <f t="shared" si="30"/>
        <v>3214803.9901647139</v>
      </c>
      <c r="R66" s="28">
        <f t="shared" si="31"/>
        <v>3178999.5608729413</v>
      </c>
      <c r="S66" s="28">
        <f t="shared" si="32"/>
        <v>3141005.0618558591</v>
      </c>
      <c r="T66" s="79"/>
      <c r="U66" s="28">
        <f t="shared" si="33"/>
        <v>12718382.147271082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f>'Func View - Data-Driven'!C68</f>
        <v>45360</v>
      </c>
      <c r="D68" s="26">
        <f>'Func View - Data-Driven'!D68</f>
        <v>43200</v>
      </c>
      <c r="E68" s="26">
        <f>'Func View - Data-Driven'!E68</f>
        <v>49680</v>
      </c>
      <c r="F68" s="26">
        <f>'Func View - Data-Driven'!F68</f>
        <v>47940</v>
      </c>
      <c r="G68" s="26">
        <f>'Func View - Data-Driven'!G68</f>
        <v>58374</v>
      </c>
      <c r="H68" s="26">
        <f>'Func View - Data-Driven'!H68</f>
        <v>53298</v>
      </c>
      <c r="I68" s="26">
        <f>'Func View - Data-Driven'!I68</f>
        <v>50760</v>
      </c>
      <c r="J68" s="26">
        <f>'Func View - Data-Driven'!J68</f>
        <v>61617</v>
      </c>
      <c r="K68" s="26">
        <f>'Func View - Data-Driven'!K68</f>
        <v>53580</v>
      </c>
      <c r="L68" s="26">
        <f>'Func View - Data-Driven'!L68</f>
        <v>58938</v>
      </c>
      <c r="M68" s="26">
        <f>'Func View - Data-Driven'!M68</f>
        <v>56259</v>
      </c>
      <c r="N68" s="26">
        <f>'Func View - Data-Driven'!N68</f>
        <v>59220</v>
      </c>
      <c r="P68" s="26">
        <f t="shared" ref="P68:P71" si="34">SUM(C68:E68)</f>
        <v>138240</v>
      </c>
      <c r="Q68" s="26">
        <f t="shared" ref="Q68:Q71" si="35">SUM(F68:H68)</f>
        <v>159612</v>
      </c>
      <c r="R68" s="26">
        <f t="shared" ref="R68:R71" si="36">SUM(I68:K68)</f>
        <v>165957</v>
      </c>
      <c r="S68" s="26">
        <f t="shared" ref="S68:S71" si="37">SUM(L68:N68)</f>
        <v>174417</v>
      </c>
      <c r="T68" s="79"/>
      <c r="U68" s="26">
        <f t="shared" ref="U68:U71" si="38">SUM(P68:S68)</f>
        <v>638226</v>
      </c>
    </row>
    <row r="69" spans="2:21" ht="15" customHeight="1" x14ac:dyDescent="0.2">
      <c r="B69" s="57" t="s">
        <v>77</v>
      </c>
      <c r="C69" s="26">
        <f>'Func View - Data-Driven'!C69</f>
        <v>34398</v>
      </c>
      <c r="D69" s="26">
        <f>'Func View - Data-Driven'!D69</f>
        <v>32760.000000000004</v>
      </c>
      <c r="E69" s="26">
        <f>'Func View - Data-Driven'!E69</f>
        <v>37674</v>
      </c>
      <c r="F69" s="26">
        <f>'Func View - Data-Driven'!F69</f>
        <v>40560</v>
      </c>
      <c r="G69" s="26">
        <f>'Func View - Data-Driven'!G69</f>
        <v>46644</v>
      </c>
      <c r="H69" s="26">
        <f>'Func View - Data-Driven'!H69</f>
        <v>42588</v>
      </c>
      <c r="I69" s="26">
        <f>'Func View - Data-Driven'!I69</f>
        <v>40560</v>
      </c>
      <c r="J69" s="26">
        <f>'Func View - Data-Driven'!J69</f>
        <v>46644</v>
      </c>
      <c r="K69" s="26">
        <f>'Func View - Data-Driven'!K69</f>
        <v>40560</v>
      </c>
      <c r="L69" s="26">
        <f>'Func View - Data-Driven'!L69</f>
        <v>52052</v>
      </c>
      <c r="M69" s="26">
        <f>'Func View - Data-Driven'!M69</f>
        <v>49686</v>
      </c>
      <c r="N69" s="26">
        <f>'Func View - Data-Driven'!N69</f>
        <v>49686</v>
      </c>
      <c r="P69" s="26">
        <f t="shared" si="34"/>
        <v>104832</v>
      </c>
      <c r="Q69" s="26">
        <f t="shared" si="35"/>
        <v>129792</v>
      </c>
      <c r="R69" s="26">
        <f t="shared" si="36"/>
        <v>127764</v>
      </c>
      <c r="S69" s="26">
        <f t="shared" si="37"/>
        <v>151424</v>
      </c>
      <c r="T69" s="79"/>
      <c r="U69" s="26">
        <f t="shared" si="38"/>
        <v>513812</v>
      </c>
    </row>
    <row r="70" spans="2:21" ht="15" customHeight="1" x14ac:dyDescent="0.2">
      <c r="B70" s="89" t="s">
        <v>27</v>
      </c>
      <c r="C70" s="32">
        <f>'Func View - Data-Driven'!C70</f>
        <v>18382.827961391591</v>
      </c>
      <c r="D70" s="32">
        <f>'Func View - Data-Driven'!D70</f>
        <v>20290.899786570801</v>
      </c>
      <c r="E70" s="32">
        <f>'Func View - Data-Driven'!E70</f>
        <v>31830.220796282229</v>
      </c>
      <c r="F70" s="32">
        <f>'Func View - Data-Driven'!F70</f>
        <v>19611.249264270435</v>
      </c>
      <c r="G70" s="32">
        <f>'Func View - Data-Driven'!G70</f>
        <v>22596.436557794372</v>
      </c>
      <c r="H70" s="32">
        <f>'Func View - Data-Driven'!H70</f>
        <v>33305.284811103702</v>
      </c>
      <c r="I70" s="32">
        <f>'Func View - Data-Driven'!I70</f>
        <v>28292.828201464021</v>
      </c>
      <c r="J70" s="32">
        <f>'Func View - Data-Driven'!J70</f>
        <v>24565.433382221461</v>
      </c>
      <c r="K70" s="32">
        <f>'Func View - Data-Driven'!K70</f>
        <v>32767.542168503154</v>
      </c>
      <c r="L70" s="32">
        <f>'Func View - Data-Driven'!L70</f>
        <v>23367.269167149523</v>
      </c>
      <c r="M70" s="32">
        <f>'Func View - Data-Driven'!M70</f>
        <v>28957.339071597773</v>
      </c>
      <c r="N70" s="32">
        <f>'Func View - Data-Driven'!N70</f>
        <v>31005.054876025319</v>
      </c>
      <c r="P70" s="32">
        <f t="shared" si="34"/>
        <v>70503.948544244617</v>
      </c>
      <c r="Q70" s="32">
        <f t="shared" si="35"/>
        <v>75512.970633168501</v>
      </c>
      <c r="R70" s="32">
        <f t="shared" si="36"/>
        <v>85625.803752188629</v>
      </c>
      <c r="S70" s="32">
        <f t="shared" si="37"/>
        <v>83329.663114772615</v>
      </c>
      <c r="T70" s="79"/>
      <c r="U70" s="32">
        <f t="shared" si="38"/>
        <v>314972.38604437432</v>
      </c>
    </row>
    <row r="71" spans="2:21" ht="15" customHeight="1" x14ac:dyDescent="0.2">
      <c r="B71" s="52" t="s">
        <v>24</v>
      </c>
      <c r="C71" s="28">
        <f>'Func View - Data-Driven'!C71</f>
        <v>98140.827961391595</v>
      </c>
      <c r="D71" s="28">
        <f>'Func View - Data-Driven'!D71</f>
        <v>96250.899786570808</v>
      </c>
      <c r="E71" s="28">
        <f>'Func View - Data-Driven'!E71</f>
        <v>119184.22079628223</v>
      </c>
      <c r="F71" s="28">
        <f>'Func View - Data-Driven'!F71</f>
        <v>108111.24926427043</v>
      </c>
      <c r="G71" s="28">
        <f>'Func View - Data-Driven'!G71</f>
        <v>127614.43655779437</v>
      </c>
      <c r="H71" s="28">
        <f>'Func View - Data-Driven'!H71</f>
        <v>129191.2848111037</v>
      </c>
      <c r="I71" s="28">
        <f>'Func View - Data-Driven'!I71</f>
        <v>119612.82820146403</v>
      </c>
      <c r="J71" s="28">
        <f>'Func View - Data-Driven'!J71</f>
        <v>132826.43338222147</v>
      </c>
      <c r="K71" s="28">
        <f>'Func View - Data-Driven'!K71</f>
        <v>126907.54216850316</v>
      </c>
      <c r="L71" s="28">
        <f>'Func View - Data-Driven'!L71</f>
        <v>134357.26916714953</v>
      </c>
      <c r="M71" s="28">
        <f>'Func View - Data-Driven'!M71</f>
        <v>134902.33907159779</v>
      </c>
      <c r="N71" s="28">
        <f>'Func View - Data-Driven'!N71</f>
        <v>139911.05487602533</v>
      </c>
      <c r="P71" s="28">
        <f t="shared" si="34"/>
        <v>313575.94854424463</v>
      </c>
      <c r="Q71" s="28">
        <f t="shared" si="35"/>
        <v>364916.97063316853</v>
      </c>
      <c r="R71" s="28">
        <f t="shared" si="36"/>
        <v>379346.80375218869</v>
      </c>
      <c r="S71" s="28">
        <f t="shared" si="37"/>
        <v>409170.66311477264</v>
      </c>
      <c r="T71" s="79"/>
      <c r="U71" s="28">
        <f t="shared" si="38"/>
        <v>1467010.3860443747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f>'Func View - Data-Driven'!C73</f>
        <v>4808367.1720386082</v>
      </c>
      <c r="D73" s="28">
        <f>'Func View - Data-Driven'!D73</f>
        <v>4884714.6188816512</v>
      </c>
      <c r="E73" s="28">
        <f>'Func View - Data-Driven'!E73</f>
        <v>4898254.7169395583</v>
      </c>
      <c r="F73" s="28">
        <f>'Func View - Data-Driven'!F73</f>
        <v>4948356.0874801902</v>
      </c>
      <c r="G73" s="28">
        <f>'Func View - Data-Driven'!G73</f>
        <v>4897760.8817665707</v>
      </c>
      <c r="H73" s="28">
        <f>'Func View - Data-Driven'!H73</f>
        <v>4840093.8322548671</v>
      </c>
      <c r="I73" s="28">
        <f>'Func View - Data-Driven'!I73</f>
        <v>4869099.9005834972</v>
      </c>
      <c r="J73" s="28">
        <f>'Func View - Data-Driven'!J73</f>
        <v>4877885.6484767133</v>
      </c>
      <c r="K73" s="28">
        <f>'Func View - Data-Driven'!K73</f>
        <v>4757165.5912745539</v>
      </c>
      <c r="L73" s="28">
        <f>'Func View - Data-Driven'!L73</f>
        <v>4838174.1666540038</v>
      </c>
      <c r="M73" s="28">
        <f>'Func View - Data-Driven'!M73</f>
        <v>4718121.5676362514</v>
      </c>
      <c r="N73" s="28">
        <f>'Func View - Data-Driven'!N73</f>
        <v>4740148.2103746729</v>
      </c>
      <c r="P73" s="28">
        <f>P59-P66-P71</f>
        <v>14591336.507859819</v>
      </c>
      <c r="Q73" s="28">
        <f t="shared" ref="Q73:S73" si="39">Q59-Q66-Q71</f>
        <v>14686210.801501626</v>
      </c>
      <c r="R73" s="28">
        <f t="shared" si="39"/>
        <v>14504151.140334764</v>
      </c>
      <c r="S73" s="28">
        <f t="shared" si="39"/>
        <v>14296443.944664927</v>
      </c>
      <c r="T73" s="79"/>
      <c r="U73" s="28">
        <f t="shared" ref="U73" si="40">U59-U66-U71</f>
        <v>58078142.394361146</v>
      </c>
    </row>
    <row r="74" spans="2:21" ht="15" customHeight="1" x14ac:dyDescent="0.2">
      <c r="B74" s="52" t="s">
        <v>29</v>
      </c>
      <c r="C74" s="71">
        <f>'Func View - Data-Driven'!C74</f>
        <v>0.80751820842028854</v>
      </c>
      <c r="D74" s="71">
        <f>'Func View - Data-Driven'!D74</f>
        <v>0.80807723540207521</v>
      </c>
      <c r="E74" s="71">
        <f>'Func View - Data-Driven'!E74</f>
        <v>0.8044267078972257</v>
      </c>
      <c r="F74" s="71">
        <f>'Func View - Data-Driven'!F74</f>
        <v>0.80638223181105051</v>
      </c>
      <c r="G74" s="71">
        <f>'Func View - Data-Driven'!G74</f>
        <v>0.80307533486301186</v>
      </c>
      <c r="H74" s="71">
        <f>'Func View - Data-Driven'!H74</f>
        <v>0.80257767944955372</v>
      </c>
      <c r="I74" s="71">
        <f>'Func View - Data-Driven'!I74</f>
        <v>0.80424320585362474</v>
      </c>
      <c r="J74" s="71">
        <f>'Func View - Data-Driven'!J74</f>
        <v>0.80215700057818018</v>
      </c>
      <c r="K74" s="71">
        <f>'Func View - Data-Driven'!K74</f>
        <v>0.80258922012637268</v>
      </c>
      <c r="L74" s="71">
        <f>'Func View - Data-Driven'!L74</f>
        <v>0.80173560786439768</v>
      </c>
      <c r="M74" s="71">
        <f>'Func View - Data-Driven'!M74</f>
        <v>0.80109479089081925</v>
      </c>
      <c r="N74" s="71">
        <f>'Func View - Data-Driven'!N74</f>
        <v>0.80037596124318322</v>
      </c>
      <c r="P74" s="71">
        <f>P73/P59</f>
        <v>0.80666433416793137</v>
      </c>
      <c r="Q74" s="71">
        <f t="shared" ref="Q74:U74" si="41">Q73/Q59</f>
        <v>0.80402198982335249</v>
      </c>
      <c r="R74" s="71">
        <f t="shared" si="41"/>
        <v>0.80299809792925803</v>
      </c>
      <c r="S74" s="71">
        <f t="shared" si="41"/>
        <v>0.80107293197876894</v>
      </c>
      <c r="T74" s="79"/>
      <c r="U74" s="71">
        <f t="shared" si="41"/>
        <v>0.8036991610289671</v>
      </c>
    </row>
    <row r="75" spans="2:21" ht="15" customHeight="1" x14ac:dyDescent="0.2">
      <c r="T75" s="79"/>
    </row>
    <row r="76" spans="2:21" ht="15" customHeight="1" x14ac:dyDescent="0.2">
      <c r="B76" s="52" t="s">
        <v>100</v>
      </c>
      <c r="T76" s="79"/>
    </row>
    <row r="77" spans="2:21" ht="15" customHeight="1" x14ac:dyDescent="0.2">
      <c r="B77" s="58" t="s">
        <v>84</v>
      </c>
      <c r="C77" s="26">
        <f>'Func View - Data-Driven'!C98</f>
        <v>428724</v>
      </c>
      <c r="D77" s="26">
        <f>'Func View - Data-Driven'!D98</f>
        <v>435229.99677683495</v>
      </c>
      <c r="E77" s="26">
        <f>'Func View - Data-Driven'!E98</f>
        <v>438416.99455944245</v>
      </c>
      <c r="F77" s="26">
        <f>'Func View - Data-Driven'!F98</f>
        <v>441827.24301650625</v>
      </c>
      <c r="G77" s="26">
        <f>'Func View - Data-Driven'!G98</f>
        <v>439110.46470795415</v>
      </c>
      <c r="H77" s="26">
        <f>'Func View - Data-Driven'!H98</f>
        <v>434209.37916110427</v>
      </c>
      <c r="I77" s="26">
        <f>'Func View - Data-Driven'!I98</f>
        <v>435906.93746664718</v>
      </c>
      <c r="J77" s="26">
        <f>'Func View - Data-Driven'!J98</f>
        <v>437829.21103621763</v>
      </c>
      <c r="K77" s="26">
        <f>'Func View - Data-Driven'!K98</f>
        <v>426763.67185424769</v>
      </c>
      <c r="L77" s="26">
        <f>'Func View - Data-Driven'!L98</f>
        <v>434493.03808146005</v>
      </c>
      <c r="M77" s="26">
        <f>'Func View - Data-Driven'!M98</f>
        <v>424050.63262495771</v>
      </c>
      <c r="N77" s="26">
        <f>'Func View - Data-Driven'!N98</f>
        <v>426412.94550734258</v>
      </c>
      <c r="P77" s="26">
        <f t="shared" ref="P77:P80" si="42">SUM(C77:E77)</f>
        <v>1302370.9913362775</v>
      </c>
      <c r="Q77" s="26">
        <f t="shared" ref="Q77:Q80" si="43">SUM(F77:H77)</f>
        <v>1315147.0868855647</v>
      </c>
      <c r="R77" s="26">
        <f t="shared" ref="R77:R80" si="44">SUM(I77:K77)</f>
        <v>1300499.8203571127</v>
      </c>
      <c r="S77" s="26">
        <f t="shared" ref="S77:S80" si="45">SUM(L77:N77)</f>
        <v>1284956.6162137603</v>
      </c>
      <c r="T77" s="33"/>
      <c r="U77" s="26">
        <f t="shared" ref="U77:U80" si="46">SUM(P77:S77)</f>
        <v>5202974.5147927152</v>
      </c>
    </row>
    <row r="78" spans="2:21" ht="15" customHeight="1" x14ac:dyDescent="0.2">
      <c r="B78" s="58" t="s">
        <v>85</v>
      </c>
      <c r="C78" s="26">
        <f>'Func View - Data-Driven'!C99</f>
        <v>1444263.9750000003</v>
      </c>
      <c r="D78" s="26">
        <f>'Func View - Data-Driven'!D99</f>
        <v>1466181.051641963</v>
      </c>
      <c r="E78" s="26">
        <f>'Func View - Data-Driven'!E99</f>
        <v>1476917.250422122</v>
      </c>
      <c r="F78" s="26">
        <f>'Func View - Data-Driven'!F99</f>
        <v>1488405.5249118556</v>
      </c>
      <c r="G78" s="26">
        <f>'Func View - Data-Driven'!G99</f>
        <v>1479253.377984921</v>
      </c>
      <c r="H78" s="26">
        <f>'Func View - Data-Driven'!H99</f>
        <v>1462742.84604897</v>
      </c>
      <c r="I78" s="26">
        <f>'Func View - Data-Driven'!I99</f>
        <v>1468461.4955907674</v>
      </c>
      <c r="J78" s="26">
        <f>'Func View - Data-Driven'!J99</f>
        <v>1474937.1546782583</v>
      </c>
      <c r="K78" s="26">
        <f>'Func View - Data-Driven'!K99</f>
        <v>1437660.1195589968</v>
      </c>
      <c r="L78" s="26">
        <f>'Func View - Data-Driven'!L99</f>
        <v>1463698.4220369186</v>
      </c>
      <c r="M78" s="26">
        <f>'Func View - Data-Driven'!M99</f>
        <v>1428520.5686553265</v>
      </c>
      <c r="N78" s="26">
        <f>'Func View - Data-Driven'!N99</f>
        <v>1436478.6101778606</v>
      </c>
      <c r="P78" s="26">
        <f t="shared" si="42"/>
        <v>4387362.277064085</v>
      </c>
      <c r="Q78" s="26">
        <f t="shared" si="43"/>
        <v>4430401.7489457466</v>
      </c>
      <c r="R78" s="26">
        <f t="shared" si="44"/>
        <v>4381058.7698280225</v>
      </c>
      <c r="S78" s="26">
        <f t="shared" si="45"/>
        <v>4328697.6008701054</v>
      </c>
      <c r="T78" s="33"/>
      <c r="U78" s="26">
        <f t="shared" si="46"/>
        <v>17527520.396707959</v>
      </c>
    </row>
    <row r="79" spans="2:21" ht="15" customHeight="1" x14ac:dyDescent="0.2">
      <c r="B79" s="121" t="s">
        <v>86</v>
      </c>
      <c r="C79" s="32">
        <f>'Func View - Data-Driven'!C100</f>
        <v>20739.523500000003</v>
      </c>
      <c r="D79" s="32">
        <f>'Func View - Data-Driven'!D100</f>
        <v>21054.251094079391</v>
      </c>
      <c r="E79" s="32">
        <f>'Func View - Data-Driven'!E100</f>
        <v>21208.42211181303</v>
      </c>
      <c r="F79" s="32">
        <f>'Func View - Data-Driven'!F100</f>
        <v>21373.392880923489</v>
      </c>
      <c r="G79" s="32">
        <f>'Func View - Data-Driven'!G100</f>
        <v>21241.968730247285</v>
      </c>
      <c r="H79" s="32">
        <f>'Func View - Data-Driven'!H100</f>
        <v>21004.878716918418</v>
      </c>
      <c r="I79" s="32">
        <f>'Func View - Data-Driven'!I100</f>
        <v>21086.998099949054</v>
      </c>
      <c r="J79" s="32">
        <f>'Func View - Data-Driven'!J100</f>
        <v>21179.988083877026</v>
      </c>
      <c r="K79" s="32">
        <f>'Func View - Data-Driven'!K100</f>
        <v>20644.692625949232</v>
      </c>
      <c r="L79" s="32">
        <f>'Func View - Data-Driven'!L100</f>
        <v>21018.600717190631</v>
      </c>
      <c r="M79" s="32">
        <f>'Func View - Data-Driven'!M100</f>
        <v>20513.449353232332</v>
      </c>
      <c r="N79" s="32">
        <f>'Func View - Data-Driven'!N100</f>
        <v>20627.726238917701</v>
      </c>
      <c r="P79" s="32">
        <f t="shared" si="42"/>
        <v>63002.196705892427</v>
      </c>
      <c r="Q79" s="32">
        <f t="shared" si="43"/>
        <v>63620.240328089189</v>
      </c>
      <c r="R79" s="32">
        <f t="shared" si="44"/>
        <v>62911.678809775316</v>
      </c>
      <c r="S79" s="32">
        <f t="shared" si="45"/>
        <v>62159.776309340668</v>
      </c>
      <c r="T79" s="33"/>
      <c r="U79" s="32">
        <f t="shared" si="46"/>
        <v>251693.89215309761</v>
      </c>
    </row>
    <row r="80" spans="2:21" ht="15" customHeight="1" x14ac:dyDescent="0.2">
      <c r="B80" s="23" t="s">
        <v>87</v>
      </c>
      <c r="C80" s="28">
        <f>'Func View - Data-Driven'!C101</f>
        <v>1893727.4985000002</v>
      </c>
      <c r="D80" s="28">
        <f>'Func View - Data-Driven'!D101</f>
        <v>1922465.2995128774</v>
      </c>
      <c r="E80" s="28">
        <f>'Func View - Data-Driven'!E101</f>
        <v>1936542.6670933773</v>
      </c>
      <c r="F80" s="28">
        <f>'Func View - Data-Driven'!F101</f>
        <v>1951606.1608092855</v>
      </c>
      <c r="G80" s="28">
        <f>'Func View - Data-Driven'!G101</f>
        <v>1939605.8114231224</v>
      </c>
      <c r="H80" s="28">
        <f>'Func View - Data-Driven'!H101</f>
        <v>1917957.1039269927</v>
      </c>
      <c r="I80" s="28">
        <f>'Func View - Data-Driven'!I101</f>
        <v>1925455.4311573636</v>
      </c>
      <c r="J80" s="28">
        <f>'Func View - Data-Driven'!J101</f>
        <v>1933946.3537983531</v>
      </c>
      <c r="K80" s="28">
        <f>'Func View - Data-Driven'!K101</f>
        <v>1885068.4840391935</v>
      </c>
      <c r="L80" s="28">
        <f>'Func View - Data-Driven'!L101</f>
        <v>1919210.0608355692</v>
      </c>
      <c r="M80" s="28">
        <f>'Func View - Data-Driven'!M101</f>
        <v>1873084.6506335165</v>
      </c>
      <c r="N80" s="28">
        <f>'Func View - Data-Driven'!N101</f>
        <v>1883519.2819241208</v>
      </c>
      <c r="P80" s="28">
        <f t="shared" si="42"/>
        <v>5752735.4651062554</v>
      </c>
      <c r="Q80" s="28">
        <f t="shared" si="43"/>
        <v>5809169.0761594009</v>
      </c>
      <c r="R80" s="28">
        <f t="shared" si="44"/>
        <v>5744470.2689949106</v>
      </c>
      <c r="S80" s="28">
        <f t="shared" si="45"/>
        <v>5675813.993393207</v>
      </c>
      <c r="T80" s="54"/>
      <c r="U80" s="28">
        <f t="shared" si="46"/>
        <v>22982188.803653769</v>
      </c>
    </row>
    <row r="81" spans="2:21" ht="15" customHeight="1" x14ac:dyDescent="0.2">
      <c r="B81"/>
      <c r="N81" s="35"/>
      <c r="T81" s="51"/>
    </row>
    <row r="82" spans="2:21" ht="15" customHeight="1" x14ac:dyDescent="0.2">
      <c r="B82" s="58" t="s">
        <v>94</v>
      </c>
      <c r="C82" s="28">
        <f>'Func View - Data-Driven'!C103</f>
        <v>2914639.673538608</v>
      </c>
      <c r="D82" s="28">
        <f>'Func View - Data-Driven'!D103</f>
        <v>2962249.3193687741</v>
      </c>
      <c r="E82" s="28">
        <f>'Func View - Data-Driven'!E103</f>
        <v>2961712.0498461807</v>
      </c>
      <c r="F82" s="28">
        <f>'Func View - Data-Driven'!F103</f>
        <v>2996749.9266709047</v>
      </c>
      <c r="G82" s="28">
        <f>'Func View - Data-Driven'!G103</f>
        <v>2958155.0703434483</v>
      </c>
      <c r="H82" s="28">
        <f>'Func View - Data-Driven'!H103</f>
        <v>2922136.7283278741</v>
      </c>
      <c r="I82" s="28">
        <f>'Func View - Data-Driven'!I103</f>
        <v>2943644.4694261337</v>
      </c>
      <c r="J82" s="28">
        <f>'Func View - Data-Driven'!J103</f>
        <v>2943939.2946783602</v>
      </c>
      <c r="K82" s="28">
        <f>'Func View - Data-Driven'!K103</f>
        <v>2872097.1072353604</v>
      </c>
      <c r="L82" s="28">
        <f>'Func View - Data-Driven'!L103</f>
        <v>2918964.1058184346</v>
      </c>
      <c r="M82" s="28">
        <f>'Func View - Data-Driven'!M103</f>
        <v>2845036.9170027347</v>
      </c>
      <c r="N82" s="28">
        <f>'Func View - Data-Driven'!N103</f>
        <v>2856628.9284505518</v>
      </c>
      <c r="P82" s="28">
        <f>P73-P80</f>
        <v>8838601.0427535623</v>
      </c>
      <c r="Q82" s="28">
        <f t="shared" ref="Q82:S82" si="47">Q73-Q80</f>
        <v>8877041.7253422253</v>
      </c>
      <c r="R82" s="28">
        <f t="shared" si="47"/>
        <v>8759680.8713398539</v>
      </c>
      <c r="S82" s="28">
        <f t="shared" si="47"/>
        <v>8620629.9512717202</v>
      </c>
      <c r="T82" s="54"/>
      <c r="U82" s="28">
        <f t="shared" ref="U82" si="48">U73-U80</f>
        <v>35095953.590707377</v>
      </c>
    </row>
    <row r="83" spans="2:21" ht="15" customHeight="1" x14ac:dyDescent="0.2">
      <c r="B83" s="58" t="s">
        <v>95</v>
      </c>
      <c r="C83" s="71">
        <f>'Func View - Data-Driven'!C104</f>
        <v>0.48948520842028853</v>
      </c>
      <c r="D83" s="71">
        <f>'Func View - Data-Driven'!D104</f>
        <v>0.4900442354020752</v>
      </c>
      <c r="E83" s="71">
        <f>'Func View - Data-Driven'!E104</f>
        <v>0.48639370789722564</v>
      </c>
      <c r="F83" s="71">
        <f>'Func View - Data-Driven'!F104</f>
        <v>0.4883492318110505</v>
      </c>
      <c r="G83" s="71">
        <f>'Func View - Data-Driven'!G104</f>
        <v>0.48504233486301185</v>
      </c>
      <c r="H83" s="71">
        <f>'Func View - Data-Driven'!H104</f>
        <v>0.48454467944955359</v>
      </c>
      <c r="I83" s="71">
        <f>'Func View - Data-Driven'!I104</f>
        <v>0.48621020585362473</v>
      </c>
      <c r="J83" s="71">
        <f>'Func View - Data-Driven'!J104</f>
        <v>0.48412400057818006</v>
      </c>
      <c r="K83" s="71">
        <f>'Func View - Data-Driven'!K104</f>
        <v>0.48455622012637278</v>
      </c>
      <c r="L83" s="71">
        <f>'Func View - Data-Driven'!L104</f>
        <v>0.48370260786439773</v>
      </c>
      <c r="M83" s="71">
        <f>'Func View - Data-Driven'!M104</f>
        <v>0.48306179089081919</v>
      </c>
      <c r="N83" s="71">
        <f>'Func View - Data-Driven'!N104</f>
        <v>0.48234296124318321</v>
      </c>
      <c r="P83" s="71">
        <f>P82/P59</f>
        <v>0.48863133416793125</v>
      </c>
      <c r="Q83" s="71">
        <f t="shared" ref="Q83:U83" si="49">Q82/Q59</f>
        <v>0.48598898982335242</v>
      </c>
      <c r="R83" s="71">
        <f t="shared" si="49"/>
        <v>0.48496509792925796</v>
      </c>
      <c r="S83" s="71">
        <f t="shared" si="49"/>
        <v>0.48303993197876888</v>
      </c>
      <c r="T83" s="123"/>
      <c r="U83" s="71">
        <f t="shared" si="49"/>
        <v>0.48566616102896715</v>
      </c>
    </row>
    <row r="84" spans="2:21" ht="15" customHeight="1" x14ac:dyDescent="0.2">
      <c r="B84"/>
      <c r="T84" s="51"/>
    </row>
    <row r="85" spans="2:21" ht="15" customHeight="1" x14ac:dyDescent="0.2">
      <c r="B85" s="58" t="s">
        <v>89</v>
      </c>
      <c r="C85" s="26">
        <f>'Func View - Data-Driven'!C106</f>
        <v>132560.924895</v>
      </c>
      <c r="D85" s="26">
        <f>'Func View - Data-Driven'!D106</f>
        <v>134572.5709659014</v>
      </c>
      <c r="E85" s="26">
        <f>'Func View - Data-Driven'!E106</f>
        <v>135557.98669653642</v>
      </c>
      <c r="F85" s="26">
        <f>'Func View - Data-Driven'!F106</f>
        <v>136612.43125664999</v>
      </c>
      <c r="G85" s="26">
        <f>'Func View - Data-Driven'!G106</f>
        <v>135772.40679961859</v>
      </c>
      <c r="H85" s="26">
        <f>'Func View - Data-Driven'!H106</f>
        <v>134256.99727488952</v>
      </c>
      <c r="I85" s="26">
        <f>'Func View - Data-Driven'!I106</f>
        <v>134781.88018101547</v>
      </c>
      <c r="J85" s="26">
        <f>'Func View - Data-Driven'!J106</f>
        <v>135376.24476588471</v>
      </c>
      <c r="K85" s="26">
        <f>'Func View - Data-Driven'!K106</f>
        <v>131954.7938827436</v>
      </c>
      <c r="L85" s="26">
        <f>'Func View - Data-Driven'!L106</f>
        <v>134344.70425848983</v>
      </c>
      <c r="M85" s="26">
        <f>'Func View - Data-Driven'!M106</f>
        <v>131115.92554434616</v>
      </c>
      <c r="N85" s="26">
        <f>'Func View - Data-Driven'!N106</f>
        <v>131846.34973468844</v>
      </c>
      <c r="P85" s="26">
        <f t="shared" ref="P85:P89" si="50">SUM(C85:E85)</f>
        <v>402691.48255743785</v>
      </c>
      <c r="Q85" s="26">
        <f t="shared" ref="Q85:Q89" si="51">SUM(F85:H85)</f>
        <v>406641.83533115813</v>
      </c>
      <c r="R85" s="26">
        <f t="shared" ref="R85:R89" si="52">SUM(I85:K85)</f>
        <v>402112.91882964375</v>
      </c>
      <c r="S85" s="26">
        <f t="shared" ref="S85:S89" si="53">SUM(L85:N85)</f>
        <v>397306.9795375244</v>
      </c>
      <c r="T85" s="33"/>
      <c r="U85" s="26">
        <f t="shared" ref="U85:U89" si="54">SUM(P85:S85)</f>
        <v>1608753.216255764</v>
      </c>
    </row>
    <row r="86" spans="2:21" ht="15" customHeight="1" x14ac:dyDescent="0.2">
      <c r="B86" s="58" t="s">
        <v>90</v>
      </c>
      <c r="C86" s="26">
        <f>'Func View - Data-Driven'!C107</f>
        <v>46291.116630000004</v>
      </c>
      <c r="D86" s="26">
        <f>'Func View - Data-Driven'!D107</f>
        <v>46993.596210314769</v>
      </c>
      <c r="E86" s="26">
        <f>'Func View - Data-Driven'!E107</f>
        <v>47337.709640060333</v>
      </c>
      <c r="F86" s="26">
        <f>'Func View - Data-Driven'!F107</f>
        <v>47705.928375338088</v>
      </c>
      <c r="G86" s="26">
        <f>'Func View - Data-Driven'!G107</f>
        <v>47412.586501454112</v>
      </c>
      <c r="H86" s="26">
        <f>'Func View - Data-Driven'!H107</f>
        <v>46883.39587377094</v>
      </c>
      <c r="I86" s="26">
        <f>'Func View - Data-Driven'!I107</f>
        <v>47066.68831718</v>
      </c>
      <c r="J86" s="26">
        <f>'Func View - Data-Driven'!J107</f>
        <v>47274.244203959744</v>
      </c>
      <c r="K86" s="26">
        <f>'Func View - Data-Driven'!K107</f>
        <v>46079.451832069193</v>
      </c>
      <c r="L86" s="26">
        <f>'Func View - Data-Driven'!L107</f>
        <v>46914.023709313908</v>
      </c>
      <c r="M86" s="26">
        <f>'Func View - Data-Driven'!M107</f>
        <v>45786.513682152625</v>
      </c>
      <c r="N86" s="26">
        <f>'Func View - Data-Driven'!N107</f>
        <v>46041.582447034059</v>
      </c>
      <c r="P86" s="26">
        <f t="shared" si="50"/>
        <v>140622.4224803751</v>
      </c>
      <c r="Q86" s="26">
        <f t="shared" si="51"/>
        <v>142001.91075056314</v>
      </c>
      <c r="R86" s="26">
        <f t="shared" si="52"/>
        <v>140420.38435320894</v>
      </c>
      <c r="S86" s="26">
        <f t="shared" si="53"/>
        <v>138742.11983850057</v>
      </c>
      <c r="T86" s="33"/>
      <c r="U86" s="26">
        <f t="shared" si="54"/>
        <v>561786.83742264775</v>
      </c>
    </row>
    <row r="87" spans="2:21" ht="15" customHeight="1" x14ac:dyDescent="0.2">
      <c r="B87" s="58" t="s">
        <v>91</v>
      </c>
      <c r="C87" s="26">
        <f>'Func View - Data-Driven'!C108</f>
        <v>21041.416650000003</v>
      </c>
      <c r="D87" s="26">
        <f>'Func View - Data-Driven'!D108</f>
        <v>21360.725550143077</v>
      </c>
      <c r="E87" s="26">
        <f>'Func View - Data-Driven'!E108</f>
        <v>21517.140745481971</v>
      </c>
      <c r="F87" s="26">
        <f>'Func View - Data-Driven'!F108</f>
        <v>21684.512897880952</v>
      </c>
      <c r="G87" s="26">
        <f>'Func View - Data-Driven'!G108</f>
        <v>21551.175682479141</v>
      </c>
      <c r="H87" s="26">
        <f>'Func View - Data-Driven'!H108</f>
        <v>21310.634488077703</v>
      </c>
      <c r="I87" s="26">
        <f>'Func View - Data-Driven'!I108</f>
        <v>21393.949235081818</v>
      </c>
      <c r="J87" s="26">
        <f>'Func View - Data-Driven'!J108</f>
        <v>21488.292819981703</v>
      </c>
      <c r="K87" s="26">
        <f>'Func View - Data-Driven'!K108</f>
        <v>20945.205378213272</v>
      </c>
      <c r="L87" s="26">
        <f>'Func View - Data-Driven'!L108</f>
        <v>21324.556231506325</v>
      </c>
      <c r="M87" s="26">
        <f>'Func View - Data-Driven'!M108</f>
        <v>20812.051673705741</v>
      </c>
      <c r="N87" s="26">
        <f>'Func View - Data-Driven'!N108</f>
        <v>20927.992021379119</v>
      </c>
      <c r="P87" s="26">
        <f t="shared" si="50"/>
        <v>63919.282945625047</v>
      </c>
      <c r="Q87" s="26">
        <f t="shared" si="51"/>
        <v>64546.323068437792</v>
      </c>
      <c r="R87" s="26">
        <f t="shared" si="52"/>
        <v>63827.447433276793</v>
      </c>
      <c r="S87" s="26">
        <f t="shared" si="53"/>
        <v>63064.599926591181</v>
      </c>
      <c r="T87" s="33"/>
      <c r="U87" s="26">
        <f t="shared" si="54"/>
        <v>255357.65337393081</v>
      </c>
    </row>
    <row r="88" spans="2:21" ht="15" customHeight="1" x14ac:dyDescent="0.2">
      <c r="B88" s="121" t="s">
        <v>92</v>
      </c>
      <c r="C88" s="32">
        <f>'Func View - Data-Driven'!C109</f>
        <v>10520.708325000001</v>
      </c>
      <c r="D88" s="32">
        <f>'Func View - Data-Driven'!D109</f>
        <v>10680.362775071539</v>
      </c>
      <c r="E88" s="32">
        <f>'Func View - Data-Driven'!E109</f>
        <v>10758.570372740985</v>
      </c>
      <c r="F88" s="32">
        <f>'Func View - Data-Driven'!F109</f>
        <v>10842.256448940476</v>
      </c>
      <c r="G88" s="32">
        <f>'Func View - Data-Driven'!G109</f>
        <v>10775.58784123957</v>
      </c>
      <c r="H88" s="32">
        <f>'Func View - Data-Driven'!H109</f>
        <v>10655.317244038852</v>
      </c>
      <c r="I88" s="32">
        <f>'Func View - Data-Driven'!I109</f>
        <v>10696.974617540909</v>
      </c>
      <c r="J88" s="32">
        <f>'Func View - Data-Driven'!J109</f>
        <v>10744.146409990852</v>
      </c>
      <c r="K88" s="32">
        <f>'Func View - Data-Driven'!K109</f>
        <v>10472.602689106636</v>
      </c>
      <c r="L88" s="32">
        <f>'Func View - Data-Driven'!L109</f>
        <v>10662.278115753163</v>
      </c>
      <c r="M88" s="32">
        <f>'Func View - Data-Driven'!M109</f>
        <v>10406.02583685287</v>
      </c>
      <c r="N88" s="32">
        <f>'Func View - Data-Driven'!N109</f>
        <v>10463.99601068956</v>
      </c>
      <c r="P88" s="32">
        <f t="shared" si="50"/>
        <v>31959.641472812524</v>
      </c>
      <c r="Q88" s="32">
        <f t="shared" si="51"/>
        <v>32273.161534218896</v>
      </c>
      <c r="R88" s="32">
        <f t="shared" si="52"/>
        <v>31913.723716638397</v>
      </c>
      <c r="S88" s="32">
        <f t="shared" si="53"/>
        <v>31532.299963295591</v>
      </c>
      <c r="T88" s="33"/>
      <c r="U88" s="32">
        <f t="shared" si="54"/>
        <v>127678.8266869654</v>
      </c>
    </row>
    <row r="89" spans="2:21" ht="15" customHeight="1" x14ac:dyDescent="0.2">
      <c r="B89" s="23" t="s">
        <v>93</v>
      </c>
      <c r="C89" s="28">
        <f>'Func View - Data-Driven'!C110</f>
        <v>210414.16650000002</v>
      </c>
      <c r="D89" s="28">
        <f>'Func View - Data-Driven'!D110</f>
        <v>213607.25550143077</v>
      </c>
      <c r="E89" s="28">
        <f>'Func View - Data-Driven'!E110</f>
        <v>215171.40745481971</v>
      </c>
      <c r="F89" s="28">
        <f>'Func View - Data-Driven'!F110</f>
        <v>216845.12897880949</v>
      </c>
      <c r="G89" s="28">
        <f>'Func View - Data-Driven'!G110</f>
        <v>215511.7568247914</v>
      </c>
      <c r="H89" s="28">
        <f>'Func View - Data-Driven'!H110</f>
        <v>213106.344880777</v>
      </c>
      <c r="I89" s="28">
        <f>'Func View - Data-Driven'!I110</f>
        <v>213939.49235081818</v>
      </c>
      <c r="J89" s="28">
        <f>'Func View - Data-Driven'!J110</f>
        <v>214882.92819981702</v>
      </c>
      <c r="K89" s="28">
        <f>'Func View - Data-Driven'!K110</f>
        <v>209452.05378213269</v>
      </c>
      <c r="L89" s="28">
        <f>'Func View - Data-Driven'!L110</f>
        <v>213245.56231506323</v>
      </c>
      <c r="M89" s="28">
        <f>'Func View - Data-Driven'!M110</f>
        <v>208120.51673705739</v>
      </c>
      <c r="N89" s="28">
        <f>'Func View - Data-Driven'!N110</f>
        <v>209279.92021379119</v>
      </c>
      <c r="P89" s="28">
        <f t="shared" si="50"/>
        <v>639192.82945625042</v>
      </c>
      <c r="Q89" s="28">
        <f t="shared" si="51"/>
        <v>645463.23068437795</v>
      </c>
      <c r="R89" s="28">
        <f t="shared" si="52"/>
        <v>638274.47433276789</v>
      </c>
      <c r="S89" s="28">
        <f t="shared" si="53"/>
        <v>630645.99926591176</v>
      </c>
      <c r="T89" s="54"/>
      <c r="U89" s="28">
        <f t="shared" si="54"/>
        <v>2553576.5337393079</v>
      </c>
    </row>
    <row r="90" spans="2:21" ht="15" customHeight="1" x14ac:dyDescent="0.2">
      <c r="B90"/>
    </row>
    <row r="91" spans="2:21" ht="15" customHeight="1" x14ac:dyDescent="0.2">
      <c r="B91" s="23" t="s">
        <v>96</v>
      </c>
      <c r="C91" s="28">
        <f>'Func View - Data-Driven'!C112</f>
        <v>2704225.5070386082</v>
      </c>
      <c r="D91" s="28">
        <f>'Func View - Data-Driven'!D112</f>
        <v>2748642.0638673431</v>
      </c>
      <c r="E91" s="28">
        <f>'Func View - Data-Driven'!E112</f>
        <v>2746540.6423913608</v>
      </c>
      <c r="F91" s="28">
        <f>'Func View - Data-Driven'!F112</f>
        <v>2779904.7976920954</v>
      </c>
      <c r="G91" s="28">
        <f>'Func View - Data-Driven'!G112</f>
        <v>2742643.3135186569</v>
      </c>
      <c r="H91" s="28">
        <f>'Func View - Data-Driven'!H112</f>
        <v>2709030.3834470971</v>
      </c>
      <c r="I91" s="28">
        <f>'Func View - Data-Driven'!I112</f>
        <v>2729704.9770753155</v>
      </c>
      <c r="J91" s="28">
        <f>'Func View - Data-Driven'!J112</f>
        <v>2729056.3664785433</v>
      </c>
      <c r="K91" s="28">
        <f>'Func View - Data-Driven'!K112</f>
        <v>2662645.0534532275</v>
      </c>
      <c r="L91" s="28">
        <f>'Func View - Data-Driven'!L112</f>
        <v>2705718.5435033715</v>
      </c>
      <c r="M91" s="28">
        <f>'Func View - Data-Driven'!M112</f>
        <v>2636916.4002656774</v>
      </c>
      <c r="N91" s="28">
        <f>'Func View - Data-Driven'!N112</f>
        <v>2647349.0082367607</v>
      </c>
      <c r="P91" s="28">
        <f>P82-P89</f>
        <v>8199408.2132973121</v>
      </c>
      <c r="Q91" s="28">
        <f t="shared" ref="Q91:S91" si="55">Q82-Q89</f>
        <v>8231578.4946578471</v>
      </c>
      <c r="R91" s="28">
        <f t="shared" si="55"/>
        <v>8121406.3970070863</v>
      </c>
      <c r="S91" s="28">
        <f t="shared" si="55"/>
        <v>7989983.9520058082</v>
      </c>
      <c r="T91" s="28"/>
      <c r="U91" s="28">
        <f t="shared" ref="U91" si="56">U82-U89</f>
        <v>32542377.056968071</v>
      </c>
    </row>
    <row r="92" spans="2:21" ht="15" customHeight="1" x14ac:dyDescent="0.2">
      <c r="B92" s="23" t="s">
        <v>97</v>
      </c>
      <c r="C92" s="71">
        <f>'Func View - Data-Driven'!C113</f>
        <v>0.45414820842028858</v>
      </c>
      <c r="D92" s="71">
        <f>'Func View - Data-Driven'!D113</f>
        <v>0.45470723540207514</v>
      </c>
      <c r="E92" s="71">
        <f>'Func View - Data-Driven'!E113</f>
        <v>0.45105670789722563</v>
      </c>
      <c r="F92" s="71">
        <f>'Func View - Data-Driven'!F113</f>
        <v>0.45301223181105049</v>
      </c>
      <c r="G92" s="71">
        <f>'Func View - Data-Driven'!G113</f>
        <v>0.44970533486301184</v>
      </c>
      <c r="H92" s="71">
        <f>'Func View - Data-Driven'!H113</f>
        <v>0.44920767944955359</v>
      </c>
      <c r="I92" s="71">
        <f>'Func View - Data-Driven'!I113</f>
        <v>0.45087320585362478</v>
      </c>
      <c r="J92" s="71">
        <f>'Func View - Data-Driven'!J113</f>
        <v>0.44878700057818005</v>
      </c>
      <c r="K92" s="71">
        <f>'Func View - Data-Driven'!K113</f>
        <v>0.44921922012637272</v>
      </c>
      <c r="L92" s="71">
        <f>'Func View - Data-Driven'!L113</f>
        <v>0.44836560786439772</v>
      </c>
      <c r="M92" s="71">
        <f>'Func View - Data-Driven'!M113</f>
        <v>0.44772479089081918</v>
      </c>
      <c r="N92" s="71">
        <f>'Func View - Data-Driven'!N113</f>
        <v>0.4470059612431832</v>
      </c>
      <c r="P92" s="71">
        <f>P91/P59</f>
        <v>0.45329433416793125</v>
      </c>
      <c r="Q92" s="71">
        <f t="shared" ref="Q92:U92" si="57">Q91/Q59</f>
        <v>0.45065198982335242</v>
      </c>
      <c r="R92" s="71">
        <f t="shared" si="57"/>
        <v>0.44962809792925801</v>
      </c>
      <c r="S92" s="71">
        <f t="shared" si="57"/>
        <v>0.44770293197876887</v>
      </c>
      <c r="T92" s="71"/>
      <c r="U92" s="71">
        <f t="shared" si="57"/>
        <v>0.4503291610289672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4F36F-B201-4F2F-A249-D6A90983A045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A941-8A9F-4EFB-BCFD-7DE0FC0DE4E9}">
  <dimension ref="B2:V95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5" width="10.7109375" style="126" customWidth="1"/>
    <col min="6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13" t="s">
        <v>81</v>
      </c>
      <c r="C2" s="124" t="s">
        <v>41</v>
      </c>
      <c r="D2" s="124" t="s">
        <v>41</v>
      </c>
      <c r="E2" s="124" t="s">
        <v>41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4"/>
      <c r="R2" s="114"/>
      <c r="S2" s="114"/>
      <c r="T2" s="114"/>
      <c r="U2" s="116"/>
      <c r="V2" s="114"/>
    </row>
    <row r="3" spans="2:22" x14ac:dyDescent="0.2">
      <c r="B3" s="1"/>
    </row>
    <row r="4" spans="2:22" x14ac:dyDescent="0.2">
      <c r="B4" s="1" t="s">
        <v>16</v>
      </c>
      <c r="C4" s="127">
        <v>44927</v>
      </c>
      <c r="D4" s="127">
        <f>EOMONTH(C4,0)+1</f>
        <v>44958</v>
      </c>
      <c r="E4" s="127">
        <f t="shared" ref="E4:N4" si="0">EOMONTH(D4,0)+1</f>
        <v>44986</v>
      </c>
      <c r="F4" s="3">
        <f t="shared" si="0"/>
        <v>45017</v>
      </c>
      <c r="G4" s="3">
        <f t="shared" si="0"/>
        <v>45047</v>
      </c>
      <c r="H4" s="3">
        <f t="shared" si="0"/>
        <v>45078</v>
      </c>
      <c r="I4" s="3">
        <f t="shared" si="0"/>
        <v>45108</v>
      </c>
      <c r="J4" s="3">
        <f t="shared" si="0"/>
        <v>45139</v>
      </c>
      <c r="K4" s="3">
        <f t="shared" si="0"/>
        <v>45170</v>
      </c>
      <c r="L4" s="3">
        <f t="shared" si="0"/>
        <v>45200</v>
      </c>
      <c r="M4" s="3">
        <f t="shared" si="0"/>
        <v>45231</v>
      </c>
      <c r="N4" s="3">
        <f t="shared" si="0"/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128">
        <v>918241.81085671578</v>
      </c>
      <c r="D5" s="128">
        <v>1098822.1071652398</v>
      </c>
      <c r="E5" s="128">
        <v>1389108.8186953156</v>
      </c>
      <c r="F5" s="4">
        <f t="shared" ref="D5:N5" si="1">SUM(F6:F7)</f>
        <v>1061517.5734082023</v>
      </c>
      <c r="G5" s="4">
        <f t="shared" si="1"/>
        <v>1081268.1654903176</v>
      </c>
      <c r="H5" s="4">
        <f t="shared" si="1"/>
        <v>1451208.0120024798</v>
      </c>
      <c r="I5" s="4">
        <f t="shared" si="1"/>
        <v>1271303.6551094283</v>
      </c>
      <c r="J5" s="4">
        <f t="shared" si="1"/>
        <v>1138780.2522786539</v>
      </c>
      <c r="K5" s="4">
        <f t="shared" si="1"/>
        <v>1507492.0827028083</v>
      </c>
      <c r="L5" s="4">
        <f t="shared" si="1"/>
        <v>826045.48853282654</v>
      </c>
      <c r="M5" s="4">
        <f t="shared" si="1"/>
        <v>1233235.1563812059</v>
      </c>
      <c r="N5" s="4">
        <f t="shared" si="1"/>
        <v>1755653.6671542581</v>
      </c>
      <c r="P5" s="75">
        <v>7.4999999999999997E-2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29">
        <v>622514.35130164481</v>
      </c>
      <c r="D6" s="129">
        <v>935097.23442405579</v>
      </c>
      <c r="E6" s="129">
        <v>1179236.180272124</v>
      </c>
      <c r="F6" s="11">
        <v>778357.53044854791</v>
      </c>
      <c r="G6" s="11">
        <v>754206.54738440667</v>
      </c>
      <c r="H6" s="11">
        <v>1161089.2112107845</v>
      </c>
      <c r="I6" s="11">
        <v>1012908.6032579186</v>
      </c>
      <c r="J6" s="11">
        <v>875063.79737911304</v>
      </c>
      <c r="K6" s="11">
        <v>1001549.4544438521</v>
      </c>
      <c r="L6" s="11">
        <v>767305.38565648335</v>
      </c>
      <c r="M6" s="11">
        <v>1070830.028742257</v>
      </c>
      <c r="N6" s="11">
        <v>1249608.7042213012</v>
      </c>
      <c r="P6" s="75">
        <v>0.13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29">
        <v>295727.45955507096</v>
      </c>
      <c r="D7" s="129">
        <v>163724.87274118402</v>
      </c>
      <c r="E7" s="129">
        <v>209872.6384231917</v>
      </c>
      <c r="F7" s="11">
        <v>283160.04295965447</v>
      </c>
      <c r="G7" s="11">
        <v>327061.61810591107</v>
      </c>
      <c r="H7" s="11">
        <v>290118.80079169519</v>
      </c>
      <c r="I7" s="11">
        <v>258395.05185150981</v>
      </c>
      <c r="J7" s="11">
        <v>263716.45489954093</v>
      </c>
      <c r="K7" s="11">
        <v>505942.62825895625</v>
      </c>
      <c r="L7" s="11">
        <v>58740.102876343219</v>
      </c>
      <c r="M7" s="11">
        <v>162405.12763894891</v>
      </c>
      <c r="N7" s="11">
        <v>506044.96293295687</v>
      </c>
      <c r="P7" s="75">
        <v>0.01</v>
      </c>
      <c r="Q7" t="s">
        <v>27</v>
      </c>
      <c r="U7" s="8">
        <v>44977</v>
      </c>
    </row>
    <row r="8" spans="2:22" x14ac:dyDescent="0.2">
      <c r="B8" t="s">
        <v>12</v>
      </c>
      <c r="C8" s="128">
        <v>721374.25132581848</v>
      </c>
      <c r="D8" s="128">
        <v>595242.65474325209</v>
      </c>
      <c r="E8" s="128">
        <v>1249710.3438458135</v>
      </c>
      <c r="F8" s="4">
        <f t="shared" ref="D8:N8" si="2">SUM(F9:F10)</f>
        <v>709383.96017214493</v>
      </c>
      <c r="G8" s="4">
        <f t="shared" si="2"/>
        <v>904740.85283928656</v>
      </c>
      <c r="H8" s="4">
        <f t="shared" si="2"/>
        <v>1379573.7402020607</v>
      </c>
      <c r="I8" s="4">
        <f t="shared" si="2"/>
        <v>1038287.6024100666</v>
      </c>
      <c r="J8" s="4">
        <f t="shared" si="2"/>
        <v>768431.06707048998</v>
      </c>
      <c r="K8" s="4">
        <f t="shared" si="2"/>
        <v>1066020.2990642288</v>
      </c>
      <c r="L8" s="4">
        <f t="shared" si="2"/>
        <v>979445.16485972295</v>
      </c>
      <c r="M8" s="4">
        <f t="shared" si="2"/>
        <v>1434322.7907923807</v>
      </c>
      <c r="N8" s="4">
        <f t="shared" si="2"/>
        <v>945674.72243952577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29">
        <v>280387.13024097512</v>
      </c>
      <c r="D9" s="129">
        <v>371671.55899892846</v>
      </c>
      <c r="E9" s="129">
        <v>506998.66365879396</v>
      </c>
      <c r="F9" s="11">
        <v>513515.39413500042</v>
      </c>
      <c r="G9" s="11">
        <v>589447.7222434443</v>
      </c>
      <c r="H9" s="11">
        <v>1063154.9281922118</v>
      </c>
      <c r="I9" s="11">
        <v>793503.06220063637</v>
      </c>
      <c r="J9" s="11">
        <v>684414.29971599905</v>
      </c>
      <c r="K9" s="11">
        <v>799540.80796667177</v>
      </c>
      <c r="L9" s="11">
        <v>700378.50886009238</v>
      </c>
      <c r="M9" s="11">
        <v>1140724.6110846652</v>
      </c>
      <c r="N9" s="11">
        <v>651155.53066580486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29">
        <v>440987.1210848433</v>
      </c>
      <c r="D10" s="129">
        <v>223571.0957443236</v>
      </c>
      <c r="E10" s="129">
        <v>742711.68018701964</v>
      </c>
      <c r="F10" s="11">
        <v>195868.56603714445</v>
      </c>
      <c r="G10" s="11">
        <v>315293.13059584226</v>
      </c>
      <c r="H10" s="11">
        <v>316418.81200984883</v>
      </c>
      <c r="I10" s="11">
        <v>244784.5402094303</v>
      </c>
      <c r="J10" s="11">
        <v>84016.767354490905</v>
      </c>
      <c r="K10" s="11">
        <v>266479.49109755701</v>
      </c>
      <c r="L10" s="11">
        <v>279066.65599963057</v>
      </c>
      <c r="M10" s="11">
        <v>293598.17970771552</v>
      </c>
      <c r="N10" s="11">
        <v>294519.1917737209</v>
      </c>
      <c r="P10" s="74">
        <f>0.1625*C37</f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30">
        <v>198666.7339566247</v>
      </c>
      <c r="D11" s="130">
        <v>335025.21674858825</v>
      </c>
      <c r="E11" s="130">
        <v>544202.91708709358</v>
      </c>
      <c r="F11" s="14">
        <v>192184.51777312293</v>
      </c>
      <c r="G11" s="14">
        <v>275894.281105612</v>
      </c>
      <c r="H11" s="14">
        <v>503077.25738693954</v>
      </c>
      <c r="I11" s="14">
        <v>522520.84544705303</v>
      </c>
      <c r="J11" s="14">
        <v>551788.56221122399</v>
      </c>
      <c r="K11" s="14">
        <v>706518.58930012805</v>
      </c>
      <c r="L11" s="14">
        <v>533572.99023911764</v>
      </c>
      <c r="M11" s="14">
        <v>231071.69389335017</v>
      </c>
      <c r="N11" s="14">
        <v>402277.60349635046</v>
      </c>
      <c r="P11" s="74">
        <f>0.1625*C44</f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v>1838282.796139159</v>
      </c>
      <c r="D12" s="13">
        <v>2029089.9786570801</v>
      </c>
      <c r="E12" s="13">
        <v>3183022.0796282226</v>
      </c>
      <c r="F12" s="13">
        <f t="shared" ref="D12:N12" si="3">F5+F8+F11</f>
        <v>1963086.0513534702</v>
      </c>
      <c r="G12" s="13">
        <f t="shared" si="3"/>
        <v>2261903.299435216</v>
      </c>
      <c r="H12" s="13">
        <f t="shared" si="3"/>
        <v>3333859.0095914798</v>
      </c>
      <c r="I12" s="13">
        <f t="shared" si="3"/>
        <v>2832112.1029665479</v>
      </c>
      <c r="J12" s="13">
        <f t="shared" si="3"/>
        <v>2458999.881560368</v>
      </c>
      <c r="K12" s="13">
        <f t="shared" si="3"/>
        <v>3280030.9710671655</v>
      </c>
      <c r="L12" s="13">
        <f t="shared" si="3"/>
        <v>2339063.6436316674</v>
      </c>
      <c r="M12" s="13">
        <f t="shared" si="3"/>
        <v>2898629.6410669368</v>
      </c>
      <c r="N12" s="13">
        <f t="shared" si="3"/>
        <v>3103605.9930901341</v>
      </c>
      <c r="P12" s="75">
        <v>4.5999999999999999E-2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131">
        <v>6.7393931455971043E-2</v>
      </c>
      <c r="D15" s="131">
        <v>0.14484668328968767</v>
      </c>
      <c r="E15" s="131">
        <v>0.11567215284129743</v>
      </c>
      <c r="F15" s="6">
        <v>0.14609651369799148</v>
      </c>
      <c r="G15" s="6">
        <v>0.11725576288131039</v>
      </c>
      <c r="H15" s="6">
        <v>0.20359417064069918</v>
      </c>
      <c r="I15" s="6">
        <v>0.12659705621591977</v>
      </c>
      <c r="J15" s="6">
        <v>0.17055882143751375</v>
      </c>
      <c r="K15" s="6">
        <v>0.19756398166561684</v>
      </c>
      <c r="L15" s="6">
        <v>0.33217178429035915</v>
      </c>
      <c r="M15" s="6">
        <v>0.17710664878609386</v>
      </c>
      <c r="N15" s="6">
        <v>0.2053553875115432</v>
      </c>
      <c r="P15" s="75">
        <v>0.91249999999999998</v>
      </c>
      <c r="Q15" s="9" t="s">
        <v>78</v>
      </c>
      <c r="U15" s="8">
        <v>45208</v>
      </c>
    </row>
    <row r="16" spans="2:22" x14ac:dyDescent="0.2">
      <c r="B16" s="17" t="s">
        <v>10</v>
      </c>
      <c r="C16" s="132">
        <v>8.269779157262673E-2</v>
      </c>
      <c r="D16" s="132">
        <v>0.14520413222718045</v>
      </c>
      <c r="E16" s="132">
        <v>0.13561154879632886</v>
      </c>
      <c r="F16" s="21">
        <v>0.17810344345334739</v>
      </c>
      <c r="G16" s="21">
        <v>0.13868143376929959</v>
      </c>
      <c r="H16" s="21">
        <v>0.18929248957002251</v>
      </c>
      <c r="I16" s="21">
        <v>0.13169223801022148</v>
      </c>
      <c r="J16" s="21">
        <v>0.1743766625878605</v>
      </c>
      <c r="K16" s="21">
        <v>0.24994126882264628</v>
      </c>
      <c r="L16" s="21">
        <v>0.2528063664279282</v>
      </c>
      <c r="M16" s="21">
        <v>0.17032188117874789</v>
      </c>
      <c r="N16" s="21">
        <v>0.23554213423925505</v>
      </c>
      <c r="P16" s="75">
        <f>1/12</f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132">
        <v>3.5178889378835419E-2</v>
      </c>
      <c r="D17" s="132">
        <v>0.14280515161950749</v>
      </c>
      <c r="E17" s="132">
        <v>4.5604790246004716E-2</v>
      </c>
      <c r="F17" s="21">
        <v>5.8115050843189492E-2</v>
      </c>
      <c r="G17" s="21">
        <v>6.7848004919958557E-2</v>
      </c>
      <c r="H17" s="21">
        <v>0.26083116303149201</v>
      </c>
      <c r="I17" s="21">
        <v>0.10662394358225706</v>
      </c>
      <c r="J17" s="21">
        <v>0.15789046300654161</v>
      </c>
      <c r="K17" s="21">
        <v>9.3879412611036203E-2</v>
      </c>
      <c r="L17" s="21">
        <v>1.3688998385281776</v>
      </c>
      <c r="M17" s="21">
        <v>0.22184250779256384</v>
      </c>
      <c r="N17" s="21">
        <v>0.13081335226541799</v>
      </c>
      <c r="U17" s="8">
        <v>45254</v>
      </c>
    </row>
    <row r="18" spans="2:21" x14ac:dyDescent="0.2">
      <c r="B18" s="16" t="s">
        <v>12</v>
      </c>
      <c r="C18" s="131">
        <v>0.17841142091049092</v>
      </c>
      <c r="D18" s="131">
        <v>0.16576614011777902</v>
      </c>
      <c r="E18" s="131">
        <v>8.7735600019642646E-2</v>
      </c>
      <c r="F18" s="6">
        <v>0.19471753201760905</v>
      </c>
      <c r="G18" s="6">
        <v>0.12911064488203183</v>
      </c>
      <c r="H18" s="6">
        <v>0.12018586189683919</v>
      </c>
      <c r="I18" s="6">
        <v>0.12102902207211845</v>
      </c>
      <c r="J18" s="6">
        <v>9.4420159634264464E-2</v>
      </c>
      <c r="K18" s="6">
        <v>0.16021447574467024</v>
      </c>
      <c r="L18" s="6">
        <v>0.1103533778706924</v>
      </c>
      <c r="M18" s="6">
        <v>9.8388918786146584E-2</v>
      </c>
      <c r="N18" s="6">
        <v>0.16359749944477819</v>
      </c>
      <c r="P18" s="75">
        <v>0.45500000000000002</v>
      </c>
      <c r="Q18" s="58" t="s">
        <v>70</v>
      </c>
      <c r="U18" s="8">
        <v>45285</v>
      </c>
    </row>
    <row r="19" spans="2:21" x14ac:dyDescent="0.2">
      <c r="B19" s="17" t="s">
        <v>10</v>
      </c>
      <c r="C19" s="132">
        <v>0.25513485939404251</v>
      </c>
      <c r="D19" s="132">
        <v>0.13216248357945287</v>
      </c>
      <c r="E19" s="132">
        <v>0.1076882767868082</v>
      </c>
      <c r="F19" s="21">
        <v>0.15415830209544415</v>
      </c>
      <c r="G19" s="21">
        <v>0.11526510995014258</v>
      </c>
      <c r="H19" s="21">
        <v>9.0876544760634545E-2</v>
      </c>
      <c r="I19" s="21">
        <v>0.10227724990396118</v>
      </c>
      <c r="J19" s="21">
        <v>4.6083781283784667E-2</v>
      </c>
      <c r="K19" s="21">
        <v>0.15514190020778293</v>
      </c>
      <c r="L19" s="21">
        <v>0.10715448180803074</v>
      </c>
      <c r="M19" s="21">
        <v>9.4641963295987522E-2</v>
      </c>
      <c r="N19" s="21">
        <v>0.16771273177127266</v>
      </c>
      <c r="P19" s="75">
        <v>0.44500000000000001</v>
      </c>
      <c r="Q19" s="58" t="s">
        <v>71</v>
      </c>
    </row>
    <row r="20" spans="2:21" x14ac:dyDescent="0.2">
      <c r="B20" s="17" t="s">
        <v>11</v>
      </c>
      <c r="C20" s="132">
        <v>0.12962935061850114</v>
      </c>
      <c r="D20" s="132">
        <v>0.22162990628166296</v>
      </c>
      <c r="E20" s="132">
        <v>7.1151099980620497E-2</v>
      </c>
      <c r="F20" s="21">
        <v>0.30105306793684827</v>
      </c>
      <c r="G20" s="21">
        <v>0.15499518925323663</v>
      </c>
      <c r="H20" s="21">
        <v>0.21866402998481782</v>
      </c>
      <c r="I20" s="21">
        <v>0.18181549422591917</v>
      </c>
      <c r="J20" s="21">
        <v>0.48817618692781961</v>
      </c>
      <c r="K20" s="21">
        <v>0.17543415034900997</v>
      </c>
      <c r="L20" s="21">
        <v>0.11838170374266015</v>
      </c>
      <c r="M20" s="21">
        <v>0.11294706198893613</v>
      </c>
      <c r="N20" s="21">
        <v>0.15449908968331721</v>
      </c>
      <c r="P20" s="75">
        <v>0.06</v>
      </c>
      <c r="Q20" s="58" t="s">
        <v>72</v>
      </c>
    </row>
    <row r="21" spans="2:21" x14ac:dyDescent="0.2">
      <c r="B21" s="19" t="s">
        <v>13</v>
      </c>
      <c r="C21" s="133">
        <v>0.15169917201438265</v>
      </c>
      <c r="D21" s="133">
        <v>3.1052479234059648E-2</v>
      </c>
      <c r="E21" s="133">
        <v>0.13756140402794095</v>
      </c>
      <c r="F21" s="22">
        <v>0.19265696367784188</v>
      </c>
      <c r="G21" s="22">
        <v>0.29325718333652373</v>
      </c>
      <c r="H21" s="22">
        <v>0.20344880015445777</v>
      </c>
      <c r="I21" s="22">
        <v>6.3463595935420627E-2</v>
      </c>
      <c r="J21" s="22">
        <v>0.11680582726115776</v>
      </c>
      <c r="K21" s="22">
        <v>0.10428228727605789</v>
      </c>
      <c r="L21" s="22">
        <v>0.19462464105093918</v>
      </c>
      <c r="M21" s="22">
        <v>0.23792413655906763</v>
      </c>
      <c r="N21" s="22">
        <v>0.15154083130793794</v>
      </c>
      <c r="P21" s="75">
        <v>0.04</v>
      </c>
      <c r="Q21" s="58" t="s">
        <v>73</v>
      </c>
    </row>
    <row r="22" spans="2:21" x14ac:dyDescent="0.2">
      <c r="B22" s="18" t="s">
        <v>14</v>
      </c>
      <c r="C22" s="134">
        <v>9.9549306149495281E-2</v>
      </c>
      <c r="D22" s="134">
        <v>0.10960177195157539</v>
      </c>
      <c r="E22" s="134">
        <v>8.7049858779637571E-2</v>
      </c>
      <c r="F22" s="20">
        <v>0.13947373421489301</v>
      </c>
      <c r="G22" s="20">
        <v>0.11894602732024519</v>
      </c>
      <c r="H22" s="20">
        <v>0.14016419440526465</v>
      </c>
      <c r="I22" s="20">
        <v>9.3610968198660466E-2</v>
      </c>
      <c r="J22" s="20">
        <v>0.11168191552156798</v>
      </c>
      <c r="K22" s="20">
        <v>0.13707590443679588</v>
      </c>
      <c r="L22" s="20">
        <v>0.17237874686163115</v>
      </c>
      <c r="M22" s="20">
        <v>0.11856287675646755</v>
      </c>
      <c r="N22" s="20">
        <v>0.15392641935524717</v>
      </c>
      <c r="U22" s="9">
        <v>0.99875000000000003</v>
      </c>
    </row>
    <row r="23" spans="2:21" x14ac:dyDescent="0.2">
      <c r="P23" s="75">
        <v>5.5E-2</v>
      </c>
      <c r="Q23" s="58" t="s">
        <v>44</v>
      </c>
    </row>
    <row r="24" spans="2:21" x14ac:dyDescent="0.2">
      <c r="B24" s="1" t="s">
        <v>17</v>
      </c>
      <c r="P24" s="75">
        <v>0.04</v>
      </c>
      <c r="Q24" t="s">
        <v>45</v>
      </c>
    </row>
    <row r="25" spans="2:21" x14ac:dyDescent="0.2">
      <c r="B25" t="s">
        <v>9</v>
      </c>
      <c r="C25" s="128">
        <v>61883.925660884226</v>
      </c>
      <c r="D25" s="128">
        <v>159160.73774827071</v>
      </c>
      <c r="E25" s="128">
        <v>169489.24245703485</v>
      </c>
      <c r="F25" s="4">
        <f t="shared" ref="D25:N25" si="4">SUM(F26:F27)</f>
        <v>155084.01670409011</v>
      </c>
      <c r="G25" s="4">
        <f t="shared" si="4"/>
        <v>126784.92362384217</v>
      </c>
      <c r="H25" s="4">
        <f t="shared" si="4"/>
        <v>295457.49163078266</v>
      </c>
      <c r="I25" s="4">
        <f t="shared" si="4"/>
        <v>160943.30029339259</v>
      </c>
      <c r="J25" s="4">
        <f t="shared" si="4"/>
        <v>194229.01770496176</v>
      </c>
      <c r="K25" s="4">
        <f t="shared" si="4"/>
        <v>297826.1381881602</v>
      </c>
      <c r="L25" s="4">
        <f t="shared" si="4"/>
        <v>274389.00383095047</v>
      </c>
      <c r="M25" s="4">
        <f t="shared" si="4"/>
        <v>218414.14571186973</v>
      </c>
      <c r="N25" s="4">
        <f t="shared" si="4"/>
        <v>360532.93915452459</v>
      </c>
      <c r="P25" s="75">
        <v>0.04</v>
      </c>
      <c r="Q25" t="s">
        <v>74</v>
      </c>
    </row>
    <row r="26" spans="2:21" x14ac:dyDescent="0.2">
      <c r="B26" s="10" t="s">
        <v>10</v>
      </c>
      <c r="C26" s="129">
        <v>51480.562074912355</v>
      </c>
      <c r="D26" s="129">
        <v>135779.98247258135</v>
      </c>
      <c r="E26" s="129">
        <v>159918.04480336962</v>
      </c>
      <c r="F26" s="11">
        <f t="shared" ref="D26:N26" si="5">F6*F16</f>
        <v>138628.15641073007</v>
      </c>
      <c r="G26" s="11">
        <f t="shared" si="5"/>
        <v>104594.44534946271</v>
      </c>
      <c r="H26" s="11">
        <f t="shared" si="5"/>
        <v>219785.46740298308</v>
      </c>
      <c r="I26" s="11">
        <f t="shared" si="5"/>
        <v>133392.20086284282</v>
      </c>
      <c r="J26" s="11">
        <f t="shared" si="5"/>
        <v>152590.70453842951</v>
      </c>
      <c r="K26" s="11">
        <f t="shared" si="5"/>
        <v>250328.54143232555</v>
      </c>
      <c r="L26" s="11">
        <f t="shared" si="5"/>
        <v>193979.6864883957</v>
      </c>
      <c r="M26" s="11">
        <f t="shared" si="5"/>
        <v>182385.78491807388</v>
      </c>
      <c r="N26" s="11">
        <f t="shared" si="5"/>
        <v>294335.50115623529</v>
      </c>
      <c r="P26" s="75">
        <v>4.1000000000000002E-2</v>
      </c>
      <c r="Q26" t="s">
        <v>75</v>
      </c>
    </row>
    <row r="27" spans="2:21" x14ac:dyDescent="0.2">
      <c r="B27" s="10" t="s">
        <v>11</v>
      </c>
      <c r="C27" s="129">
        <v>10403.363585971867</v>
      </c>
      <c r="D27" s="129">
        <v>23380.755275689353</v>
      </c>
      <c r="E27" s="129">
        <v>9571.1976536652473</v>
      </c>
      <c r="F27" s="11">
        <f t="shared" ref="D27:N27" si="6">F7*F17</f>
        <v>16455.860293360041</v>
      </c>
      <c r="G27" s="11">
        <f t="shared" si="6"/>
        <v>22190.47827437946</v>
      </c>
      <c r="H27" s="11">
        <f t="shared" si="6"/>
        <v>75672.0242277996</v>
      </c>
      <c r="I27" s="11">
        <f t="shared" si="6"/>
        <v>27551.09943054977</v>
      </c>
      <c r="J27" s="11">
        <f t="shared" si="6"/>
        <v>41638.313166532265</v>
      </c>
      <c r="K27" s="11">
        <f t="shared" si="6"/>
        <v>47497.59675583466</v>
      </c>
      <c r="L27" s="11">
        <f t="shared" si="6"/>
        <v>80409.317342554772</v>
      </c>
      <c r="M27" s="11">
        <f t="shared" si="6"/>
        <v>36028.360793795851</v>
      </c>
      <c r="N27" s="11">
        <f t="shared" si="6"/>
        <v>66197.437998289271</v>
      </c>
    </row>
    <row r="28" spans="2:21" x14ac:dyDescent="0.2">
      <c r="B28" t="s">
        <v>12</v>
      </c>
      <c r="C28" s="128">
        <v>128701.40518728085</v>
      </c>
      <c r="D28" s="128">
        <v>98671.077310248656</v>
      </c>
      <c r="E28" s="128">
        <v>107442.56543639135</v>
      </c>
      <c r="F28" s="4">
        <f t="shared" ref="D28:N28" si="7">SUM(F29:F30)</f>
        <v>138129.49397759797</v>
      </c>
      <c r="G28" s="4">
        <f t="shared" si="7"/>
        <v>116811.67496119974</v>
      </c>
      <c r="H28" s="4">
        <f t="shared" si="7"/>
        <v>165805.25901643076</v>
      </c>
      <c r="I28" s="4">
        <f t="shared" si="7"/>
        <v>125662.9331492949</v>
      </c>
      <c r="J28" s="4">
        <f t="shared" si="7"/>
        <v>72555.384020723839</v>
      </c>
      <c r="K28" s="4">
        <f t="shared" si="7"/>
        <v>170791.88334775201</v>
      </c>
      <c r="L28" s="4">
        <f t="shared" si="7"/>
        <v>108085.08238138759</v>
      </c>
      <c r="M28" s="4">
        <f t="shared" si="7"/>
        <v>141121.46857639067</v>
      </c>
      <c r="N28" s="4">
        <f t="shared" si="7"/>
        <v>154710.01987924104</v>
      </c>
      <c r="P28" s="75">
        <v>0.17</v>
      </c>
      <c r="Q28" t="s">
        <v>47</v>
      </c>
    </row>
    <row r="29" spans="2:21" x14ac:dyDescent="0.2">
      <c r="B29" s="10" t="s">
        <v>10</v>
      </c>
      <c r="C29" s="129">
        <v>71536.531049930272</v>
      </c>
      <c r="D29" s="129">
        <v>49121.036313145531</v>
      </c>
      <c r="E29" s="129">
        <v>54597.812422630079</v>
      </c>
      <c r="F29" s="11">
        <f t="shared" ref="C29:N31" si="8">F9*F19</f>
        <v>79162.661259724468</v>
      </c>
      <c r="G29" s="11">
        <f t="shared" si="8"/>
        <v>67942.756514251712</v>
      </c>
      <c r="H29" s="11">
        <f t="shared" si="8"/>
        <v>96615.846419348745</v>
      </c>
      <c r="I29" s="11">
        <f t="shared" si="8"/>
        <v>81157.31099225294</v>
      </c>
      <c r="J29" s="11">
        <f t="shared" si="8"/>
        <v>31540.398895606748</v>
      </c>
      <c r="K29" s="11">
        <f t="shared" si="8"/>
        <v>124042.28024161553</v>
      </c>
      <c r="L29" s="11">
        <f t="shared" si="8"/>
        <v>75048.696186384463</v>
      </c>
      <c r="M29" s="11">
        <f t="shared" si="8"/>
        <v>107960.41677310452</v>
      </c>
      <c r="N29" s="11">
        <f t="shared" si="8"/>
        <v>109207.07285593484</v>
      </c>
      <c r="P29" s="75">
        <v>8.5000000000000006E-2</v>
      </c>
      <c r="Q29" t="s">
        <v>48</v>
      </c>
    </row>
    <row r="30" spans="2:21" x14ac:dyDescent="0.2">
      <c r="B30" s="10" t="s">
        <v>11</v>
      </c>
      <c r="C30" s="129">
        <v>57164.874137350569</v>
      </c>
      <c r="D30" s="129">
        <v>49550.040997103133</v>
      </c>
      <c r="E30" s="129">
        <v>52844.75301376127</v>
      </c>
      <c r="F30" s="11">
        <f t="shared" si="8"/>
        <v>58966.832717873498</v>
      </c>
      <c r="G30" s="11">
        <f t="shared" si="8"/>
        <v>48868.918446948024</v>
      </c>
      <c r="H30" s="11">
        <f t="shared" si="8"/>
        <v>69189.412597082017</v>
      </c>
      <c r="I30" s="11">
        <f t="shared" si="8"/>
        <v>44505.622157041951</v>
      </c>
      <c r="J30" s="11">
        <f t="shared" si="8"/>
        <v>41014.985125117084</v>
      </c>
      <c r="K30" s="11">
        <f t="shared" si="8"/>
        <v>46749.603106136477</v>
      </c>
      <c r="L30" s="11">
        <f t="shared" si="8"/>
        <v>33036.386195003121</v>
      </c>
      <c r="M30" s="11">
        <f t="shared" si="8"/>
        <v>33161.051803286151</v>
      </c>
      <c r="N30" s="11">
        <f t="shared" si="8"/>
        <v>45502.947023306209</v>
      </c>
      <c r="P30" s="75">
        <v>0.04</v>
      </c>
      <c r="Q30" t="s">
        <v>49</v>
      </c>
    </row>
    <row r="31" spans="2:21" x14ac:dyDescent="0.2">
      <c r="B31" s="15" t="s">
        <v>13</v>
      </c>
      <c r="C31" s="130">
        <v>30137.579048021606</v>
      </c>
      <c r="D31" s="130">
        <v>10403.363585971869</v>
      </c>
      <c r="E31" s="130">
        <v>74861.317350601734</v>
      </c>
      <c r="F31" s="14">
        <f t="shared" si="8"/>
        <v>37025.685660060102</v>
      </c>
      <c r="G31" s="14">
        <f t="shared" si="8"/>
        <v>80907.979775686879</v>
      </c>
      <c r="H31" s="14">
        <f t="shared" si="8"/>
        <v>102350.46440036818</v>
      </c>
      <c r="I31" s="14">
        <f t="shared" si="8"/>
        <v>33161.051803286144</v>
      </c>
      <c r="J31" s="14">
        <f t="shared" si="8"/>
        <v>64452.119482326831</v>
      </c>
      <c r="K31" s="14">
        <f t="shared" si="8"/>
        <v>73677.374495271113</v>
      </c>
      <c r="L31" s="14">
        <f t="shared" si="8"/>
        <v>103846.45169976456</v>
      </c>
      <c r="M31" s="14">
        <f t="shared" si="8"/>
        <v>54977.533252816516</v>
      </c>
      <c r="N31" s="14">
        <f t="shared" si="8"/>
        <v>60961.482450401993</v>
      </c>
      <c r="P31" s="75">
        <v>0.03</v>
      </c>
      <c r="Q31" t="s">
        <v>50</v>
      </c>
    </row>
    <row r="32" spans="2:21" x14ac:dyDescent="0.2">
      <c r="B32" s="1" t="s">
        <v>14</v>
      </c>
      <c r="C32" s="13">
        <v>220722.9098961867</v>
      </c>
      <c r="D32" s="13">
        <v>268235.17864449124</v>
      </c>
      <c r="E32" s="13">
        <v>351793.12524402793</v>
      </c>
      <c r="F32" s="13">
        <f t="shared" ref="D32:N32" si="9">F25+F28+F31</f>
        <v>330239.19634174817</v>
      </c>
      <c r="G32" s="13">
        <f t="shared" si="9"/>
        <v>324504.5783607288</v>
      </c>
      <c r="H32" s="13">
        <f t="shared" si="9"/>
        <v>563613.21504758159</v>
      </c>
      <c r="I32" s="13">
        <f t="shared" si="9"/>
        <v>319767.28524597362</v>
      </c>
      <c r="J32" s="13">
        <f t="shared" si="9"/>
        <v>331236.52120801242</v>
      </c>
      <c r="K32" s="13">
        <f t="shared" si="9"/>
        <v>542295.39603118331</v>
      </c>
      <c r="L32" s="13">
        <f t="shared" si="9"/>
        <v>486320.53791210265</v>
      </c>
      <c r="M32" s="13">
        <f t="shared" si="9"/>
        <v>414513.14754107693</v>
      </c>
      <c r="N32" s="13">
        <f t="shared" si="9"/>
        <v>576204.44148416759</v>
      </c>
    </row>
    <row r="33" spans="2:17" x14ac:dyDescent="0.2">
      <c r="P33" s="77">
        <v>1.4999999999999999E-4</v>
      </c>
      <c r="Q33" t="s">
        <v>52</v>
      </c>
    </row>
    <row r="34" spans="2:17" x14ac:dyDescent="0.2">
      <c r="B34" t="s">
        <v>8</v>
      </c>
      <c r="C34" s="135">
        <v>168</v>
      </c>
      <c r="D34" s="135">
        <v>160</v>
      </c>
      <c r="E34" s="135">
        <v>184</v>
      </c>
      <c r="F34" s="2">
        <f>NETWORKDAYS(F$4,EOMONTH(F$4,0)+1,$U$5:$U$20)*8</f>
        <v>160</v>
      </c>
      <c r="G34" s="2">
        <f>NETWORKDAYS(G$4,EOMONTH(G$4,0)+1,$U$5:$U$20)*8</f>
        <v>184</v>
      </c>
      <c r="H34" s="2">
        <f>NETWORKDAYS(H$4,EOMONTH(H$4,0)+1,$U$5:$U$20)*8</f>
        <v>168</v>
      </c>
      <c r="I34" s="2">
        <f>NETWORKDAYS(I$4,EOMONTH(I$4,0)+1,$U$5:$U$20)*8</f>
        <v>160</v>
      </c>
      <c r="J34" s="2">
        <f>NETWORKDAYS(J$4,EOMONTH(J$4,0)+1,$U$5:$U$20)*8</f>
        <v>184</v>
      </c>
      <c r="K34" s="2">
        <f>NETWORKDAYS(K$4,EOMONTH(K$4,0)+1,$U$5:$U$20)*8</f>
        <v>160</v>
      </c>
      <c r="L34" s="2">
        <f>NETWORKDAYS(L$4,EOMONTH(L$4,0)+1,$U$5:$U$20)*8</f>
        <v>176</v>
      </c>
      <c r="M34" s="2">
        <f>NETWORKDAYS(M$4,EOMONTH(M$4,0)+1,$U$5:$U$20)*8</f>
        <v>168</v>
      </c>
      <c r="N34" s="2">
        <f>NETWORKDAYS(N$4,EOMONTH(N$4,0)+1,$U$5:$U$20)*8</f>
        <v>168</v>
      </c>
      <c r="P34" s="77">
        <v>1.7000000000000001E-4</v>
      </c>
      <c r="Q34" t="s">
        <v>53</v>
      </c>
    </row>
    <row r="35" spans="2:17" x14ac:dyDescent="0.2">
      <c r="B35" s="1"/>
      <c r="C35" s="127"/>
      <c r="D35" s="127"/>
      <c r="E35" s="127"/>
      <c r="F35" s="3"/>
      <c r="G35" s="3"/>
      <c r="H35" s="3"/>
      <c r="I35" s="3"/>
      <c r="J35" s="3"/>
      <c r="K35" s="3"/>
      <c r="L35" s="3"/>
      <c r="M35" s="3"/>
      <c r="N35" s="3"/>
      <c r="P35" s="77">
        <v>5.0000000000000002E-5</v>
      </c>
      <c r="Q35" t="s">
        <v>54</v>
      </c>
    </row>
    <row r="36" spans="2:17" x14ac:dyDescent="0.2">
      <c r="B36" t="s">
        <v>0</v>
      </c>
      <c r="C36" s="135">
        <v>16</v>
      </c>
      <c r="D36" s="135">
        <v>16</v>
      </c>
      <c r="E36" s="135">
        <v>16</v>
      </c>
      <c r="F36" s="2">
        <v>17</v>
      </c>
      <c r="G36" s="2">
        <v>17</v>
      </c>
      <c r="H36" s="2">
        <v>17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v>2.5000000000000001E-3</v>
      </c>
      <c r="Q36" t="s">
        <v>55</v>
      </c>
    </row>
    <row r="37" spans="2:17" x14ac:dyDescent="0.2">
      <c r="B37" t="s">
        <v>1</v>
      </c>
      <c r="C37" s="136">
        <v>225</v>
      </c>
      <c r="D37" s="136">
        <v>225</v>
      </c>
      <c r="E37" s="136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v>3.5000000000000001E-3</v>
      </c>
      <c r="Q37" t="s">
        <v>56</v>
      </c>
    </row>
    <row r="38" spans="2:17" x14ac:dyDescent="0.2">
      <c r="B38" t="s">
        <v>2</v>
      </c>
      <c r="C38" s="135">
        <v>128</v>
      </c>
      <c r="D38" s="135">
        <v>128</v>
      </c>
      <c r="E38" s="135">
        <v>128</v>
      </c>
      <c r="F38" s="2">
        <f t="shared" ref="D38:N38" si="10">F36*8</f>
        <v>136</v>
      </c>
      <c r="G38" s="2">
        <f t="shared" si="10"/>
        <v>136</v>
      </c>
      <c r="H38" s="2">
        <f t="shared" si="10"/>
        <v>136</v>
      </c>
      <c r="I38" s="2">
        <f t="shared" si="10"/>
        <v>144</v>
      </c>
      <c r="J38" s="2">
        <f t="shared" si="10"/>
        <v>152</v>
      </c>
      <c r="K38" s="2">
        <f t="shared" si="10"/>
        <v>152</v>
      </c>
      <c r="L38" s="2">
        <f t="shared" si="10"/>
        <v>152</v>
      </c>
      <c r="M38" s="2">
        <f t="shared" si="10"/>
        <v>152</v>
      </c>
      <c r="N38" s="2">
        <f t="shared" si="10"/>
        <v>160</v>
      </c>
      <c r="P38" s="77">
        <v>5.0000000000000001E-4</v>
      </c>
      <c r="Q38" t="s">
        <v>57</v>
      </c>
    </row>
    <row r="39" spans="2:17" x14ac:dyDescent="0.2">
      <c r="B39" t="s">
        <v>3</v>
      </c>
      <c r="C39" s="131">
        <v>0.75</v>
      </c>
      <c r="D39" s="131">
        <v>0.75</v>
      </c>
      <c r="E39" s="131">
        <v>0.75</v>
      </c>
      <c r="F39" s="6">
        <f t="shared" ref="D39:N39" si="11">6/8</f>
        <v>0.75</v>
      </c>
      <c r="G39" s="6">
        <f t="shared" si="11"/>
        <v>0.75</v>
      </c>
      <c r="H39" s="6">
        <f t="shared" si="11"/>
        <v>0.75</v>
      </c>
      <c r="I39" s="6">
        <f t="shared" si="11"/>
        <v>0.75</v>
      </c>
      <c r="J39" s="6">
        <f t="shared" si="11"/>
        <v>0.75</v>
      </c>
      <c r="K39" s="6">
        <f t="shared" si="11"/>
        <v>0.75</v>
      </c>
      <c r="L39" s="6">
        <f t="shared" si="11"/>
        <v>0.75</v>
      </c>
      <c r="M39" s="6">
        <f t="shared" si="11"/>
        <v>0.75</v>
      </c>
      <c r="N39" s="6">
        <f t="shared" si="11"/>
        <v>0.75</v>
      </c>
      <c r="P39" s="77">
        <v>6.4999999999999997E-3</v>
      </c>
      <c r="Q39" t="s">
        <v>58</v>
      </c>
    </row>
    <row r="40" spans="2:17" x14ac:dyDescent="0.2">
      <c r="B40" s="41" t="s">
        <v>6</v>
      </c>
      <c r="C40" s="133">
        <v>0.625</v>
      </c>
      <c r="D40" s="133">
        <v>0.625</v>
      </c>
      <c r="E40" s="133">
        <v>0.625</v>
      </c>
      <c r="F40" s="22">
        <f t="shared" ref="D40:N40" si="12">5/8</f>
        <v>0.625</v>
      </c>
      <c r="G40" s="22">
        <f t="shared" si="12"/>
        <v>0.625</v>
      </c>
      <c r="H40" s="22">
        <f t="shared" si="12"/>
        <v>0.625</v>
      </c>
      <c r="I40" s="22">
        <f t="shared" si="12"/>
        <v>0.625</v>
      </c>
      <c r="J40" s="22">
        <f t="shared" si="12"/>
        <v>0.625</v>
      </c>
      <c r="K40" s="22">
        <f t="shared" si="12"/>
        <v>0.625</v>
      </c>
      <c r="L40" s="22">
        <f t="shared" si="12"/>
        <v>0.625</v>
      </c>
      <c r="M40" s="22">
        <f t="shared" si="12"/>
        <v>0.625</v>
      </c>
      <c r="N40" s="22">
        <f t="shared" si="12"/>
        <v>0.625</v>
      </c>
      <c r="P40" s="77">
        <v>7.4999999999999997E-3</v>
      </c>
      <c r="Q40" t="s">
        <v>59</v>
      </c>
    </row>
    <row r="41" spans="2:17" x14ac:dyDescent="0.2">
      <c r="B41" s="1" t="s">
        <v>25</v>
      </c>
      <c r="C41" s="13">
        <v>360000</v>
      </c>
      <c r="D41" s="13">
        <v>342000</v>
      </c>
      <c r="E41" s="13">
        <v>396000</v>
      </c>
      <c r="F41" s="13">
        <f t="shared" ref="D41:N41" si="13">((F34*F36)-F38)*F37*F40</f>
        <v>379525</v>
      </c>
      <c r="G41" s="13">
        <f t="shared" si="13"/>
        <v>439450</v>
      </c>
      <c r="H41" s="13">
        <f t="shared" si="13"/>
        <v>399500</v>
      </c>
      <c r="I41" s="13">
        <f t="shared" si="13"/>
        <v>401850</v>
      </c>
      <c r="J41" s="13">
        <f t="shared" si="13"/>
        <v>491150</v>
      </c>
      <c r="K41" s="13">
        <f t="shared" si="13"/>
        <v>424175</v>
      </c>
      <c r="L41" s="13">
        <f t="shared" si="13"/>
        <v>468825</v>
      </c>
      <c r="M41" s="13">
        <f t="shared" si="13"/>
        <v>446500</v>
      </c>
      <c r="N41" s="13">
        <f t="shared" si="13"/>
        <v>470000</v>
      </c>
      <c r="P41" s="77">
        <v>7.4999999999999997E-3</v>
      </c>
      <c r="Q41" t="s">
        <v>60</v>
      </c>
    </row>
    <row r="43" spans="2:17" x14ac:dyDescent="0.2">
      <c r="B43" t="s">
        <v>4</v>
      </c>
      <c r="C43" s="135">
        <v>5</v>
      </c>
      <c r="D43" s="135">
        <v>5</v>
      </c>
      <c r="E43" s="135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</row>
    <row r="44" spans="2:17" x14ac:dyDescent="0.2">
      <c r="B44" t="s">
        <v>5</v>
      </c>
      <c r="C44" s="136">
        <v>315</v>
      </c>
      <c r="D44" s="136">
        <v>315</v>
      </c>
      <c r="E44" s="136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</row>
    <row r="45" spans="2:17" x14ac:dyDescent="0.2">
      <c r="B45" t="s">
        <v>2</v>
      </c>
      <c r="C45" s="135">
        <v>40</v>
      </c>
      <c r="D45" s="135">
        <v>40</v>
      </c>
      <c r="E45" s="135">
        <v>40</v>
      </c>
      <c r="F45" s="2">
        <f t="shared" ref="D45:N45" si="14">F43*8</f>
        <v>48</v>
      </c>
      <c r="G45" s="2">
        <f t="shared" si="14"/>
        <v>48</v>
      </c>
      <c r="H45" s="2">
        <f t="shared" si="14"/>
        <v>48</v>
      </c>
      <c r="I45" s="2">
        <f t="shared" si="14"/>
        <v>48</v>
      </c>
      <c r="J45" s="2">
        <f t="shared" si="14"/>
        <v>48</v>
      </c>
      <c r="K45" s="2">
        <f t="shared" si="14"/>
        <v>48</v>
      </c>
      <c r="L45" s="2">
        <f t="shared" si="14"/>
        <v>56</v>
      </c>
      <c r="M45" s="2">
        <f t="shared" si="14"/>
        <v>56</v>
      </c>
      <c r="N45" s="2">
        <f t="shared" si="14"/>
        <v>56</v>
      </c>
    </row>
    <row r="46" spans="2:17" x14ac:dyDescent="0.2">
      <c r="B46" s="41" t="s">
        <v>6</v>
      </c>
      <c r="C46" s="133">
        <v>0.375</v>
      </c>
      <c r="D46" s="133">
        <v>0.375</v>
      </c>
      <c r="E46" s="133">
        <v>0.375</v>
      </c>
      <c r="F46" s="22">
        <f t="shared" ref="D46:N46" si="15">3/8</f>
        <v>0.375</v>
      </c>
      <c r="G46" s="22">
        <f t="shared" si="15"/>
        <v>0.375</v>
      </c>
      <c r="H46" s="22">
        <f t="shared" si="15"/>
        <v>0.375</v>
      </c>
      <c r="I46" s="22">
        <f t="shared" si="15"/>
        <v>0.375</v>
      </c>
      <c r="J46" s="22">
        <f t="shared" si="15"/>
        <v>0.375</v>
      </c>
      <c r="K46" s="22">
        <f t="shared" si="15"/>
        <v>0.375</v>
      </c>
      <c r="L46" s="22">
        <f t="shared" si="15"/>
        <v>0.375</v>
      </c>
      <c r="M46" s="22">
        <f t="shared" si="15"/>
        <v>0.375</v>
      </c>
      <c r="N46" s="22">
        <f t="shared" si="15"/>
        <v>0.375</v>
      </c>
    </row>
    <row r="47" spans="2:17" x14ac:dyDescent="0.2">
      <c r="B47" s="1" t="s">
        <v>25</v>
      </c>
      <c r="C47" s="13">
        <v>94500</v>
      </c>
      <c r="D47" s="13">
        <v>89775</v>
      </c>
      <c r="E47" s="13">
        <v>103950</v>
      </c>
      <c r="F47" s="13">
        <f t="shared" ref="D47:N47" si="16">((F34*F43)-F45)*F44*F46</f>
        <v>111150</v>
      </c>
      <c r="G47" s="13">
        <f t="shared" si="16"/>
        <v>128700</v>
      </c>
      <c r="H47" s="13">
        <f t="shared" si="16"/>
        <v>117000</v>
      </c>
      <c r="I47" s="13">
        <f t="shared" si="16"/>
        <v>111150</v>
      </c>
      <c r="J47" s="13">
        <f t="shared" si="16"/>
        <v>128700</v>
      </c>
      <c r="K47" s="13">
        <f t="shared" si="16"/>
        <v>111150</v>
      </c>
      <c r="L47" s="13">
        <f t="shared" si="16"/>
        <v>143325</v>
      </c>
      <c r="M47" s="13">
        <f t="shared" si="16"/>
        <v>136500</v>
      </c>
      <c r="N47" s="13">
        <f t="shared" si="16"/>
        <v>136500</v>
      </c>
    </row>
    <row r="49" spans="2:14" x14ac:dyDescent="0.2">
      <c r="B49" s="23" t="s">
        <v>66</v>
      </c>
      <c r="C49" s="137"/>
      <c r="D49" s="137"/>
      <c r="E49" s="137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138">
        <v>0</v>
      </c>
      <c r="D50" s="138">
        <v>153190.23301159657</v>
      </c>
      <c r="E50" s="138">
        <v>169090.83155475667</v>
      </c>
      <c r="F50" s="26">
        <f t="shared" ref="E50:N50" si="17">E12/12</f>
        <v>265251.83996901853</v>
      </c>
      <c r="G50" s="26">
        <f t="shared" si="17"/>
        <v>163590.50427945584</v>
      </c>
      <c r="H50" s="26">
        <f t="shared" si="17"/>
        <v>188491.94161960133</v>
      </c>
      <c r="I50" s="26">
        <f t="shared" si="17"/>
        <v>277821.58413262333</v>
      </c>
      <c r="J50" s="26">
        <f t="shared" si="17"/>
        <v>236009.34191387901</v>
      </c>
      <c r="K50" s="26">
        <f t="shared" si="17"/>
        <v>204916.65679669732</v>
      </c>
      <c r="L50" s="26">
        <f t="shared" si="17"/>
        <v>273335.9142555971</v>
      </c>
      <c r="M50" s="26">
        <f t="shared" si="17"/>
        <v>194921.97030263895</v>
      </c>
      <c r="N50" s="26">
        <f t="shared" si="17"/>
        <v>241552.47008891139</v>
      </c>
    </row>
    <row r="51" spans="2:14" x14ac:dyDescent="0.2">
      <c r="B51" s="58" t="s">
        <v>67</v>
      </c>
      <c r="C51" s="138">
        <v>5500000</v>
      </c>
      <c r="D51" s="138">
        <v>5458749.9999999991</v>
      </c>
      <c r="E51" s="138">
        <v>5417809.3749999991</v>
      </c>
      <c r="F51" s="26">
        <f>E51*$P$15*$P$16+((1-$P$16)*E51)</f>
        <v>5378304.514973958</v>
      </c>
      <c r="G51" s="26">
        <f>F51*$P$15*$P$16+((1-$P$16)*F51)</f>
        <v>5339087.7112189392</v>
      </c>
      <c r="H51" s="26">
        <f>G51*$P$15*$P$16+((1-$P$16)*G51)</f>
        <v>5300156.8633246347</v>
      </c>
      <c r="I51" s="26">
        <f>H51*$P$15*$P$16+((1-$P$16)*H51)</f>
        <v>5261509.886196225</v>
      </c>
      <c r="J51" s="26">
        <f>I51*$P$15*$P$16+((1-$P$16)*I51)</f>
        <v>5223144.7099427115</v>
      </c>
      <c r="K51" s="26">
        <f>J51*$P$15*$P$16+((1-$P$16)*J51)</f>
        <v>5185059.2797660455</v>
      </c>
      <c r="L51" s="26">
        <f>K51*$P$15*$P$16+((1-$P$16)*K51)</f>
        <v>5147251.5558510851</v>
      </c>
      <c r="M51" s="26">
        <f>L51*$P$15*$P$16+((1-$P$16)*L51)</f>
        <v>5109719.5132563375</v>
      </c>
      <c r="N51" s="26">
        <f>M51*$P$15*$P$16+((1-$P$16)*M51)</f>
        <v>5072461.1418055091</v>
      </c>
    </row>
    <row r="52" spans="2:14" x14ac:dyDescent="0.2">
      <c r="B52" s="67" t="s">
        <v>70</v>
      </c>
      <c r="C52" s="139">
        <v>2530000</v>
      </c>
      <c r="D52" s="139">
        <v>2511024.9999999995</v>
      </c>
      <c r="E52" s="139">
        <v>2492192.3124999995</v>
      </c>
      <c r="F52" s="68">
        <f>F$51*$P18</f>
        <v>2447128.5543131512</v>
      </c>
      <c r="G52" s="68">
        <f>G$51*$P18</f>
        <v>2429284.9086046172</v>
      </c>
      <c r="H52" s="68">
        <f>H$51*$P18</f>
        <v>2411571.3728127088</v>
      </c>
      <c r="I52" s="68">
        <f>I$51*$P18</f>
        <v>2393986.9982192824</v>
      </c>
      <c r="J52" s="68">
        <f>J$51*$P18</f>
        <v>2376530.8430239339</v>
      </c>
      <c r="K52" s="68">
        <f>K$51*$P18</f>
        <v>2359201.9722935506</v>
      </c>
      <c r="L52" s="68">
        <f>L$51*$P18</f>
        <v>2341999.4579122439</v>
      </c>
      <c r="M52" s="68">
        <f>M$51*$P18</f>
        <v>2324922.3785316334</v>
      </c>
      <c r="N52" s="68">
        <f>N$51*$P18</f>
        <v>2307969.8195215068</v>
      </c>
    </row>
    <row r="53" spans="2:14" x14ac:dyDescent="0.2">
      <c r="B53" s="67" t="s">
        <v>71</v>
      </c>
      <c r="C53" s="139">
        <v>2420000</v>
      </c>
      <c r="D53" s="139">
        <v>2401849.9999999995</v>
      </c>
      <c r="E53" s="139">
        <v>2383836.1249999995</v>
      </c>
      <c r="F53" s="68">
        <f>F$51*$P19</f>
        <v>2393345.5091634113</v>
      </c>
      <c r="G53" s="68">
        <f>G$51*$P19</f>
        <v>2375894.0314924279</v>
      </c>
      <c r="H53" s="68">
        <f>H$51*$P19</f>
        <v>2358569.8041794626</v>
      </c>
      <c r="I53" s="68">
        <f>I$51*$P19</f>
        <v>2341371.8993573203</v>
      </c>
      <c r="J53" s="68">
        <f>J$51*$P19</f>
        <v>2324299.3959245067</v>
      </c>
      <c r="K53" s="68">
        <f>K$51*$P19</f>
        <v>2307351.3794958903</v>
      </c>
      <c r="L53" s="68">
        <f>L$51*$P19</f>
        <v>2290526.9423537329</v>
      </c>
      <c r="M53" s="68">
        <f>M$51*$P19</f>
        <v>2273825.1833990701</v>
      </c>
      <c r="N53" s="68">
        <f>N$51*$P19</f>
        <v>2257245.2081034514</v>
      </c>
    </row>
    <row r="54" spans="2:14" x14ac:dyDescent="0.2">
      <c r="B54" s="67" t="s">
        <v>72</v>
      </c>
      <c r="C54" s="139">
        <v>385000.00000000006</v>
      </c>
      <c r="D54" s="139">
        <v>382112.5</v>
      </c>
      <c r="E54" s="139">
        <v>379246.65625</v>
      </c>
      <c r="F54" s="68">
        <f>F$51*$P20</f>
        <v>322698.27089843748</v>
      </c>
      <c r="G54" s="68">
        <f>G$51*$P20</f>
        <v>320345.26267313631</v>
      </c>
      <c r="H54" s="68">
        <f>H$51*$P20</f>
        <v>318009.41179947805</v>
      </c>
      <c r="I54" s="68">
        <f>I$51*$P20</f>
        <v>315690.59317177348</v>
      </c>
      <c r="J54" s="68">
        <f>J$51*$P20</f>
        <v>313388.68259656266</v>
      </c>
      <c r="K54" s="68">
        <f>K$51*$P20</f>
        <v>311103.55678596272</v>
      </c>
      <c r="L54" s="68">
        <f>L$51*$P20</f>
        <v>308835.09335106512</v>
      </c>
      <c r="M54" s="68">
        <f>M$51*$P20</f>
        <v>306583.17079538025</v>
      </c>
      <c r="N54" s="68">
        <f>N$51*$P20</f>
        <v>304347.66850833053</v>
      </c>
    </row>
    <row r="55" spans="2:14" x14ac:dyDescent="0.2">
      <c r="B55" s="67" t="s">
        <v>73</v>
      </c>
      <c r="C55" s="139">
        <v>165000</v>
      </c>
      <c r="D55" s="139">
        <v>163762.49999999997</v>
      </c>
      <c r="E55" s="139">
        <v>162534.28124999997</v>
      </c>
      <c r="F55" s="68">
        <f>F$51*$P21</f>
        <v>215132.18059895834</v>
      </c>
      <c r="G55" s="68">
        <f>G$51*$P21</f>
        <v>213563.50844875758</v>
      </c>
      <c r="H55" s="68">
        <f>H$51*$P21</f>
        <v>212006.27453298541</v>
      </c>
      <c r="I55" s="68">
        <f>I$51*$P21</f>
        <v>210460.395447849</v>
      </c>
      <c r="J55" s="68">
        <f>J$51*$P21</f>
        <v>208925.78839770847</v>
      </c>
      <c r="K55" s="68">
        <f>K$51*$P21</f>
        <v>207402.37119064183</v>
      </c>
      <c r="L55" s="68">
        <f>L$51*$P21</f>
        <v>205890.06223404341</v>
      </c>
      <c r="M55" s="68">
        <f>M$51*$P21</f>
        <v>204388.78053025351</v>
      </c>
      <c r="N55" s="68">
        <f>N$51*$P21</f>
        <v>202898.44567222038</v>
      </c>
    </row>
    <row r="56" spans="2:14" x14ac:dyDescent="0.2">
      <c r="B56" s="58" t="s">
        <v>68</v>
      </c>
      <c r="C56" s="138">
        <v>454500</v>
      </c>
      <c r="D56" s="138">
        <v>431775</v>
      </c>
      <c r="E56" s="138">
        <v>499950</v>
      </c>
      <c r="F56" s="26">
        <f t="shared" ref="D56:N56" si="18">SUM(F57:F58)</f>
        <v>490675</v>
      </c>
      <c r="G56" s="26">
        <f t="shared" si="18"/>
        <v>568150</v>
      </c>
      <c r="H56" s="26">
        <f t="shared" si="18"/>
        <v>516500</v>
      </c>
      <c r="I56" s="26">
        <f t="shared" si="18"/>
        <v>513000</v>
      </c>
      <c r="J56" s="26">
        <f t="shared" si="18"/>
        <v>619850</v>
      </c>
      <c r="K56" s="26">
        <f t="shared" si="18"/>
        <v>535325</v>
      </c>
      <c r="L56" s="26">
        <f t="shared" si="18"/>
        <v>612150</v>
      </c>
      <c r="M56" s="26">
        <f t="shared" si="18"/>
        <v>583000</v>
      </c>
      <c r="N56" s="26">
        <f t="shared" si="18"/>
        <v>606500</v>
      </c>
    </row>
    <row r="57" spans="2:14" x14ac:dyDescent="0.2">
      <c r="B57" s="67" t="s">
        <v>22</v>
      </c>
      <c r="C57" s="139">
        <v>360000</v>
      </c>
      <c r="D57" s="139">
        <v>342000</v>
      </c>
      <c r="E57" s="139">
        <v>396000</v>
      </c>
      <c r="F57" s="68">
        <f t="shared" ref="D57:N57" si="19">F41</f>
        <v>379525</v>
      </c>
      <c r="G57" s="68">
        <f t="shared" si="19"/>
        <v>439450</v>
      </c>
      <c r="H57" s="68">
        <f t="shared" si="19"/>
        <v>399500</v>
      </c>
      <c r="I57" s="68">
        <f t="shared" si="19"/>
        <v>401850</v>
      </c>
      <c r="J57" s="68">
        <f t="shared" si="19"/>
        <v>491150</v>
      </c>
      <c r="K57" s="68">
        <f t="shared" si="19"/>
        <v>424175</v>
      </c>
      <c r="L57" s="68">
        <f t="shared" si="19"/>
        <v>468825</v>
      </c>
      <c r="M57" s="68">
        <f t="shared" si="19"/>
        <v>446500</v>
      </c>
      <c r="N57" s="68">
        <f t="shared" si="19"/>
        <v>470000</v>
      </c>
    </row>
    <row r="58" spans="2:14" x14ac:dyDescent="0.2">
      <c r="B58" s="69" t="s">
        <v>23</v>
      </c>
      <c r="C58" s="140">
        <v>94500</v>
      </c>
      <c r="D58" s="140">
        <v>89775</v>
      </c>
      <c r="E58" s="140">
        <v>103950</v>
      </c>
      <c r="F58" s="70">
        <f t="shared" ref="D58:N58" si="20">F47</f>
        <v>111150</v>
      </c>
      <c r="G58" s="70">
        <f t="shared" si="20"/>
        <v>128700</v>
      </c>
      <c r="H58" s="70">
        <f t="shared" si="20"/>
        <v>117000</v>
      </c>
      <c r="I58" s="70">
        <f t="shared" si="20"/>
        <v>111150</v>
      </c>
      <c r="J58" s="70">
        <f t="shared" si="20"/>
        <v>128700</v>
      </c>
      <c r="K58" s="70">
        <f t="shared" si="20"/>
        <v>111150</v>
      </c>
      <c r="L58" s="70">
        <f t="shared" si="20"/>
        <v>143325</v>
      </c>
      <c r="M58" s="70">
        <f t="shared" si="20"/>
        <v>136500</v>
      </c>
      <c r="N58" s="70">
        <f t="shared" si="20"/>
        <v>136500</v>
      </c>
    </row>
    <row r="59" spans="2:14" x14ac:dyDescent="0.2">
      <c r="B59" s="23" t="s">
        <v>69</v>
      </c>
      <c r="C59" s="141">
        <v>5954500</v>
      </c>
      <c r="D59" s="141">
        <v>6043715.2330115959</v>
      </c>
      <c r="E59" s="141">
        <v>6086850.2065547556</v>
      </c>
      <c r="F59" s="28">
        <f t="shared" ref="D59:N59" si="21">F50+F51+F56</f>
        <v>6134231.3549429765</v>
      </c>
      <c r="G59" s="28">
        <f t="shared" si="21"/>
        <v>6070828.2154983953</v>
      </c>
      <c r="H59" s="28">
        <f t="shared" si="21"/>
        <v>6005148.8049442358</v>
      </c>
      <c r="I59" s="28">
        <f t="shared" si="21"/>
        <v>6052331.4703288479</v>
      </c>
      <c r="J59" s="28">
        <f t="shared" si="21"/>
        <v>6079004.0518565904</v>
      </c>
      <c r="K59" s="28">
        <f t="shared" si="21"/>
        <v>5925300.936562743</v>
      </c>
      <c r="L59" s="28">
        <f t="shared" si="21"/>
        <v>6032737.4701066818</v>
      </c>
      <c r="M59" s="28">
        <f t="shared" si="21"/>
        <v>5887641.4835589761</v>
      </c>
      <c r="N59" s="28">
        <f t="shared" si="21"/>
        <v>5920513.6118944203</v>
      </c>
    </row>
    <row r="60" spans="2:14" x14ac:dyDescent="0.2">
      <c r="B60" s="58"/>
      <c r="C60" s="137"/>
      <c r="D60" s="137"/>
      <c r="E60" s="137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137"/>
      <c r="D61" s="137"/>
      <c r="E61" s="137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138">
        <v>357270</v>
      </c>
      <c r="D62" s="138">
        <v>362622.91398069577</v>
      </c>
      <c r="E62" s="138">
        <v>365211.01239328535</v>
      </c>
      <c r="F62" s="26">
        <f>F$59*$P23</f>
        <v>337382.72452186368</v>
      </c>
      <c r="G62" s="26">
        <f>G$59*$P23</f>
        <v>333895.55185241177</v>
      </c>
      <c r="H62" s="26">
        <f>H$59*$P23</f>
        <v>330283.18427193299</v>
      </c>
      <c r="I62" s="26">
        <f>I$59*$P23</f>
        <v>332878.23086808663</v>
      </c>
      <c r="J62" s="26">
        <f>J$59*$P23</f>
        <v>334345.22285211249</v>
      </c>
      <c r="K62" s="26">
        <f>K$59*$P23</f>
        <v>325891.55151095084</v>
      </c>
      <c r="L62" s="26">
        <f>L$59*$P23</f>
        <v>331800.56085586752</v>
      </c>
      <c r="M62" s="26">
        <f>M$59*$P23</f>
        <v>323820.28159574367</v>
      </c>
      <c r="N62" s="26">
        <f>N$59*$P23</f>
        <v>325628.24865419313</v>
      </c>
    </row>
    <row r="63" spans="2:14" x14ac:dyDescent="0.2">
      <c r="B63" s="64" t="s">
        <v>45</v>
      </c>
      <c r="C63" s="138">
        <v>238180</v>
      </c>
      <c r="D63" s="138">
        <v>241748.60932046385</v>
      </c>
      <c r="E63" s="138">
        <v>243474.00826219024</v>
      </c>
      <c r="F63" s="26">
        <f>F$59*$P24</f>
        <v>245369.25419771907</v>
      </c>
      <c r="G63" s="26">
        <f>G$59*$P24</f>
        <v>242833.12861993583</v>
      </c>
      <c r="H63" s="26">
        <f>H$59*$P24</f>
        <v>240205.95219776942</v>
      </c>
      <c r="I63" s="26">
        <f>I$59*$P24</f>
        <v>242093.25881315392</v>
      </c>
      <c r="J63" s="26">
        <f>J$59*$P24</f>
        <v>243160.16207426362</v>
      </c>
      <c r="K63" s="26">
        <f>K$59*$P24</f>
        <v>237012.03746250973</v>
      </c>
      <c r="L63" s="26">
        <f>L$59*$P24</f>
        <v>241309.49880426726</v>
      </c>
      <c r="M63" s="26">
        <f>M$59*$P24</f>
        <v>235505.65934235905</v>
      </c>
      <c r="N63" s="26">
        <f>N$59*$P24</f>
        <v>236820.54447577681</v>
      </c>
    </row>
    <row r="64" spans="2:14" x14ac:dyDescent="0.2">
      <c r="B64" s="64" t="s">
        <v>74</v>
      </c>
      <c r="C64" s="138">
        <v>244134.5</v>
      </c>
      <c r="D64" s="138">
        <v>247792.32455347545</v>
      </c>
      <c r="E64" s="138">
        <v>249560.85846874499</v>
      </c>
      <c r="F64" s="26">
        <f>F$59*$P25</f>
        <v>245369.25419771907</v>
      </c>
      <c r="G64" s="26">
        <f>G$59*$P25</f>
        <v>242833.12861993583</v>
      </c>
      <c r="H64" s="26">
        <f>H$59*$P25</f>
        <v>240205.95219776942</v>
      </c>
      <c r="I64" s="26">
        <f>I$59*$P25</f>
        <v>242093.25881315392</v>
      </c>
      <c r="J64" s="26">
        <f>J$59*$P25</f>
        <v>243160.16207426362</v>
      </c>
      <c r="K64" s="26">
        <f>K$59*$P25</f>
        <v>237012.03746250973</v>
      </c>
      <c r="L64" s="26">
        <f>L$59*$P25</f>
        <v>241309.49880426726</v>
      </c>
      <c r="M64" s="26">
        <f>M$59*$P25</f>
        <v>235505.65934235905</v>
      </c>
      <c r="N64" s="26">
        <f>N$59*$P25</f>
        <v>236820.54447577681</v>
      </c>
    </row>
    <row r="65" spans="2:14" x14ac:dyDescent="0.2">
      <c r="B65" s="65" t="s">
        <v>75</v>
      </c>
      <c r="C65" s="142">
        <v>267952.5</v>
      </c>
      <c r="D65" s="142">
        <v>271967.1854855218</v>
      </c>
      <c r="E65" s="142">
        <v>273908.25929496397</v>
      </c>
      <c r="F65" s="32">
        <f>F$59*$P26</f>
        <v>251503.48555266205</v>
      </c>
      <c r="G65" s="32">
        <f>G$59*$P26</f>
        <v>248903.95683543422</v>
      </c>
      <c r="H65" s="32">
        <f>H$59*$P26</f>
        <v>246211.10100271367</v>
      </c>
      <c r="I65" s="32">
        <f>I$59*$P26</f>
        <v>248145.59028348277</v>
      </c>
      <c r="J65" s="32">
        <f>J$59*$P26</f>
        <v>249239.16612612022</v>
      </c>
      <c r="K65" s="32">
        <f>K$59*$P26</f>
        <v>242937.33839907247</v>
      </c>
      <c r="L65" s="32">
        <f>L$59*$P26</f>
        <v>247342.23627437395</v>
      </c>
      <c r="M65" s="32">
        <f>M$59*$P26</f>
        <v>241393.30082591804</v>
      </c>
      <c r="N65" s="32">
        <f>N$59*$P26</f>
        <v>242741.05808767123</v>
      </c>
    </row>
    <row r="66" spans="2:14" x14ac:dyDescent="0.2">
      <c r="B66" s="23" t="s">
        <v>46</v>
      </c>
      <c r="C66" s="143">
        <v>1107537</v>
      </c>
      <c r="D66" s="143">
        <v>1124131.033340157</v>
      </c>
      <c r="E66" s="143">
        <v>1132154.1384191846</v>
      </c>
      <c r="F66" s="42">
        <f>SUM(F62:F65)</f>
        <v>1079624.7184699639</v>
      </c>
      <c r="G66" s="42">
        <f>SUM(G62:G65)</f>
        <v>1068465.7659277178</v>
      </c>
      <c r="H66" s="42">
        <f>SUM(H62:H65)</f>
        <v>1056906.1896701856</v>
      </c>
      <c r="I66" s="42">
        <f>SUM(I62:I65)</f>
        <v>1065210.3387778772</v>
      </c>
      <c r="J66" s="42">
        <f>SUM(J62:J65)</f>
        <v>1069904.71312676</v>
      </c>
      <c r="K66" s="42">
        <f>SUM(K62:K65)</f>
        <v>1042852.9648350428</v>
      </c>
      <c r="L66" s="42">
        <f>SUM(L62:L65)</f>
        <v>1061761.7947387761</v>
      </c>
      <c r="M66" s="42">
        <f>SUM(M62:M65)</f>
        <v>1036224.9011063799</v>
      </c>
      <c r="N66" s="42">
        <f>SUM(N62:N65)</f>
        <v>1042010.3956934181</v>
      </c>
    </row>
    <row r="67" spans="2:14" x14ac:dyDescent="0.2">
      <c r="B67" s="58"/>
      <c r="C67" s="137"/>
      <c r="D67" s="137"/>
      <c r="E67" s="137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138">
        <v>45360</v>
      </c>
      <c r="D68" s="138">
        <v>43200</v>
      </c>
      <c r="E68" s="138">
        <v>49680</v>
      </c>
      <c r="F68" s="26">
        <f>(F34*F36)*(F37*$P$5)</f>
        <v>47940</v>
      </c>
      <c r="G68" s="26">
        <f>(G34*G36)*(G37*$P$5)</f>
        <v>55131</v>
      </c>
      <c r="H68" s="26">
        <f>(H34*H36)*(H37*$P$5)</f>
        <v>50337</v>
      </c>
      <c r="I68" s="26">
        <f>(I34*I36)*(I37*$P$5)</f>
        <v>50760</v>
      </c>
      <c r="J68" s="26">
        <f>(J34*J36)*(J37*$P$5)</f>
        <v>61617</v>
      </c>
      <c r="K68" s="26">
        <f>(K34*K36)*(K37*$P$5)</f>
        <v>53580</v>
      </c>
      <c r="L68" s="26">
        <f>(L34*L36)*(L37*$P$5)</f>
        <v>58938</v>
      </c>
      <c r="M68" s="26">
        <f>(M34*M36)*(M37*$P$5)</f>
        <v>56259</v>
      </c>
      <c r="N68" s="26">
        <f>(N34*N36)*(N37*$P$5)</f>
        <v>59220</v>
      </c>
    </row>
    <row r="69" spans="2:14" x14ac:dyDescent="0.2">
      <c r="B69" s="64" t="s">
        <v>77</v>
      </c>
      <c r="C69" s="138">
        <v>34398</v>
      </c>
      <c r="D69" s="138">
        <v>32760.000000000004</v>
      </c>
      <c r="E69" s="138">
        <v>37674</v>
      </c>
      <c r="F69" s="26">
        <f>(F34*F43)*(F44*$P$6)</f>
        <v>40560</v>
      </c>
      <c r="G69" s="26">
        <f>(G34*G43)*(G44*$P$6)</f>
        <v>46644</v>
      </c>
      <c r="H69" s="26">
        <f>(H34*H43)*(H44*$P$6)</f>
        <v>42588</v>
      </c>
      <c r="I69" s="26">
        <f>(I34*I43)*(I44*$P$6)</f>
        <v>40560</v>
      </c>
      <c r="J69" s="26">
        <f>(J34*J43)*(J44*$P$6)</f>
        <v>46644</v>
      </c>
      <c r="K69" s="26">
        <f>(K34*K43)*(K44*$P$6)</f>
        <v>40560</v>
      </c>
      <c r="L69" s="26">
        <f>(L34*L43)*(L44*$P$6)</f>
        <v>52052</v>
      </c>
      <c r="M69" s="26">
        <f>(M34*M43)*(M44*$P$6)</f>
        <v>49686</v>
      </c>
      <c r="N69" s="26">
        <f>(N34*N43)*(N44*$P$6)</f>
        <v>49686</v>
      </c>
    </row>
    <row r="70" spans="2:14" x14ac:dyDescent="0.2">
      <c r="B70" s="65" t="s">
        <v>27</v>
      </c>
      <c r="C70" s="142">
        <v>18382.827961391591</v>
      </c>
      <c r="D70" s="142">
        <v>20290.899786570801</v>
      </c>
      <c r="E70" s="142">
        <v>31830.220796282229</v>
      </c>
      <c r="F70" s="32">
        <f>$P$7*F12</f>
        <v>19630.860513534702</v>
      </c>
      <c r="G70" s="32">
        <f>$P$7*G12</f>
        <v>22619.032994352161</v>
      </c>
      <c r="H70" s="32">
        <f>$P$7*H12</f>
        <v>33338.590095914798</v>
      </c>
      <c r="I70" s="32">
        <f>$P$7*I12</f>
        <v>28321.121029665479</v>
      </c>
      <c r="J70" s="32">
        <f>$P$7*J12</f>
        <v>24589.998815603682</v>
      </c>
      <c r="K70" s="32">
        <f>$P$7*K12</f>
        <v>32800.309710671652</v>
      </c>
      <c r="L70" s="32">
        <f>$P$7*L12</f>
        <v>23390.636436316676</v>
      </c>
      <c r="M70" s="32">
        <f>$P$7*M12</f>
        <v>28986.296410669369</v>
      </c>
      <c r="N70" s="32">
        <f>$P$7*N12</f>
        <v>31036.059930901341</v>
      </c>
    </row>
    <row r="71" spans="2:14" x14ac:dyDescent="0.2">
      <c r="B71" s="23" t="s">
        <v>24</v>
      </c>
      <c r="C71" s="143">
        <v>98140.827961391595</v>
      </c>
      <c r="D71" s="143">
        <v>96250.899786570808</v>
      </c>
      <c r="E71" s="143">
        <v>119184.22079628223</v>
      </c>
      <c r="F71" s="42">
        <f t="shared" ref="F71" si="22">SUM(F68:F70)</f>
        <v>108130.8605135347</v>
      </c>
      <c r="G71" s="42">
        <f t="shared" ref="G71" si="23">SUM(G68:G70)</f>
        <v>124394.03299435216</v>
      </c>
      <c r="H71" s="42">
        <f t="shared" ref="H71" si="24">SUM(H68:H70)</f>
        <v>126263.5900959148</v>
      </c>
      <c r="I71" s="42">
        <f t="shared" ref="I71" si="25">SUM(I68:I70)</f>
        <v>119641.12102966548</v>
      </c>
      <c r="J71" s="42">
        <f t="shared" ref="J71" si="26">SUM(J68:J70)</f>
        <v>132850.99881560367</v>
      </c>
      <c r="K71" s="42">
        <f t="shared" ref="K71" si="27">SUM(K68:K70)</f>
        <v>126940.30971067166</v>
      </c>
      <c r="L71" s="42">
        <f t="shared" ref="L71" si="28">SUM(L68:L70)</f>
        <v>134380.63643631668</v>
      </c>
      <c r="M71" s="42">
        <f t="shared" ref="M71" si="29">SUM(M68:M70)</f>
        <v>134931.29641066937</v>
      </c>
      <c r="N71" s="42">
        <f t="shared" ref="N71" si="30">SUM(N68:N70)</f>
        <v>139942.05993090133</v>
      </c>
    </row>
    <row r="72" spans="2:14" x14ac:dyDescent="0.2">
      <c r="B72" s="23"/>
      <c r="C72" s="137"/>
      <c r="D72" s="137"/>
      <c r="E72" s="137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143">
        <v>4748822.1720386082</v>
      </c>
      <c r="D73" s="143">
        <v>4823333.2998848679</v>
      </c>
      <c r="E73" s="143">
        <v>4835511.8473392883</v>
      </c>
      <c r="F73" s="42">
        <f t="shared" ref="D73:N73" si="31">F59-F66-F71</f>
        <v>4946475.7759594787</v>
      </c>
      <c r="G73" s="42">
        <f t="shared" si="31"/>
        <v>4877968.416576325</v>
      </c>
      <c r="H73" s="42">
        <f t="shared" si="31"/>
        <v>4821979.0251781354</v>
      </c>
      <c r="I73" s="42">
        <f t="shared" si="31"/>
        <v>4867480.0105213048</v>
      </c>
      <c r="J73" s="42">
        <f t="shared" si="31"/>
        <v>4876248.3399142269</v>
      </c>
      <c r="K73" s="42">
        <f t="shared" si="31"/>
        <v>4755507.6620170288</v>
      </c>
      <c r="L73" s="42">
        <f t="shared" si="31"/>
        <v>4836595.0389315886</v>
      </c>
      <c r="M73" s="42">
        <f t="shared" si="31"/>
        <v>4716485.2860419266</v>
      </c>
      <c r="N73" s="42">
        <f t="shared" si="31"/>
        <v>4738561.1562701007</v>
      </c>
    </row>
    <row r="74" spans="2:14" x14ac:dyDescent="0.2">
      <c r="B74" s="23" t="s">
        <v>29</v>
      </c>
      <c r="C74" s="144">
        <v>0.79751820842028853</v>
      </c>
      <c r="D74" s="144">
        <v>0.79807421659100752</v>
      </c>
      <c r="E74" s="144">
        <v>0.7944193931587249</v>
      </c>
      <c r="F74" s="71">
        <f t="shared" ref="D74:N74" si="32">F73/F59</f>
        <v>0.80637254934533864</v>
      </c>
      <c r="G74" s="71">
        <f t="shared" si="32"/>
        <v>0.80350954489590343</v>
      </c>
      <c r="H74" s="71">
        <f t="shared" si="32"/>
        <v>0.80297411135058672</v>
      </c>
      <c r="I74" s="71">
        <f t="shared" si="32"/>
        <v>0.8042322259419864</v>
      </c>
      <c r="J74" s="71">
        <f t="shared" si="32"/>
        <v>0.80214592691790865</v>
      </c>
      <c r="K74" s="71">
        <f t="shared" si="32"/>
        <v>0.80257656327168603</v>
      </c>
      <c r="L74" s="71">
        <f t="shared" si="32"/>
        <v>0.80172476639300183</v>
      </c>
      <c r="M74" s="71">
        <f t="shared" si="32"/>
        <v>0.80108228383343982</v>
      </c>
      <c r="N74" s="71">
        <f t="shared" si="32"/>
        <v>0.80036318922571925</v>
      </c>
    </row>
    <row r="75" spans="2:14" x14ac:dyDescent="0.2">
      <c r="B75" s="24"/>
      <c r="C75" s="145"/>
      <c r="D75" s="137"/>
      <c r="E75" s="137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137"/>
      <c r="D76" s="137"/>
      <c r="E76" s="137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80">
        <v>997378.75000000012</v>
      </c>
      <c r="D77" s="80">
        <v>1012322.3015294424</v>
      </c>
      <c r="E77" s="80">
        <v>1019547.4095979217</v>
      </c>
      <c r="F77" s="33">
        <f>F$59*$P28</f>
        <v>1042819.330340306</v>
      </c>
      <c r="G77" s="33">
        <f>G$59*$P28</f>
        <v>1032040.7966347273</v>
      </c>
      <c r="H77" s="33">
        <f>H$59*$P28</f>
        <v>1020875.2968405201</v>
      </c>
      <c r="I77" s="33">
        <f>I$59*$P28</f>
        <v>1028896.3499559042</v>
      </c>
      <c r="J77" s="33">
        <f>J$59*$P28</f>
        <v>1033430.6888156205</v>
      </c>
      <c r="K77" s="33">
        <f>K$59*$P28</f>
        <v>1007301.1592156664</v>
      </c>
      <c r="L77" s="33">
        <f>L$59*$P28</f>
        <v>1025565.3699181359</v>
      </c>
      <c r="M77" s="33">
        <f>M$59*$P28</f>
        <v>1000899.052205026</v>
      </c>
      <c r="N77" s="33">
        <f>N$59*$P28</f>
        <v>1006487.3140220515</v>
      </c>
    </row>
    <row r="78" spans="2:14" x14ac:dyDescent="0.2">
      <c r="B78" s="29" t="s">
        <v>48</v>
      </c>
      <c r="C78" s="80">
        <v>595450</v>
      </c>
      <c r="D78" s="80">
        <v>604371.52330115961</v>
      </c>
      <c r="E78" s="80">
        <v>608685.02065547556</v>
      </c>
      <c r="F78" s="33">
        <f>F$59*$P29</f>
        <v>521409.66517015302</v>
      </c>
      <c r="G78" s="33">
        <f>G$59*$P29</f>
        <v>516020.39831736364</v>
      </c>
      <c r="H78" s="33">
        <f>H$59*$P29</f>
        <v>510437.64842026005</v>
      </c>
      <c r="I78" s="33">
        <f>I$59*$P29</f>
        <v>514448.17497795209</v>
      </c>
      <c r="J78" s="33">
        <f>J$59*$P29</f>
        <v>516715.34440781025</v>
      </c>
      <c r="K78" s="33">
        <f>K$59*$P29</f>
        <v>503650.57960783318</v>
      </c>
      <c r="L78" s="33">
        <f>L$59*$P29</f>
        <v>512782.68495906796</v>
      </c>
      <c r="M78" s="33">
        <f>M$59*$P29</f>
        <v>500449.52610251302</v>
      </c>
      <c r="N78" s="33">
        <f>N$59*$P29</f>
        <v>503243.65701102576</v>
      </c>
    </row>
    <row r="79" spans="2:14" x14ac:dyDescent="0.2">
      <c r="B79" s="29" t="s">
        <v>49</v>
      </c>
      <c r="C79" s="80">
        <v>476360</v>
      </c>
      <c r="D79" s="80">
        <v>483497.21864092769</v>
      </c>
      <c r="E79" s="80">
        <v>486948.01652438048</v>
      </c>
      <c r="F79" s="33">
        <f>F$59*$P30</f>
        <v>245369.25419771907</v>
      </c>
      <c r="G79" s="33">
        <f>G$59*$P30</f>
        <v>242833.12861993583</v>
      </c>
      <c r="H79" s="33">
        <f>H$59*$P30</f>
        <v>240205.95219776942</v>
      </c>
      <c r="I79" s="33">
        <f>I$59*$P30</f>
        <v>242093.25881315392</v>
      </c>
      <c r="J79" s="33">
        <f>J$59*$P30</f>
        <v>243160.16207426362</v>
      </c>
      <c r="K79" s="33">
        <f>K$59*$P30</f>
        <v>237012.03746250973</v>
      </c>
      <c r="L79" s="33">
        <f>L$59*$P30</f>
        <v>241309.49880426726</v>
      </c>
      <c r="M79" s="33">
        <f>M$59*$P30</f>
        <v>235505.65934235905</v>
      </c>
      <c r="N79" s="33">
        <f>N$59*$P30</f>
        <v>236820.54447577681</v>
      </c>
    </row>
    <row r="80" spans="2:14" x14ac:dyDescent="0.2">
      <c r="B80" s="30" t="s">
        <v>50</v>
      </c>
      <c r="C80" s="142">
        <v>89317.5</v>
      </c>
      <c r="D80" s="142">
        <v>90655.728495173942</v>
      </c>
      <c r="E80" s="142">
        <v>91302.753098321336</v>
      </c>
      <c r="F80" s="32">
        <f>F$59*$P31</f>
        <v>184026.94064828928</v>
      </c>
      <c r="G80" s="32">
        <f>G$59*$P31</f>
        <v>182124.84646495184</v>
      </c>
      <c r="H80" s="32">
        <f>H$59*$P31</f>
        <v>180154.46414832707</v>
      </c>
      <c r="I80" s="32">
        <f>I$59*$P31</f>
        <v>181569.94410986544</v>
      </c>
      <c r="J80" s="32">
        <f>J$59*$P31</f>
        <v>182370.1215556977</v>
      </c>
      <c r="K80" s="32">
        <f>K$59*$P31</f>
        <v>177759.02809688228</v>
      </c>
      <c r="L80" s="32">
        <f>L$59*$P31</f>
        <v>180982.12410320045</v>
      </c>
      <c r="M80" s="32">
        <f>M$59*$P31</f>
        <v>176629.24450676929</v>
      </c>
      <c r="N80" s="32">
        <f>N$59*$P31</f>
        <v>177615.4083568326</v>
      </c>
    </row>
    <row r="81" spans="2:21" x14ac:dyDescent="0.2">
      <c r="B81" s="23" t="s">
        <v>51</v>
      </c>
      <c r="C81" s="82">
        <v>2158506.25</v>
      </c>
      <c r="D81" s="82">
        <v>2190846.7719667037</v>
      </c>
      <c r="E81" s="82">
        <v>2206483.1998760989</v>
      </c>
      <c r="F81" s="54">
        <f t="shared" ref="D81:N81" si="33">SUM(F77:F80)</f>
        <v>1993625.1903564674</v>
      </c>
      <c r="G81" s="54">
        <f t="shared" si="33"/>
        <v>1973019.1700369786</v>
      </c>
      <c r="H81" s="54">
        <f t="shared" si="33"/>
        <v>1951673.3616068766</v>
      </c>
      <c r="I81" s="54">
        <f t="shared" si="33"/>
        <v>1967007.7278568756</v>
      </c>
      <c r="J81" s="54">
        <f t="shared" si="33"/>
        <v>1975676.3168533919</v>
      </c>
      <c r="K81" s="54">
        <f t="shared" si="33"/>
        <v>1925722.8043828914</v>
      </c>
      <c r="L81" s="54">
        <f t="shared" si="33"/>
        <v>1960639.6777846715</v>
      </c>
      <c r="M81" s="54">
        <f t="shared" si="33"/>
        <v>1913483.4821566674</v>
      </c>
      <c r="N81" s="54">
        <f t="shared" si="33"/>
        <v>1924166.9238656866</v>
      </c>
    </row>
    <row r="82" spans="2:21" x14ac:dyDescent="0.2">
      <c r="B82" s="24"/>
      <c r="C82" s="80"/>
      <c r="D82" s="80"/>
      <c r="E82" s="80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80">
        <v>893.17499999999995</v>
      </c>
      <c r="D83" s="80">
        <v>906.55728495173935</v>
      </c>
      <c r="E83" s="80">
        <v>913.0275309832133</v>
      </c>
      <c r="F83" s="33">
        <f>F$59*$P33</f>
        <v>920.13470324144635</v>
      </c>
      <c r="G83" s="33">
        <f>G$59*$P33</f>
        <v>910.62423232475919</v>
      </c>
      <c r="H83" s="33">
        <f>H$59*$P33</f>
        <v>900.77232074163533</v>
      </c>
      <c r="I83" s="33">
        <f>I$59*$P33</f>
        <v>907.84972054932712</v>
      </c>
      <c r="J83" s="33">
        <f>J$59*$P33</f>
        <v>911.85060777848844</v>
      </c>
      <c r="K83" s="33">
        <f>K$59*$P33</f>
        <v>888.79514048441138</v>
      </c>
      <c r="L83" s="33">
        <f>L$59*$P33</f>
        <v>904.91062051600215</v>
      </c>
      <c r="M83" s="33">
        <f>M$59*$P33</f>
        <v>883.1462225338463</v>
      </c>
      <c r="N83" s="33">
        <f>N$59*$P33</f>
        <v>888.07704178416293</v>
      </c>
      <c r="U83"/>
    </row>
    <row r="84" spans="2:21" x14ac:dyDescent="0.2">
      <c r="B84" s="53" t="s">
        <v>53</v>
      </c>
      <c r="C84" s="80">
        <v>1012.2650000000001</v>
      </c>
      <c r="D84" s="80">
        <v>1027.4315896119713</v>
      </c>
      <c r="E84" s="80">
        <v>1034.7645351143085</v>
      </c>
      <c r="F84" s="33">
        <f>F$59*$P34</f>
        <v>1042.8193303403061</v>
      </c>
      <c r="G84" s="33">
        <f>G$59*$P34</f>
        <v>1032.0407966347273</v>
      </c>
      <c r="H84" s="33">
        <f>H$59*$P34</f>
        <v>1020.8752968405201</v>
      </c>
      <c r="I84" s="33">
        <f>I$59*$P34</f>
        <v>1028.8963499559043</v>
      </c>
      <c r="J84" s="33">
        <f>J$59*$P34</f>
        <v>1033.4306888156204</v>
      </c>
      <c r="K84" s="33">
        <f>K$59*$P34</f>
        <v>1007.3011592156664</v>
      </c>
      <c r="L84" s="33">
        <f>L$59*$P34</f>
        <v>1025.565369918136</v>
      </c>
      <c r="M84" s="33">
        <f>M$59*$P34</f>
        <v>1000.899052205026</v>
      </c>
      <c r="N84" s="33">
        <f>N$59*$P34</f>
        <v>1006.4873140220516</v>
      </c>
      <c r="U84"/>
    </row>
    <row r="85" spans="2:21" x14ac:dyDescent="0.2">
      <c r="B85" s="53" t="s">
        <v>54</v>
      </c>
      <c r="C85" s="80">
        <v>297.72500000000002</v>
      </c>
      <c r="D85" s="80">
        <v>302.18576165057982</v>
      </c>
      <c r="E85" s="80">
        <v>304.34251032773778</v>
      </c>
      <c r="F85" s="33">
        <f>F$59*$P35</f>
        <v>306.71156774714882</v>
      </c>
      <c r="G85" s="33">
        <f>G$59*$P35</f>
        <v>303.54141077491977</v>
      </c>
      <c r="H85" s="33">
        <f>H$59*$P35</f>
        <v>300.25744024721183</v>
      </c>
      <c r="I85" s="33">
        <f>I$59*$P35</f>
        <v>302.61657351644243</v>
      </c>
      <c r="J85" s="33">
        <f>J$59*$P35</f>
        <v>303.95020259282956</v>
      </c>
      <c r="K85" s="33">
        <f>K$59*$P35</f>
        <v>296.26504682813714</v>
      </c>
      <c r="L85" s="33">
        <f>L$59*$P35</f>
        <v>301.63687350533411</v>
      </c>
      <c r="M85" s="33">
        <f>M$59*$P35</f>
        <v>294.38207417794882</v>
      </c>
      <c r="N85" s="33">
        <f>N$59*$P35</f>
        <v>296.02568059472105</v>
      </c>
      <c r="U85"/>
    </row>
    <row r="86" spans="2:21" x14ac:dyDescent="0.2">
      <c r="B86" s="53" t="s">
        <v>55</v>
      </c>
      <c r="C86" s="80">
        <v>14886.25</v>
      </c>
      <c r="D86" s="80">
        <v>15109.28808252899</v>
      </c>
      <c r="E86" s="80">
        <v>15217.12551638689</v>
      </c>
      <c r="F86" s="33">
        <f>F$59*$P36</f>
        <v>15335.578387357442</v>
      </c>
      <c r="G86" s="33">
        <f>G$59*$P36</f>
        <v>15177.070538745989</v>
      </c>
      <c r="H86" s="33">
        <f>H$59*$P36</f>
        <v>15012.872012360589</v>
      </c>
      <c r="I86" s="33">
        <f>I$59*$P36</f>
        <v>15130.82867582212</v>
      </c>
      <c r="J86" s="33">
        <f>J$59*$P36</f>
        <v>15197.510129641476</v>
      </c>
      <c r="K86" s="33">
        <f>K$59*$P36</f>
        <v>14813.252341406858</v>
      </c>
      <c r="L86" s="33">
        <f>L$59*$P36</f>
        <v>15081.843675266704</v>
      </c>
      <c r="M86" s="33">
        <f>M$59*$P36</f>
        <v>14719.103708897441</v>
      </c>
      <c r="N86" s="33">
        <f>N$59*$P36</f>
        <v>14801.284029736051</v>
      </c>
      <c r="U86"/>
    </row>
    <row r="87" spans="2:21" x14ac:dyDescent="0.2">
      <c r="B87" s="53" t="s">
        <v>56</v>
      </c>
      <c r="C87" s="80">
        <v>20840.75</v>
      </c>
      <c r="D87" s="80">
        <v>21153.003315540587</v>
      </c>
      <c r="E87" s="80">
        <v>21303.975722941646</v>
      </c>
      <c r="F87" s="33">
        <f>F$59*$P37</f>
        <v>21469.809742300418</v>
      </c>
      <c r="G87" s="33">
        <f>G$59*$P37</f>
        <v>21247.898754244383</v>
      </c>
      <c r="H87" s="33">
        <f>H$59*$P37</f>
        <v>21018.020817304827</v>
      </c>
      <c r="I87" s="33">
        <f>I$59*$P37</f>
        <v>21183.160146150967</v>
      </c>
      <c r="J87" s="33">
        <f>J$59*$P37</f>
        <v>21276.514181498067</v>
      </c>
      <c r="K87" s="33">
        <f>K$59*$P37</f>
        <v>20738.5532779696</v>
      </c>
      <c r="L87" s="33">
        <f>L$59*$P37</f>
        <v>21114.581145373388</v>
      </c>
      <c r="M87" s="33">
        <f>M$59*$P37</f>
        <v>20606.745192456416</v>
      </c>
      <c r="N87" s="33">
        <f>N$59*$P37</f>
        <v>20721.79764163047</v>
      </c>
      <c r="U87"/>
    </row>
    <row r="88" spans="2:21" x14ac:dyDescent="0.2">
      <c r="B88" s="53" t="s">
        <v>57</v>
      </c>
      <c r="C88" s="80">
        <v>2977.25</v>
      </c>
      <c r="D88" s="80">
        <v>3021.857616505798</v>
      </c>
      <c r="E88" s="80">
        <v>3043.4251032773777</v>
      </c>
      <c r="F88" s="33">
        <f>F$59*$P38</f>
        <v>3067.1156774714882</v>
      </c>
      <c r="G88" s="33">
        <f>G$59*$P38</f>
        <v>3035.4141077491977</v>
      </c>
      <c r="H88" s="33">
        <f>H$59*$P38</f>
        <v>3002.574402472118</v>
      </c>
      <c r="I88" s="33">
        <f>I$59*$P38</f>
        <v>3026.1657351644239</v>
      </c>
      <c r="J88" s="33">
        <f>J$59*$P38</f>
        <v>3039.5020259282951</v>
      </c>
      <c r="K88" s="33">
        <f>K$59*$P38</f>
        <v>2962.6504682813716</v>
      </c>
      <c r="L88" s="33">
        <f>L$59*$P38</f>
        <v>3016.368735053341</v>
      </c>
      <c r="M88" s="33">
        <f>M$59*$P38</f>
        <v>2943.8207417794879</v>
      </c>
      <c r="N88" s="33">
        <f>N$59*$P38</f>
        <v>2960.2568059472101</v>
      </c>
      <c r="U88"/>
    </row>
    <row r="89" spans="2:21" x14ac:dyDescent="0.2">
      <c r="B89" s="53" t="s">
        <v>58</v>
      </c>
      <c r="C89" s="80">
        <v>38704.25</v>
      </c>
      <c r="D89" s="80">
        <v>39284.149014575371</v>
      </c>
      <c r="E89" s="80">
        <v>39564.52634260591</v>
      </c>
      <c r="F89" s="33">
        <f>F$59*$P39</f>
        <v>39872.503807129346</v>
      </c>
      <c r="G89" s="33">
        <f>G$59*$P39</f>
        <v>39460.383400739571</v>
      </c>
      <c r="H89" s="33">
        <f>H$59*$P39</f>
        <v>39033.467232137533</v>
      </c>
      <c r="I89" s="33">
        <f>I$59*$P39</f>
        <v>39340.15455713751</v>
      </c>
      <c r="J89" s="33">
        <f>J$59*$P39</f>
        <v>39513.526337067837</v>
      </c>
      <c r="K89" s="33">
        <f>K$59*$P39</f>
        <v>38514.456087657825</v>
      </c>
      <c r="L89" s="33">
        <f>L$59*$P39</f>
        <v>39212.793555693432</v>
      </c>
      <c r="M89" s="33">
        <f>M$59*$P39</f>
        <v>38269.66964313334</v>
      </c>
      <c r="N89" s="33">
        <f>N$59*$P39</f>
        <v>38483.33847731373</v>
      </c>
      <c r="U89"/>
    </row>
    <row r="90" spans="2:21" x14ac:dyDescent="0.2">
      <c r="B90" s="53" t="s">
        <v>59</v>
      </c>
      <c r="C90" s="80">
        <v>44658.75</v>
      </c>
      <c r="D90" s="80">
        <v>45327.864247586971</v>
      </c>
      <c r="E90" s="80">
        <v>45651.376549160668</v>
      </c>
      <c r="F90" s="33">
        <f>F$59*$P40</f>
        <v>46006.73516207232</v>
      </c>
      <c r="G90" s="33">
        <f>G$59*$P40</f>
        <v>45531.211616237961</v>
      </c>
      <c r="H90" s="33">
        <f>H$59*$P40</f>
        <v>45038.616037081767</v>
      </c>
      <c r="I90" s="33">
        <f>I$59*$P40</f>
        <v>45392.486027466359</v>
      </c>
      <c r="J90" s="33">
        <f>J$59*$P40</f>
        <v>45592.530388924424</v>
      </c>
      <c r="K90" s="33">
        <f>K$59*$P40</f>
        <v>44439.757024220569</v>
      </c>
      <c r="L90" s="33">
        <f>L$59*$P40</f>
        <v>45245.531025800112</v>
      </c>
      <c r="M90" s="33">
        <f>M$59*$P40</f>
        <v>44157.311126692322</v>
      </c>
      <c r="N90" s="33">
        <f>N$59*$P40</f>
        <v>44403.852089208151</v>
      </c>
      <c r="U90"/>
    </row>
    <row r="91" spans="2:21" x14ac:dyDescent="0.2">
      <c r="B91" s="30" t="s">
        <v>60</v>
      </c>
      <c r="C91" s="142">
        <v>44658.75</v>
      </c>
      <c r="D91" s="142">
        <v>45327.864247586971</v>
      </c>
      <c r="E91" s="142">
        <v>45651.376549160668</v>
      </c>
      <c r="F91" s="32">
        <f>F$59*$P41</f>
        <v>46006.73516207232</v>
      </c>
      <c r="G91" s="32">
        <f>G$59*$P41</f>
        <v>45531.211616237961</v>
      </c>
      <c r="H91" s="32">
        <f>H$59*$P41</f>
        <v>45038.616037081767</v>
      </c>
      <c r="I91" s="32">
        <f>I$59*$P41</f>
        <v>45392.486027466359</v>
      </c>
      <c r="J91" s="32">
        <f>J$59*$P41</f>
        <v>45592.530388924424</v>
      </c>
      <c r="K91" s="32">
        <f>K$59*$P41</f>
        <v>44439.757024220569</v>
      </c>
      <c r="L91" s="32">
        <f>L$59*$P41</f>
        <v>45245.531025800112</v>
      </c>
      <c r="M91" s="32">
        <f>M$59*$P41</f>
        <v>44157.311126692322</v>
      </c>
      <c r="N91" s="32">
        <f>N$59*$P41</f>
        <v>44403.852089208151</v>
      </c>
      <c r="U91"/>
    </row>
    <row r="92" spans="2:21" x14ac:dyDescent="0.2">
      <c r="B92" s="52" t="s">
        <v>61</v>
      </c>
      <c r="C92" s="82">
        <v>168929.16500000001</v>
      </c>
      <c r="D92" s="82">
        <v>171460.20116053897</v>
      </c>
      <c r="E92" s="82">
        <v>172683.94035995842</v>
      </c>
      <c r="F92" s="54">
        <f t="shared" ref="D92:N92" si="34">SUM(F83:F91)</f>
        <v>174028.14353973223</v>
      </c>
      <c r="G92" s="54">
        <f t="shared" si="34"/>
        <v>172229.39647368947</v>
      </c>
      <c r="H92" s="54">
        <f t="shared" si="34"/>
        <v>170366.07159626798</v>
      </c>
      <c r="I92" s="54">
        <f t="shared" si="34"/>
        <v>171704.64381322943</v>
      </c>
      <c r="J92" s="54">
        <f t="shared" si="34"/>
        <v>172461.34495117146</v>
      </c>
      <c r="K92" s="54">
        <f t="shared" si="34"/>
        <v>168100.787570285</v>
      </c>
      <c r="L92" s="54">
        <f t="shared" si="34"/>
        <v>171148.76202692656</v>
      </c>
      <c r="M92" s="54">
        <f t="shared" si="34"/>
        <v>167032.38888856815</v>
      </c>
      <c r="N92" s="54">
        <f t="shared" si="34"/>
        <v>167964.97116944467</v>
      </c>
      <c r="U92"/>
    </row>
    <row r="93" spans="2:21" x14ac:dyDescent="0.2">
      <c r="B93" s="51"/>
      <c r="C93" s="80"/>
      <c r="D93" s="80"/>
      <c r="E93" s="80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143">
        <v>2421386.7570386082</v>
      </c>
      <c r="D94" s="143">
        <v>2461026.3267576252</v>
      </c>
      <c r="E94" s="143">
        <v>2456344.707103231</v>
      </c>
      <c r="F94" s="42">
        <f t="shared" ref="D94:N94" si="35">F73-F81-F92</f>
        <v>2778822.442063279</v>
      </c>
      <c r="G94" s="42">
        <f t="shared" si="35"/>
        <v>2732719.8500656569</v>
      </c>
      <c r="H94" s="42">
        <f t="shared" si="35"/>
        <v>2699939.5919749909</v>
      </c>
      <c r="I94" s="42">
        <f t="shared" si="35"/>
        <v>2728767.6388511998</v>
      </c>
      <c r="J94" s="42">
        <f t="shared" si="35"/>
        <v>2728110.6781096635</v>
      </c>
      <c r="K94" s="42">
        <f t="shared" si="35"/>
        <v>2661684.0700638522</v>
      </c>
      <c r="L94" s="42">
        <f t="shared" si="35"/>
        <v>2704806.5991199906</v>
      </c>
      <c r="M94" s="42">
        <f t="shared" si="35"/>
        <v>2635969.414996691</v>
      </c>
      <c r="N94" s="42">
        <f t="shared" si="35"/>
        <v>2646429.2612349694</v>
      </c>
    </row>
    <row r="95" spans="2:21" x14ac:dyDescent="0.2">
      <c r="B95" s="23" t="s">
        <v>34</v>
      </c>
      <c r="C95" s="144">
        <v>0.40664820842028854</v>
      </c>
      <c r="D95" s="144">
        <v>0.40720421659100747</v>
      </c>
      <c r="E95" s="144">
        <v>0.4035493931587249</v>
      </c>
      <c r="F95" s="71">
        <f t="shared" ref="D95:N95" si="36">F94/F59</f>
        <v>0.45300254934533862</v>
      </c>
      <c r="G95" s="71">
        <f t="shared" si="36"/>
        <v>0.45013954489590341</v>
      </c>
      <c r="H95" s="71">
        <f t="shared" si="36"/>
        <v>0.4496041113505867</v>
      </c>
      <c r="I95" s="71">
        <f t="shared" si="36"/>
        <v>0.45086222594198638</v>
      </c>
      <c r="J95" s="71">
        <f t="shared" si="36"/>
        <v>0.44877592691790863</v>
      </c>
      <c r="K95" s="71">
        <f t="shared" si="36"/>
        <v>0.44920656327168601</v>
      </c>
      <c r="L95" s="71">
        <f t="shared" si="36"/>
        <v>0.44835476639300192</v>
      </c>
      <c r="M95" s="71">
        <f t="shared" si="36"/>
        <v>0.44771228383343981</v>
      </c>
      <c r="N95" s="71">
        <f t="shared" si="36"/>
        <v>0.44699318922571929</v>
      </c>
    </row>
  </sheetData>
  <pageMargins left="0.7" right="0.7" top="0.75" bottom="0.75" header="0.3" footer="0.3"/>
  <pageSetup orientation="portrait" r:id="rId1"/>
  <ignoredErrors>
    <ignoredError sqref="F8:N8" formulaRange="1"/>
    <ignoredError sqref="F28:N2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70234-97B5-410C-8AC5-AC376AF8F800}">
  <dimension ref="A2:V113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5" width="10.7109375" style="126" customWidth="1"/>
    <col min="6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09" t="s">
        <v>82</v>
      </c>
      <c r="C2" s="125" t="s">
        <v>41</v>
      </c>
      <c r="D2" s="125" t="s">
        <v>41</v>
      </c>
      <c r="E2" s="125" t="s">
        <v>41</v>
      </c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110"/>
      <c r="R2" s="110"/>
      <c r="S2" s="110"/>
      <c r="T2" s="110"/>
      <c r="U2" s="112"/>
      <c r="V2" s="110"/>
    </row>
    <row r="3" spans="2:22" x14ac:dyDescent="0.2">
      <c r="B3" s="1"/>
    </row>
    <row r="4" spans="2:22" x14ac:dyDescent="0.2">
      <c r="B4" s="1" t="s">
        <v>16</v>
      </c>
      <c r="C4" s="127">
        <v>44927</v>
      </c>
      <c r="D4" s="127">
        <f>EOMONTH(C4,0)+1</f>
        <v>44958</v>
      </c>
      <c r="E4" s="127">
        <f t="shared" ref="E4:N4" si="0">EOMONTH(D4,0)+1</f>
        <v>44986</v>
      </c>
      <c r="F4" s="3">
        <f t="shared" si="0"/>
        <v>45017</v>
      </c>
      <c r="G4" s="3">
        <f t="shared" si="0"/>
        <v>45047</v>
      </c>
      <c r="H4" s="3">
        <f t="shared" si="0"/>
        <v>45078</v>
      </c>
      <c r="I4" s="3">
        <f t="shared" si="0"/>
        <v>45108</v>
      </c>
      <c r="J4" s="3">
        <f t="shared" si="0"/>
        <v>45139</v>
      </c>
      <c r="K4" s="3">
        <f t="shared" si="0"/>
        <v>45170</v>
      </c>
      <c r="L4" s="3">
        <f t="shared" si="0"/>
        <v>45200</v>
      </c>
      <c r="M4" s="3">
        <f t="shared" si="0"/>
        <v>45231</v>
      </c>
      <c r="N4" s="3">
        <f t="shared" si="0"/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128">
        <v>918241.81085671578</v>
      </c>
      <c r="D5" s="128">
        <v>1098822.1071652398</v>
      </c>
      <c r="E5" s="128">
        <v>1389108.8186953156</v>
      </c>
      <c r="F5" s="4">
        <f t="shared" ref="D5:N5" si="1">SUM(F6:F7)</f>
        <v>1061517.5734082023</v>
      </c>
      <c r="G5" s="4">
        <f t="shared" si="1"/>
        <v>1081268.1654903176</v>
      </c>
      <c r="H5" s="4">
        <f t="shared" si="1"/>
        <v>1451208.0120024798</v>
      </c>
      <c r="I5" s="4">
        <f t="shared" si="1"/>
        <v>1271303.6551094283</v>
      </c>
      <c r="J5" s="4">
        <f t="shared" si="1"/>
        <v>1138780.2522786539</v>
      </c>
      <c r="K5" s="4">
        <f t="shared" si="1"/>
        <v>1507492.0827028083</v>
      </c>
      <c r="L5" s="4">
        <f t="shared" si="1"/>
        <v>826045.48853282654</v>
      </c>
      <c r="M5" s="4">
        <f t="shared" si="1"/>
        <v>1233235.1563812059</v>
      </c>
      <c r="N5" s="4">
        <f t="shared" si="1"/>
        <v>1755653.6671542581</v>
      </c>
      <c r="P5" s="75">
        <f>Natural!P5</f>
        <v>7.4999999999999997E-2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29">
        <v>622514.35130164481</v>
      </c>
      <c r="D6" s="129">
        <v>935097.23442405579</v>
      </c>
      <c r="E6" s="129">
        <v>1179236.180272124</v>
      </c>
      <c r="F6" s="11">
        <v>778357.53044854791</v>
      </c>
      <c r="G6" s="11">
        <v>754206.54738440667</v>
      </c>
      <c r="H6" s="11">
        <v>1161089.2112107845</v>
      </c>
      <c r="I6" s="11">
        <v>1012908.6032579186</v>
      </c>
      <c r="J6" s="11">
        <v>875063.79737911304</v>
      </c>
      <c r="K6" s="11">
        <v>1001549.4544438521</v>
      </c>
      <c r="L6" s="11">
        <v>767305.38565648335</v>
      </c>
      <c r="M6" s="11">
        <v>1070830.028742257</v>
      </c>
      <c r="N6" s="11">
        <v>1249608.7042213012</v>
      </c>
      <c r="P6" s="75">
        <f>Natural!P6</f>
        <v>0.13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29">
        <v>295727.45955507096</v>
      </c>
      <c r="D7" s="129">
        <v>163724.87274118402</v>
      </c>
      <c r="E7" s="129">
        <v>209872.6384231917</v>
      </c>
      <c r="F7" s="11">
        <v>283160.04295965447</v>
      </c>
      <c r="G7" s="11">
        <v>327061.61810591107</v>
      </c>
      <c r="H7" s="11">
        <v>290118.80079169519</v>
      </c>
      <c r="I7" s="11">
        <v>258395.05185150981</v>
      </c>
      <c r="J7" s="11">
        <v>263716.45489954093</v>
      </c>
      <c r="K7" s="11">
        <v>505942.62825895625</v>
      </c>
      <c r="L7" s="11">
        <v>58740.102876343219</v>
      </c>
      <c r="M7" s="11">
        <v>162405.12763894891</v>
      </c>
      <c r="N7" s="11">
        <v>506044.96293295687</v>
      </c>
      <c r="P7" s="75">
        <f>Natural!P7</f>
        <v>0.01</v>
      </c>
      <c r="Q7" t="s">
        <v>27</v>
      </c>
      <c r="U7" s="8">
        <v>44977</v>
      </c>
    </row>
    <row r="8" spans="2:22" x14ac:dyDescent="0.2">
      <c r="B8" t="s">
        <v>12</v>
      </c>
      <c r="C8" s="128">
        <v>721374.25132581848</v>
      </c>
      <c r="D8" s="128">
        <v>595242.65474325209</v>
      </c>
      <c r="E8" s="128">
        <v>1249710.3438458135</v>
      </c>
      <c r="F8" s="4">
        <f t="shared" ref="D8:N8" si="2">SUM(F9:F10)</f>
        <v>709383.96017214493</v>
      </c>
      <c r="G8" s="4">
        <f t="shared" si="2"/>
        <v>904740.85283928656</v>
      </c>
      <c r="H8" s="4">
        <f t="shared" si="2"/>
        <v>1379573.7402020607</v>
      </c>
      <c r="I8" s="4">
        <f t="shared" si="2"/>
        <v>1038287.6024100666</v>
      </c>
      <c r="J8" s="4">
        <f t="shared" si="2"/>
        <v>768431.06707048998</v>
      </c>
      <c r="K8" s="4">
        <f t="shared" si="2"/>
        <v>1066020.2990642288</v>
      </c>
      <c r="L8" s="4">
        <f t="shared" si="2"/>
        <v>979445.16485972295</v>
      </c>
      <c r="M8" s="4">
        <f t="shared" si="2"/>
        <v>1434322.7907923807</v>
      </c>
      <c r="N8" s="4">
        <f t="shared" si="2"/>
        <v>945674.72243952577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29">
        <v>280387.13024097512</v>
      </c>
      <c r="D9" s="129">
        <v>371671.55899892846</v>
      </c>
      <c r="E9" s="129">
        <v>506998.66365879396</v>
      </c>
      <c r="F9" s="11">
        <v>513515.39413500042</v>
      </c>
      <c r="G9" s="11">
        <v>589447.7222434443</v>
      </c>
      <c r="H9" s="11">
        <v>1063154.9281922118</v>
      </c>
      <c r="I9" s="11">
        <v>793503.06220063637</v>
      </c>
      <c r="J9" s="11">
        <v>684414.29971599905</v>
      </c>
      <c r="K9" s="11">
        <v>799540.80796667177</v>
      </c>
      <c r="L9" s="11">
        <v>700378.50886009238</v>
      </c>
      <c r="M9" s="11">
        <v>1140724.6110846652</v>
      </c>
      <c r="N9" s="11">
        <v>651155.53066580486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29">
        <v>440987.1210848433</v>
      </c>
      <c r="D10" s="129">
        <v>223571.0957443236</v>
      </c>
      <c r="E10" s="129">
        <v>742711.68018701964</v>
      </c>
      <c r="F10" s="11">
        <v>195868.56603714445</v>
      </c>
      <c r="G10" s="11">
        <v>315293.13059584226</v>
      </c>
      <c r="H10" s="11">
        <v>316418.81200984883</v>
      </c>
      <c r="I10" s="11">
        <v>244784.5402094303</v>
      </c>
      <c r="J10" s="11">
        <v>84016.767354490905</v>
      </c>
      <c r="K10" s="11">
        <v>266479.49109755701</v>
      </c>
      <c r="L10" s="11">
        <v>279066.65599963057</v>
      </c>
      <c r="M10" s="11">
        <v>293598.17970771552</v>
      </c>
      <c r="N10" s="11">
        <v>294519.1917737209</v>
      </c>
      <c r="P10" s="74">
        <f>Natural!P10</f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30">
        <v>198666.7339566247</v>
      </c>
      <c r="D11" s="130">
        <v>335025.21674858825</v>
      </c>
      <c r="E11" s="130">
        <v>544202.91708709358</v>
      </c>
      <c r="F11" s="14">
        <v>192184.51777312293</v>
      </c>
      <c r="G11" s="14">
        <v>275894.281105612</v>
      </c>
      <c r="H11" s="14">
        <v>503077.25738693954</v>
      </c>
      <c r="I11" s="14">
        <v>522520.84544705303</v>
      </c>
      <c r="J11" s="14">
        <v>551788.56221122399</v>
      </c>
      <c r="K11" s="14">
        <v>706518.58930012805</v>
      </c>
      <c r="L11" s="14">
        <v>533572.99023911764</v>
      </c>
      <c r="M11" s="14">
        <v>231071.69389335017</v>
      </c>
      <c r="N11" s="14">
        <v>402277.60349635046</v>
      </c>
      <c r="P11" s="74">
        <f>Natural!P11</f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v>1838282.796139159</v>
      </c>
      <c r="D12" s="13">
        <v>2029089.9786570801</v>
      </c>
      <c r="E12" s="13">
        <v>3183022.0796282226</v>
      </c>
      <c r="F12" s="13">
        <f t="shared" ref="D12:N12" si="3">F5+F8+F11</f>
        <v>1963086.0513534702</v>
      </c>
      <c r="G12" s="13">
        <f t="shared" si="3"/>
        <v>2261903.299435216</v>
      </c>
      <c r="H12" s="13">
        <f t="shared" si="3"/>
        <v>3333859.0095914798</v>
      </c>
      <c r="I12" s="13">
        <f t="shared" si="3"/>
        <v>2832112.1029665479</v>
      </c>
      <c r="J12" s="13">
        <f t="shared" si="3"/>
        <v>2458999.881560368</v>
      </c>
      <c r="K12" s="13">
        <f t="shared" si="3"/>
        <v>3280030.9710671655</v>
      </c>
      <c r="L12" s="13">
        <f t="shared" si="3"/>
        <v>2339063.6436316674</v>
      </c>
      <c r="M12" s="13">
        <f t="shared" si="3"/>
        <v>2898629.6410669368</v>
      </c>
      <c r="N12" s="13">
        <f t="shared" si="3"/>
        <v>3103605.9930901341</v>
      </c>
      <c r="P12" s="75">
        <f>Natural!P12</f>
        <v>4.5999999999999999E-2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131">
        <v>6.7393931455971043E-2</v>
      </c>
      <c r="D15" s="131">
        <v>0.14484668328968767</v>
      </c>
      <c r="E15" s="131">
        <v>0.11567215284129743</v>
      </c>
      <c r="F15" s="6">
        <v>0.14609651369799148</v>
      </c>
      <c r="G15" s="6">
        <v>0.11725576288131039</v>
      </c>
      <c r="H15" s="6">
        <v>0.20359417064069918</v>
      </c>
      <c r="I15" s="6">
        <v>0.12659705621591977</v>
      </c>
      <c r="J15" s="6">
        <v>0.17055882143751375</v>
      </c>
      <c r="K15" s="6">
        <v>0.19756398166561684</v>
      </c>
      <c r="L15" s="6">
        <v>0.33217178429035915</v>
      </c>
      <c r="M15" s="6">
        <v>0.17710664878609386</v>
      </c>
      <c r="N15" s="6">
        <v>0.2053553875115432</v>
      </c>
      <c r="P15" s="75">
        <f>Natural!P15</f>
        <v>0.91249999999999998</v>
      </c>
      <c r="Q15" s="9" t="s">
        <v>78</v>
      </c>
      <c r="U15" s="8">
        <v>45208</v>
      </c>
    </row>
    <row r="16" spans="2:22" x14ac:dyDescent="0.2">
      <c r="B16" s="17" t="s">
        <v>10</v>
      </c>
      <c r="C16" s="132">
        <v>8.269779157262673E-2</v>
      </c>
      <c r="D16" s="132">
        <v>0.14520413222718045</v>
      </c>
      <c r="E16" s="132">
        <v>0.13561154879632886</v>
      </c>
      <c r="F16" s="21">
        <v>0.17810344345334739</v>
      </c>
      <c r="G16" s="21">
        <v>0.13868143376929959</v>
      </c>
      <c r="H16" s="21">
        <v>0.18929248957002251</v>
      </c>
      <c r="I16" s="21">
        <v>0.13169223801022148</v>
      </c>
      <c r="J16" s="21">
        <v>0.1743766625878605</v>
      </c>
      <c r="K16" s="21">
        <v>0.24994126882264628</v>
      </c>
      <c r="L16" s="21">
        <v>0.2528063664279282</v>
      </c>
      <c r="M16" s="21">
        <v>0.17032188117874789</v>
      </c>
      <c r="N16" s="21">
        <v>0.23554213423925505</v>
      </c>
      <c r="P16" s="75">
        <f>Natural!P16</f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132">
        <v>3.5178889378835419E-2</v>
      </c>
      <c r="D17" s="132">
        <v>0.14280515161950749</v>
      </c>
      <c r="E17" s="132">
        <v>4.5604790246004716E-2</v>
      </c>
      <c r="F17" s="21">
        <v>5.8115050843189492E-2</v>
      </c>
      <c r="G17" s="21">
        <v>6.7848004919958557E-2</v>
      </c>
      <c r="H17" s="21">
        <v>0.26083116303149201</v>
      </c>
      <c r="I17" s="21">
        <v>0.10662394358225706</v>
      </c>
      <c r="J17" s="21">
        <v>0.15789046300654161</v>
      </c>
      <c r="K17" s="21">
        <v>9.3879412611036203E-2</v>
      </c>
      <c r="L17" s="21">
        <v>1.3688998385281776</v>
      </c>
      <c r="M17" s="21">
        <v>0.22184250779256384</v>
      </c>
      <c r="N17" s="21">
        <v>0.13081335226541799</v>
      </c>
      <c r="U17" s="8">
        <v>45254</v>
      </c>
    </row>
    <row r="18" spans="2:21" x14ac:dyDescent="0.2">
      <c r="B18" s="16" t="s">
        <v>12</v>
      </c>
      <c r="C18" s="131">
        <v>0.17841142091049092</v>
      </c>
      <c r="D18" s="131">
        <v>0.16576614011777902</v>
      </c>
      <c r="E18" s="131">
        <v>8.7735600019642646E-2</v>
      </c>
      <c r="F18" s="6">
        <v>0.19471753201760905</v>
      </c>
      <c r="G18" s="6">
        <v>0.12911064488203183</v>
      </c>
      <c r="H18" s="6">
        <v>0.12018586189683919</v>
      </c>
      <c r="I18" s="6">
        <v>0.12102902207211845</v>
      </c>
      <c r="J18" s="6">
        <v>9.4420159634264464E-2</v>
      </c>
      <c r="K18" s="6">
        <v>0.16021447574467024</v>
      </c>
      <c r="L18" s="6">
        <v>0.1103533778706924</v>
      </c>
      <c r="M18" s="6">
        <v>9.8388918786146584E-2</v>
      </c>
      <c r="N18" s="6">
        <v>0.16359749944477819</v>
      </c>
      <c r="P18" s="75">
        <f>Natural!P18</f>
        <v>0.45500000000000002</v>
      </c>
      <c r="Q18" s="58" t="s">
        <v>70</v>
      </c>
      <c r="U18" s="8">
        <v>45285</v>
      </c>
    </row>
    <row r="19" spans="2:21" x14ac:dyDescent="0.2">
      <c r="B19" s="17" t="s">
        <v>10</v>
      </c>
      <c r="C19" s="132">
        <v>0.25513485939404251</v>
      </c>
      <c r="D19" s="132">
        <v>0.13216248357945287</v>
      </c>
      <c r="E19" s="132">
        <v>0.1076882767868082</v>
      </c>
      <c r="F19" s="21">
        <v>0.15415830209544415</v>
      </c>
      <c r="G19" s="21">
        <v>0.11526510995014258</v>
      </c>
      <c r="H19" s="21">
        <v>9.0876544760634545E-2</v>
      </c>
      <c r="I19" s="21">
        <v>0.10227724990396118</v>
      </c>
      <c r="J19" s="21">
        <v>4.6083781283784667E-2</v>
      </c>
      <c r="K19" s="21">
        <v>0.15514190020778293</v>
      </c>
      <c r="L19" s="21">
        <v>0.10715448180803074</v>
      </c>
      <c r="M19" s="21">
        <v>9.4641963295987522E-2</v>
      </c>
      <c r="N19" s="21">
        <v>0.16771273177127266</v>
      </c>
      <c r="P19" s="75">
        <f>Natural!P19</f>
        <v>0.44500000000000001</v>
      </c>
      <c r="Q19" s="58" t="s">
        <v>71</v>
      </c>
    </row>
    <row r="20" spans="2:21" x14ac:dyDescent="0.2">
      <c r="B20" s="17" t="s">
        <v>11</v>
      </c>
      <c r="C20" s="132">
        <v>0.12962935061850114</v>
      </c>
      <c r="D20" s="132">
        <v>0.22162990628166296</v>
      </c>
      <c r="E20" s="132">
        <v>7.1151099980620497E-2</v>
      </c>
      <c r="F20" s="21">
        <v>0.30105306793684827</v>
      </c>
      <c r="G20" s="21">
        <v>0.15499518925323663</v>
      </c>
      <c r="H20" s="21">
        <v>0.21866402998481782</v>
      </c>
      <c r="I20" s="21">
        <v>0.18181549422591917</v>
      </c>
      <c r="J20" s="21">
        <v>0.48817618692781961</v>
      </c>
      <c r="K20" s="21">
        <v>0.17543415034900997</v>
      </c>
      <c r="L20" s="21">
        <v>0.11838170374266015</v>
      </c>
      <c r="M20" s="21">
        <v>0.11294706198893613</v>
      </c>
      <c r="N20" s="21">
        <v>0.15449908968331721</v>
      </c>
      <c r="P20" s="75">
        <f>Natural!P20</f>
        <v>0.06</v>
      </c>
      <c r="Q20" s="58" t="s">
        <v>72</v>
      </c>
    </row>
    <row r="21" spans="2:21" x14ac:dyDescent="0.2">
      <c r="B21" s="19" t="s">
        <v>13</v>
      </c>
      <c r="C21" s="133">
        <v>0.15169917201438265</v>
      </c>
      <c r="D21" s="133">
        <v>3.1052479234059648E-2</v>
      </c>
      <c r="E21" s="133">
        <v>0.13756140402794095</v>
      </c>
      <c r="F21" s="22">
        <v>0.19265696367784188</v>
      </c>
      <c r="G21" s="22">
        <v>0.29325718333652373</v>
      </c>
      <c r="H21" s="22">
        <v>0.20344880015445777</v>
      </c>
      <c r="I21" s="22">
        <v>6.3463595935420627E-2</v>
      </c>
      <c r="J21" s="22">
        <v>0.11680582726115776</v>
      </c>
      <c r="K21" s="22">
        <v>0.10428228727605789</v>
      </c>
      <c r="L21" s="22">
        <v>0.19462464105093918</v>
      </c>
      <c r="M21" s="22">
        <v>0.23792413655906763</v>
      </c>
      <c r="N21" s="22">
        <v>0.15154083130793794</v>
      </c>
      <c r="P21" s="75">
        <f>Natural!P21</f>
        <v>0.04</v>
      </c>
      <c r="Q21" s="58" t="s">
        <v>73</v>
      </c>
    </row>
    <row r="22" spans="2:21" x14ac:dyDescent="0.2">
      <c r="B22" s="18" t="s">
        <v>14</v>
      </c>
      <c r="C22" s="134">
        <v>9.9549306149495281E-2</v>
      </c>
      <c r="D22" s="134">
        <v>0.10960177195157539</v>
      </c>
      <c r="E22" s="134">
        <v>8.7049858779637571E-2</v>
      </c>
      <c r="F22" s="20">
        <v>0.13947373421489301</v>
      </c>
      <c r="G22" s="20">
        <v>0.11894602732024519</v>
      </c>
      <c r="H22" s="20">
        <v>0.14016419440526465</v>
      </c>
      <c r="I22" s="20">
        <v>9.3610968198660466E-2</v>
      </c>
      <c r="J22" s="20">
        <v>0.11168191552156798</v>
      </c>
      <c r="K22" s="20">
        <v>0.13707590443679588</v>
      </c>
      <c r="L22" s="20">
        <v>0.17237874686163115</v>
      </c>
      <c r="M22" s="20">
        <v>0.11856287675646755</v>
      </c>
      <c r="N22" s="20">
        <v>0.15392641935524717</v>
      </c>
    </row>
    <row r="23" spans="2:21" x14ac:dyDescent="0.2">
      <c r="P23" s="75">
        <f>Natural!P23</f>
        <v>5.5E-2</v>
      </c>
      <c r="Q23" s="58" t="s">
        <v>44</v>
      </c>
    </row>
    <row r="24" spans="2:21" x14ac:dyDescent="0.2">
      <c r="B24" s="1" t="s">
        <v>17</v>
      </c>
      <c r="P24" s="75">
        <f>Natural!P24</f>
        <v>0.04</v>
      </c>
      <c r="Q24" t="s">
        <v>45</v>
      </c>
    </row>
    <row r="25" spans="2:21" x14ac:dyDescent="0.2">
      <c r="B25" t="s">
        <v>9</v>
      </c>
      <c r="C25" s="128">
        <v>61883.925660884226</v>
      </c>
      <c r="D25" s="128">
        <v>159160.73774827071</v>
      </c>
      <c r="E25" s="128">
        <v>169489.24245703485</v>
      </c>
      <c r="F25" s="4">
        <f t="shared" ref="D25:N25" si="4">SUM(F26:F27)</f>
        <v>155084.01670409011</v>
      </c>
      <c r="G25" s="4">
        <f t="shared" si="4"/>
        <v>126784.92362384217</v>
      </c>
      <c r="H25" s="4">
        <f t="shared" si="4"/>
        <v>295457.49163078266</v>
      </c>
      <c r="I25" s="4">
        <f t="shared" si="4"/>
        <v>160943.30029339259</v>
      </c>
      <c r="J25" s="4">
        <f t="shared" si="4"/>
        <v>194229.01770496176</v>
      </c>
      <c r="K25" s="4">
        <f t="shared" si="4"/>
        <v>297826.1381881602</v>
      </c>
      <c r="L25" s="4">
        <f t="shared" si="4"/>
        <v>274389.00383095047</v>
      </c>
      <c r="M25" s="4">
        <f t="shared" si="4"/>
        <v>218414.14571186973</v>
      </c>
      <c r="N25" s="4">
        <f t="shared" si="4"/>
        <v>360532.93915452459</v>
      </c>
      <c r="P25" s="75">
        <f>Natural!P25</f>
        <v>0.04</v>
      </c>
      <c r="Q25" t="s">
        <v>74</v>
      </c>
    </row>
    <row r="26" spans="2:21" x14ac:dyDescent="0.2">
      <c r="B26" s="10" t="s">
        <v>10</v>
      </c>
      <c r="C26" s="129">
        <v>51480.562074912355</v>
      </c>
      <c r="D26" s="129">
        <v>135779.98247258135</v>
      </c>
      <c r="E26" s="129">
        <v>159918.04480336962</v>
      </c>
      <c r="F26" s="11">
        <f t="shared" ref="D26:N27" si="5">F6*F16</f>
        <v>138628.15641073007</v>
      </c>
      <c r="G26" s="11">
        <f t="shared" si="5"/>
        <v>104594.44534946271</v>
      </c>
      <c r="H26" s="11">
        <f t="shared" si="5"/>
        <v>219785.46740298308</v>
      </c>
      <c r="I26" s="11">
        <f t="shared" si="5"/>
        <v>133392.20086284282</v>
      </c>
      <c r="J26" s="11">
        <f t="shared" si="5"/>
        <v>152590.70453842951</v>
      </c>
      <c r="K26" s="11">
        <f t="shared" si="5"/>
        <v>250328.54143232555</v>
      </c>
      <c r="L26" s="11">
        <f t="shared" si="5"/>
        <v>193979.6864883957</v>
      </c>
      <c r="M26" s="11">
        <f t="shared" si="5"/>
        <v>182385.78491807388</v>
      </c>
      <c r="N26" s="11">
        <f t="shared" si="5"/>
        <v>294335.50115623529</v>
      </c>
      <c r="P26" s="75">
        <f>Natural!P26</f>
        <v>4.1000000000000002E-2</v>
      </c>
      <c r="Q26" t="s">
        <v>75</v>
      </c>
    </row>
    <row r="27" spans="2:21" x14ac:dyDescent="0.2">
      <c r="B27" s="10" t="s">
        <v>11</v>
      </c>
      <c r="C27" s="129">
        <v>10403.363585971867</v>
      </c>
      <c r="D27" s="129">
        <v>23380.755275689353</v>
      </c>
      <c r="E27" s="129">
        <v>9571.1976536652473</v>
      </c>
      <c r="F27" s="11">
        <f t="shared" si="5"/>
        <v>16455.860293360041</v>
      </c>
      <c r="G27" s="11">
        <f t="shared" si="5"/>
        <v>22190.47827437946</v>
      </c>
      <c r="H27" s="11">
        <f t="shared" si="5"/>
        <v>75672.0242277996</v>
      </c>
      <c r="I27" s="11">
        <f t="shared" si="5"/>
        <v>27551.09943054977</v>
      </c>
      <c r="J27" s="11">
        <f t="shared" si="5"/>
        <v>41638.313166532265</v>
      </c>
      <c r="K27" s="11">
        <f t="shared" si="5"/>
        <v>47497.59675583466</v>
      </c>
      <c r="L27" s="11">
        <f t="shared" si="5"/>
        <v>80409.317342554772</v>
      </c>
      <c r="M27" s="11">
        <f t="shared" si="5"/>
        <v>36028.360793795851</v>
      </c>
      <c r="N27" s="11">
        <f t="shared" si="5"/>
        <v>66197.437998289271</v>
      </c>
    </row>
    <row r="28" spans="2:21" x14ac:dyDescent="0.2">
      <c r="B28" t="s">
        <v>12</v>
      </c>
      <c r="C28" s="128">
        <v>128701.40518728085</v>
      </c>
      <c r="D28" s="128">
        <v>98671.077310248656</v>
      </c>
      <c r="E28" s="128">
        <v>107442.56543639135</v>
      </c>
      <c r="F28" s="4">
        <f t="shared" ref="D28:N28" si="6">SUM(F29:F30)</f>
        <v>138129.49397759797</v>
      </c>
      <c r="G28" s="4">
        <f t="shared" si="6"/>
        <v>116811.67496119974</v>
      </c>
      <c r="H28" s="4">
        <f t="shared" si="6"/>
        <v>165805.25901643076</v>
      </c>
      <c r="I28" s="4">
        <f t="shared" si="6"/>
        <v>125662.9331492949</v>
      </c>
      <c r="J28" s="4">
        <f t="shared" si="6"/>
        <v>72555.384020723839</v>
      </c>
      <c r="K28" s="4">
        <f t="shared" si="6"/>
        <v>170791.88334775201</v>
      </c>
      <c r="L28" s="4">
        <f t="shared" si="6"/>
        <v>108085.08238138759</v>
      </c>
      <c r="M28" s="4">
        <f t="shared" si="6"/>
        <v>141121.46857639067</v>
      </c>
      <c r="N28" s="4">
        <f t="shared" si="6"/>
        <v>154710.01987924104</v>
      </c>
      <c r="P28" s="75">
        <f>Natural!P28</f>
        <v>0.17</v>
      </c>
      <c r="Q28" t="s">
        <v>47</v>
      </c>
    </row>
    <row r="29" spans="2:21" x14ac:dyDescent="0.2">
      <c r="B29" s="10" t="s">
        <v>10</v>
      </c>
      <c r="C29" s="129">
        <v>71536.531049930272</v>
      </c>
      <c r="D29" s="129">
        <v>49121.036313145531</v>
      </c>
      <c r="E29" s="129">
        <v>54597.812422630079</v>
      </c>
      <c r="F29" s="11">
        <f t="shared" ref="C29:N31" si="7">F9*F19</f>
        <v>79162.661259724468</v>
      </c>
      <c r="G29" s="11">
        <f t="shared" si="7"/>
        <v>67942.756514251712</v>
      </c>
      <c r="H29" s="11">
        <f t="shared" si="7"/>
        <v>96615.846419348745</v>
      </c>
      <c r="I29" s="11">
        <f t="shared" si="7"/>
        <v>81157.31099225294</v>
      </c>
      <c r="J29" s="11">
        <f t="shared" si="7"/>
        <v>31540.398895606748</v>
      </c>
      <c r="K29" s="11">
        <f t="shared" si="7"/>
        <v>124042.28024161553</v>
      </c>
      <c r="L29" s="11">
        <f t="shared" si="7"/>
        <v>75048.696186384463</v>
      </c>
      <c r="M29" s="11">
        <f t="shared" si="7"/>
        <v>107960.41677310452</v>
      </c>
      <c r="N29" s="11">
        <f t="shared" si="7"/>
        <v>109207.07285593484</v>
      </c>
      <c r="P29" s="75">
        <f>Natural!P29</f>
        <v>8.5000000000000006E-2</v>
      </c>
      <c r="Q29" t="s">
        <v>48</v>
      </c>
    </row>
    <row r="30" spans="2:21" x14ac:dyDescent="0.2">
      <c r="B30" s="10" t="s">
        <v>11</v>
      </c>
      <c r="C30" s="129">
        <v>57164.874137350569</v>
      </c>
      <c r="D30" s="129">
        <v>49550.040997103133</v>
      </c>
      <c r="E30" s="129">
        <v>52844.75301376127</v>
      </c>
      <c r="F30" s="11">
        <f t="shared" si="7"/>
        <v>58966.832717873498</v>
      </c>
      <c r="G30" s="11">
        <f t="shared" si="7"/>
        <v>48868.918446948024</v>
      </c>
      <c r="H30" s="11">
        <f t="shared" si="7"/>
        <v>69189.412597082017</v>
      </c>
      <c r="I30" s="11">
        <f t="shared" si="7"/>
        <v>44505.622157041951</v>
      </c>
      <c r="J30" s="11">
        <f t="shared" si="7"/>
        <v>41014.985125117084</v>
      </c>
      <c r="K30" s="11">
        <f t="shared" si="7"/>
        <v>46749.603106136477</v>
      </c>
      <c r="L30" s="11">
        <f t="shared" si="7"/>
        <v>33036.386195003121</v>
      </c>
      <c r="M30" s="11">
        <f t="shared" si="7"/>
        <v>33161.051803286151</v>
      </c>
      <c r="N30" s="11">
        <f t="shared" si="7"/>
        <v>45502.947023306209</v>
      </c>
      <c r="P30" s="75">
        <f>Natural!P30</f>
        <v>0.04</v>
      </c>
      <c r="Q30" t="s">
        <v>49</v>
      </c>
    </row>
    <row r="31" spans="2:21" x14ac:dyDescent="0.2">
      <c r="B31" s="15" t="s">
        <v>13</v>
      </c>
      <c r="C31" s="130">
        <v>30137.579048021606</v>
      </c>
      <c r="D31" s="130">
        <v>10403.363585971869</v>
      </c>
      <c r="E31" s="130">
        <v>74861.317350601734</v>
      </c>
      <c r="F31" s="14">
        <f t="shared" si="7"/>
        <v>37025.685660060102</v>
      </c>
      <c r="G31" s="14">
        <f t="shared" si="7"/>
        <v>80907.979775686879</v>
      </c>
      <c r="H31" s="14">
        <f t="shared" si="7"/>
        <v>102350.46440036818</v>
      </c>
      <c r="I31" s="14">
        <f t="shared" si="7"/>
        <v>33161.051803286144</v>
      </c>
      <c r="J31" s="14">
        <f t="shared" si="7"/>
        <v>64452.119482326831</v>
      </c>
      <c r="K31" s="14">
        <f t="shared" si="7"/>
        <v>73677.374495271113</v>
      </c>
      <c r="L31" s="14">
        <f t="shared" si="7"/>
        <v>103846.45169976456</v>
      </c>
      <c r="M31" s="14">
        <f t="shared" si="7"/>
        <v>54977.533252816516</v>
      </c>
      <c r="N31" s="14">
        <f t="shared" si="7"/>
        <v>60961.482450401993</v>
      </c>
      <c r="P31" s="75">
        <f>Natural!P31</f>
        <v>0.03</v>
      </c>
      <c r="Q31" t="s">
        <v>50</v>
      </c>
    </row>
    <row r="32" spans="2:21" x14ac:dyDescent="0.2">
      <c r="B32" s="1" t="s">
        <v>14</v>
      </c>
      <c r="C32" s="13">
        <v>220722.9098961867</v>
      </c>
      <c r="D32" s="13">
        <v>268235.17864449124</v>
      </c>
      <c r="E32" s="13">
        <v>351793.12524402793</v>
      </c>
      <c r="F32" s="13">
        <f t="shared" ref="D32:N32" si="8">F25+F28+F31</f>
        <v>330239.19634174817</v>
      </c>
      <c r="G32" s="13">
        <f t="shared" si="8"/>
        <v>324504.5783607288</v>
      </c>
      <c r="H32" s="13">
        <f t="shared" si="8"/>
        <v>563613.21504758159</v>
      </c>
      <c r="I32" s="13">
        <f t="shared" si="8"/>
        <v>319767.28524597362</v>
      </c>
      <c r="J32" s="13">
        <f t="shared" si="8"/>
        <v>331236.52120801242</v>
      </c>
      <c r="K32" s="13">
        <f t="shared" si="8"/>
        <v>542295.39603118331</v>
      </c>
      <c r="L32" s="13">
        <f t="shared" si="8"/>
        <v>486320.53791210265</v>
      </c>
      <c r="M32" s="13">
        <f t="shared" si="8"/>
        <v>414513.14754107693</v>
      </c>
      <c r="N32" s="13">
        <f t="shared" si="8"/>
        <v>576204.44148416759</v>
      </c>
    </row>
    <row r="33" spans="2:17" x14ac:dyDescent="0.2">
      <c r="P33" s="77">
        <f>Natural!P33</f>
        <v>1.4999999999999999E-4</v>
      </c>
      <c r="Q33" t="s">
        <v>52</v>
      </c>
    </row>
    <row r="34" spans="2:17" x14ac:dyDescent="0.2">
      <c r="B34" t="s">
        <v>8</v>
      </c>
      <c r="C34" s="135">
        <v>168</v>
      </c>
      <c r="D34" s="135">
        <v>160</v>
      </c>
      <c r="E34" s="135">
        <v>184</v>
      </c>
      <c r="F34" s="2">
        <f>NETWORKDAYS(F$4,EOMONTH(F$4,0)+1,$U$5:$U$20)*8</f>
        <v>160</v>
      </c>
      <c r="G34" s="2">
        <f>NETWORKDAYS(G$4,EOMONTH(G$4,0)+1,$U$5:$U$20)*8</f>
        <v>184</v>
      </c>
      <c r="H34" s="2">
        <f>NETWORKDAYS(H$4,EOMONTH(H$4,0)+1,$U$5:$U$20)*8</f>
        <v>168</v>
      </c>
      <c r="I34" s="2">
        <f>NETWORKDAYS(I$4,EOMONTH(I$4,0)+1,$U$5:$U$20)*8</f>
        <v>160</v>
      </c>
      <c r="J34" s="2">
        <f>NETWORKDAYS(J$4,EOMONTH(J$4,0)+1,$U$5:$U$20)*8</f>
        <v>184</v>
      </c>
      <c r="K34" s="2">
        <f>NETWORKDAYS(K$4,EOMONTH(K$4,0)+1,$U$5:$U$20)*8</f>
        <v>160</v>
      </c>
      <c r="L34" s="2">
        <f>NETWORKDAYS(L$4,EOMONTH(L$4,0)+1,$U$5:$U$20)*8</f>
        <v>176</v>
      </c>
      <c r="M34" s="2">
        <f>NETWORKDAYS(M$4,EOMONTH(M$4,0)+1,$U$5:$U$20)*8</f>
        <v>168</v>
      </c>
      <c r="N34" s="2">
        <f>NETWORKDAYS(N$4,EOMONTH(N$4,0)+1,$U$5:$U$20)*8</f>
        <v>168</v>
      </c>
      <c r="P34" s="77">
        <f>Natural!P34</f>
        <v>1.7000000000000001E-4</v>
      </c>
      <c r="Q34" t="s">
        <v>53</v>
      </c>
    </row>
    <row r="35" spans="2:17" x14ac:dyDescent="0.2">
      <c r="B35" s="1"/>
      <c r="C35" s="127"/>
      <c r="D35" s="127"/>
      <c r="E35" s="127"/>
      <c r="F35" s="3"/>
      <c r="G35" s="3"/>
      <c r="H35" s="3"/>
      <c r="I35" s="3"/>
      <c r="J35" s="3"/>
      <c r="K35" s="3"/>
      <c r="L35" s="3"/>
      <c r="M35" s="3"/>
      <c r="N35" s="3"/>
      <c r="P35" s="77">
        <f>Natural!P35</f>
        <v>5.0000000000000002E-5</v>
      </c>
      <c r="Q35" t="s">
        <v>54</v>
      </c>
    </row>
    <row r="36" spans="2:17" x14ac:dyDescent="0.2">
      <c r="B36" t="s">
        <v>0</v>
      </c>
      <c r="C36" s="135">
        <v>16</v>
      </c>
      <c r="D36" s="135">
        <v>16</v>
      </c>
      <c r="E36" s="135">
        <v>16</v>
      </c>
      <c r="F36" s="2">
        <v>17</v>
      </c>
      <c r="G36" s="2">
        <v>18</v>
      </c>
      <c r="H36" s="2">
        <v>18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f>Natural!P36</f>
        <v>2.5000000000000001E-3</v>
      </c>
      <c r="Q36" t="s">
        <v>55</v>
      </c>
    </row>
    <row r="37" spans="2:17" x14ac:dyDescent="0.2">
      <c r="B37" t="s">
        <v>1</v>
      </c>
      <c r="C37" s="136">
        <v>225</v>
      </c>
      <c r="D37" s="136">
        <v>225</v>
      </c>
      <c r="E37" s="136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f>Natural!P37</f>
        <v>3.5000000000000001E-3</v>
      </c>
      <c r="Q37" t="s">
        <v>56</v>
      </c>
    </row>
    <row r="38" spans="2:17" x14ac:dyDescent="0.2">
      <c r="B38" t="s">
        <v>2</v>
      </c>
      <c r="C38" s="135">
        <v>128</v>
      </c>
      <c r="D38" s="135">
        <v>128</v>
      </c>
      <c r="E38" s="135">
        <v>128</v>
      </c>
      <c r="F38" s="2">
        <f t="shared" ref="D38:N38" si="9">F36*8</f>
        <v>136</v>
      </c>
      <c r="G38" s="2">
        <f t="shared" si="9"/>
        <v>144</v>
      </c>
      <c r="H38" s="2">
        <f t="shared" si="9"/>
        <v>144</v>
      </c>
      <c r="I38" s="2">
        <f t="shared" si="9"/>
        <v>144</v>
      </c>
      <c r="J38" s="2">
        <f t="shared" si="9"/>
        <v>152</v>
      </c>
      <c r="K38" s="2">
        <f t="shared" si="9"/>
        <v>152</v>
      </c>
      <c r="L38" s="2">
        <f t="shared" si="9"/>
        <v>152</v>
      </c>
      <c r="M38" s="2">
        <f t="shared" si="9"/>
        <v>152</v>
      </c>
      <c r="N38" s="2">
        <f t="shared" si="9"/>
        <v>160</v>
      </c>
      <c r="P38" s="77">
        <f>Natural!P38</f>
        <v>5.0000000000000001E-4</v>
      </c>
      <c r="Q38" t="s">
        <v>57</v>
      </c>
    </row>
    <row r="39" spans="2:17" x14ac:dyDescent="0.2">
      <c r="B39" t="s">
        <v>3</v>
      </c>
      <c r="C39" s="131">
        <v>0.75</v>
      </c>
      <c r="D39" s="131">
        <v>0.75</v>
      </c>
      <c r="E39" s="131">
        <v>0.75</v>
      </c>
      <c r="F39" s="6">
        <f t="shared" ref="D39:N39" si="10">6/8</f>
        <v>0.75</v>
      </c>
      <c r="G39" s="6">
        <f t="shared" si="10"/>
        <v>0.75</v>
      </c>
      <c r="H39" s="6">
        <f t="shared" si="10"/>
        <v>0.75</v>
      </c>
      <c r="I39" s="6">
        <f t="shared" si="10"/>
        <v>0.75</v>
      </c>
      <c r="J39" s="6">
        <f t="shared" si="10"/>
        <v>0.75</v>
      </c>
      <c r="K39" s="6">
        <f t="shared" si="10"/>
        <v>0.75</v>
      </c>
      <c r="L39" s="6">
        <f t="shared" si="10"/>
        <v>0.75</v>
      </c>
      <c r="M39" s="6">
        <f t="shared" si="10"/>
        <v>0.75</v>
      </c>
      <c r="N39" s="6">
        <f t="shared" si="10"/>
        <v>0.75</v>
      </c>
      <c r="P39" s="77">
        <f>Natural!P39</f>
        <v>6.4999999999999997E-3</v>
      </c>
      <c r="Q39" t="s">
        <v>58</v>
      </c>
    </row>
    <row r="40" spans="2:17" x14ac:dyDescent="0.2">
      <c r="B40" s="41" t="s">
        <v>6</v>
      </c>
      <c r="C40" s="133">
        <v>0.625</v>
      </c>
      <c r="D40" s="133">
        <v>0.625</v>
      </c>
      <c r="E40" s="133">
        <v>0.625</v>
      </c>
      <c r="F40" s="22">
        <f t="shared" ref="D40:N40" si="11">5/8</f>
        <v>0.625</v>
      </c>
      <c r="G40" s="22">
        <f t="shared" si="11"/>
        <v>0.625</v>
      </c>
      <c r="H40" s="22">
        <f t="shared" si="11"/>
        <v>0.625</v>
      </c>
      <c r="I40" s="22">
        <f t="shared" si="11"/>
        <v>0.625</v>
      </c>
      <c r="J40" s="22">
        <f t="shared" si="11"/>
        <v>0.625</v>
      </c>
      <c r="K40" s="22">
        <f t="shared" si="11"/>
        <v>0.625</v>
      </c>
      <c r="L40" s="22">
        <f t="shared" si="11"/>
        <v>0.625</v>
      </c>
      <c r="M40" s="22">
        <f t="shared" si="11"/>
        <v>0.625</v>
      </c>
      <c r="N40" s="22">
        <f t="shared" si="11"/>
        <v>0.625</v>
      </c>
      <c r="P40" s="77">
        <f>Natural!P40</f>
        <v>7.4999999999999997E-3</v>
      </c>
      <c r="Q40" t="s">
        <v>59</v>
      </c>
    </row>
    <row r="41" spans="2:17" x14ac:dyDescent="0.2">
      <c r="B41" s="1" t="s">
        <v>25</v>
      </c>
      <c r="C41" s="13">
        <v>360000</v>
      </c>
      <c r="D41" s="13">
        <v>342000</v>
      </c>
      <c r="E41" s="13">
        <v>396000</v>
      </c>
      <c r="F41" s="13">
        <f t="shared" ref="D41:N41" si="12">((F34*F36)-F38)*F37*F40</f>
        <v>379525</v>
      </c>
      <c r="G41" s="13">
        <f t="shared" si="12"/>
        <v>465300</v>
      </c>
      <c r="H41" s="13">
        <f t="shared" si="12"/>
        <v>423000</v>
      </c>
      <c r="I41" s="13">
        <f t="shared" si="12"/>
        <v>401850</v>
      </c>
      <c r="J41" s="13">
        <f t="shared" si="12"/>
        <v>491150</v>
      </c>
      <c r="K41" s="13">
        <f t="shared" si="12"/>
        <v>424175</v>
      </c>
      <c r="L41" s="13">
        <f t="shared" si="12"/>
        <v>468825</v>
      </c>
      <c r="M41" s="13">
        <f t="shared" si="12"/>
        <v>446500</v>
      </c>
      <c r="N41" s="13">
        <f t="shared" si="12"/>
        <v>470000</v>
      </c>
      <c r="P41" s="77">
        <f>Natural!P41</f>
        <v>7.4999999999999997E-3</v>
      </c>
      <c r="Q41" t="s">
        <v>60</v>
      </c>
    </row>
    <row r="43" spans="2:17" x14ac:dyDescent="0.2">
      <c r="B43" t="s">
        <v>4</v>
      </c>
      <c r="C43" s="135">
        <v>5</v>
      </c>
      <c r="D43" s="135">
        <v>5</v>
      </c>
      <c r="E43" s="135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  <c r="P43" s="73">
        <v>0.63</v>
      </c>
      <c r="Q43" t="s">
        <v>89</v>
      </c>
    </row>
    <row r="44" spans="2:17" x14ac:dyDescent="0.2">
      <c r="B44" t="s">
        <v>5</v>
      </c>
      <c r="C44" s="136">
        <v>315</v>
      </c>
      <c r="D44" s="136">
        <v>315</v>
      </c>
      <c r="E44" s="136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  <c r="P44" s="73">
        <v>0.22</v>
      </c>
      <c r="Q44" t="s">
        <v>90</v>
      </c>
    </row>
    <row r="45" spans="2:17" x14ac:dyDescent="0.2">
      <c r="B45" t="s">
        <v>2</v>
      </c>
      <c r="C45" s="135">
        <v>40</v>
      </c>
      <c r="D45" s="135">
        <v>40</v>
      </c>
      <c r="E45" s="135">
        <v>40</v>
      </c>
      <c r="F45" s="2">
        <f t="shared" ref="D45:N45" si="13">F43*8</f>
        <v>48</v>
      </c>
      <c r="G45" s="2">
        <f t="shared" si="13"/>
        <v>48</v>
      </c>
      <c r="H45" s="2">
        <f t="shared" si="13"/>
        <v>48</v>
      </c>
      <c r="I45" s="2">
        <f t="shared" si="13"/>
        <v>48</v>
      </c>
      <c r="J45" s="2">
        <f t="shared" si="13"/>
        <v>48</v>
      </c>
      <c r="K45" s="2">
        <f t="shared" si="13"/>
        <v>48</v>
      </c>
      <c r="L45" s="2">
        <f t="shared" si="13"/>
        <v>56</v>
      </c>
      <c r="M45" s="2">
        <f t="shared" si="13"/>
        <v>56</v>
      </c>
      <c r="N45" s="2">
        <f t="shared" si="13"/>
        <v>56</v>
      </c>
      <c r="P45" s="73">
        <v>0.1</v>
      </c>
      <c r="Q45" t="s">
        <v>91</v>
      </c>
    </row>
    <row r="46" spans="2:17" x14ac:dyDescent="0.2">
      <c r="B46" s="41" t="s">
        <v>6</v>
      </c>
      <c r="C46" s="133">
        <v>0.375</v>
      </c>
      <c r="D46" s="133">
        <v>0.375</v>
      </c>
      <c r="E46" s="133">
        <v>0.375</v>
      </c>
      <c r="F46" s="22">
        <f t="shared" ref="D46:N46" si="14">3/8</f>
        <v>0.375</v>
      </c>
      <c r="G46" s="22">
        <f t="shared" si="14"/>
        <v>0.375</v>
      </c>
      <c r="H46" s="22">
        <f t="shared" si="14"/>
        <v>0.375</v>
      </c>
      <c r="I46" s="22">
        <f t="shared" si="14"/>
        <v>0.375</v>
      </c>
      <c r="J46" s="22">
        <f t="shared" si="14"/>
        <v>0.375</v>
      </c>
      <c r="K46" s="22">
        <f t="shared" si="14"/>
        <v>0.375</v>
      </c>
      <c r="L46" s="22">
        <f t="shared" si="14"/>
        <v>0.375</v>
      </c>
      <c r="M46" s="22">
        <f t="shared" si="14"/>
        <v>0.375</v>
      </c>
      <c r="N46" s="22">
        <f t="shared" si="14"/>
        <v>0.375</v>
      </c>
      <c r="P46" s="73">
        <v>0.05</v>
      </c>
      <c r="Q46" t="s">
        <v>92</v>
      </c>
    </row>
    <row r="47" spans="2:17" x14ac:dyDescent="0.2">
      <c r="B47" s="1" t="s">
        <v>25</v>
      </c>
      <c r="C47" s="13">
        <v>94500</v>
      </c>
      <c r="D47" s="13">
        <v>89775</v>
      </c>
      <c r="E47" s="13">
        <v>103950</v>
      </c>
      <c r="F47" s="13">
        <f t="shared" ref="D47:N47" si="15">((F34*F43)-F45)*F44*F46</f>
        <v>111150</v>
      </c>
      <c r="G47" s="13">
        <f t="shared" si="15"/>
        <v>128700</v>
      </c>
      <c r="H47" s="13">
        <f t="shared" si="15"/>
        <v>117000</v>
      </c>
      <c r="I47" s="13">
        <f t="shared" si="15"/>
        <v>111150</v>
      </c>
      <c r="J47" s="13">
        <f t="shared" si="15"/>
        <v>128700</v>
      </c>
      <c r="K47" s="13">
        <f t="shared" si="15"/>
        <v>111150</v>
      </c>
      <c r="L47" s="13">
        <f t="shared" si="15"/>
        <v>143325</v>
      </c>
      <c r="M47" s="13">
        <f t="shared" si="15"/>
        <v>136500</v>
      </c>
      <c r="N47" s="13">
        <f t="shared" si="15"/>
        <v>136500</v>
      </c>
    </row>
    <row r="49" spans="2:14" x14ac:dyDescent="0.2">
      <c r="B49" s="23" t="s">
        <v>66</v>
      </c>
      <c r="C49" s="137"/>
      <c r="D49" s="137"/>
      <c r="E49" s="137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138">
        <v>0</v>
      </c>
      <c r="D50" s="138">
        <v>153190.23301159657</v>
      </c>
      <c r="E50" s="138">
        <v>169090.83155475667</v>
      </c>
      <c r="F50" s="26">
        <f t="shared" ref="E50:N50" si="16">E12/12</f>
        <v>265251.83996901853</v>
      </c>
      <c r="G50" s="26">
        <f t="shared" si="16"/>
        <v>163590.50427945584</v>
      </c>
      <c r="H50" s="26">
        <f t="shared" si="16"/>
        <v>188491.94161960133</v>
      </c>
      <c r="I50" s="26">
        <f t="shared" si="16"/>
        <v>277821.58413262333</v>
      </c>
      <c r="J50" s="26">
        <f t="shared" si="16"/>
        <v>236009.34191387901</v>
      </c>
      <c r="K50" s="26">
        <f t="shared" si="16"/>
        <v>204916.65679669732</v>
      </c>
      <c r="L50" s="26">
        <f t="shared" si="16"/>
        <v>273335.9142555971</v>
      </c>
      <c r="M50" s="26">
        <f t="shared" si="16"/>
        <v>194921.97030263895</v>
      </c>
      <c r="N50" s="26">
        <f t="shared" si="16"/>
        <v>241552.47008891139</v>
      </c>
    </row>
    <row r="51" spans="2:14" x14ac:dyDescent="0.2">
      <c r="B51" s="58" t="s">
        <v>67</v>
      </c>
      <c r="C51" s="138">
        <v>5500000</v>
      </c>
      <c r="D51" s="138">
        <v>5458749.9999999991</v>
      </c>
      <c r="E51" s="138">
        <v>5417809.3749999991</v>
      </c>
      <c r="F51" s="26">
        <f>E51*$P$15*$P$16+((1-$P$16)*E51)</f>
        <v>5378304.514973958</v>
      </c>
      <c r="G51" s="26">
        <f>F51*$P$15*$P$16+((1-$P$16)*F51)</f>
        <v>5339087.7112189392</v>
      </c>
      <c r="H51" s="26">
        <f>G51*$P$15*$P$16+((1-$P$16)*G51)</f>
        <v>5300156.8633246347</v>
      </c>
      <c r="I51" s="26">
        <f>H51*$P$15*$P$16+((1-$P$16)*H51)</f>
        <v>5261509.886196225</v>
      </c>
      <c r="J51" s="26">
        <f>I51*$P$15*$P$16+((1-$P$16)*I51)</f>
        <v>5223144.7099427115</v>
      </c>
      <c r="K51" s="26">
        <f>J51*$P$15*$P$16+((1-$P$16)*J51)</f>
        <v>5185059.2797660455</v>
      </c>
      <c r="L51" s="26">
        <f>K51*$P$15*$P$16+((1-$P$16)*K51)</f>
        <v>5147251.5558510851</v>
      </c>
      <c r="M51" s="26">
        <f>L51*$P$15*$P$16+((1-$P$16)*L51)</f>
        <v>5109719.5132563375</v>
      </c>
      <c r="N51" s="26">
        <f>M51*$P$15*$P$16+((1-$P$16)*M51)</f>
        <v>5072461.1418055091</v>
      </c>
    </row>
    <row r="52" spans="2:14" x14ac:dyDescent="0.2">
      <c r="B52" s="67" t="s">
        <v>70</v>
      </c>
      <c r="C52" s="139">
        <v>2530000</v>
      </c>
      <c r="D52" s="139">
        <v>2511024.9999999995</v>
      </c>
      <c r="E52" s="139">
        <v>2492192.3124999995</v>
      </c>
      <c r="F52" s="68">
        <f>F$51*$P18</f>
        <v>2447128.5543131512</v>
      </c>
      <c r="G52" s="68">
        <f>G$51*$P18</f>
        <v>2429284.9086046172</v>
      </c>
      <c r="H52" s="68">
        <f>H$51*$P18</f>
        <v>2411571.3728127088</v>
      </c>
      <c r="I52" s="68">
        <f>I$51*$P18</f>
        <v>2393986.9982192824</v>
      </c>
      <c r="J52" s="68">
        <f>J$51*$P18</f>
        <v>2376530.8430239339</v>
      </c>
      <c r="K52" s="68">
        <f>K$51*$P18</f>
        <v>2359201.9722935506</v>
      </c>
      <c r="L52" s="68">
        <f>L$51*$P18</f>
        <v>2341999.4579122439</v>
      </c>
      <c r="M52" s="68">
        <f>M$51*$P18</f>
        <v>2324922.3785316334</v>
      </c>
      <c r="N52" s="68">
        <f>N$51*$P18</f>
        <v>2307969.8195215068</v>
      </c>
    </row>
    <row r="53" spans="2:14" x14ac:dyDescent="0.2">
      <c r="B53" s="67" t="s">
        <v>71</v>
      </c>
      <c r="C53" s="139">
        <v>2420000</v>
      </c>
      <c r="D53" s="139">
        <v>2401849.9999999995</v>
      </c>
      <c r="E53" s="139">
        <v>2383836.1249999995</v>
      </c>
      <c r="F53" s="68">
        <f>F$51*$P19</f>
        <v>2393345.5091634113</v>
      </c>
      <c r="G53" s="68">
        <f>G$51*$P19</f>
        <v>2375894.0314924279</v>
      </c>
      <c r="H53" s="68">
        <f>H$51*$P19</f>
        <v>2358569.8041794626</v>
      </c>
      <c r="I53" s="68">
        <f>I$51*$P19</f>
        <v>2341371.8993573203</v>
      </c>
      <c r="J53" s="68">
        <f>J$51*$P19</f>
        <v>2324299.3959245067</v>
      </c>
      <c r="K53" s="68">
        <f>K$51*$P19</f>
        <v>2307351.3794958903</v>
      </c>
      <c r="L53" s="68">
        <f>L$51*$P19</f>
        <v>2290526.9423537329</v>
      </c>
      <c r="M53" s="68">
        <f>M$51*$P19</f>
        <v>2273825.1833990701</v>
      </c>
      <c r="N53" s="68">
        <f>N$51*$P19</f>
        <v>2257245.2081034514</v>
      </c>
    </row>
    <row r="54" spans="2:14" x14ac:dyDescent="0.2">
      <c r="B54" s="67" t="s">
        <v>72</v>
      </c>
      <c r="C54" s="139">
        <v>385000.00000000006</v>
      </c>
      <c r="D54" s="139">
        <v>382112.5</v>
      </c>
      <c r="E54" s="139">
        <v>379246.65625</v>
      </c>
      <c r="F54" s="68">
        <f>F$51*$P20</f>
        <v>322698.27089843748</v>
      </c>
      <c r="G54" s="68">
        <f>G$51*$P20</f>
        <v>320345.26267313631</v>
      </c>
      <c r="H54" s="68">
        <f>H$51*$P20</f>
        <v>318009.41179947805</v>
      </c>
      <c r="I54" s="68">
        <f>I$51*$P20</f>
        <v>315690.59317177348</v>
      </c>
      <c r="J54" s="68">
        <f>J$51*$P20</f>
        <v>313388.68259656266</v>
      </c>
      <c r="K54" s="68">
        <f>K$51*$P20</f>
        <v>311103.55678596272</v>
      </c>
      <c r="L54" s="68">
        <f>L$51*$P20</f>
        <v>308835.09335106512</v>
      </c>
      <c r="M54" s="68">
        <f>M$51*$P20</f>
        <v>306583.17079538025</v>
      </c>
      <c r="N54" s="68">
        <f>N$51*$P20</f>
        <v>304347.66850833053</v>
      </c>
    </row>
    <row r="55" spans="2:14" x14ac:dyDescent="0.2">
      <c r="B55" s="67" t="s">
        <v>73</v>
      </c>
      <c r="C55" s="139">
        <v>165000</v>
      </c>
      <c r="D55" s="139">
        <v>163762.49999999997</v>
      </c>
      <c r="E55" s="139">
        <v>162534.28124999997</v>
      </c>
      <c r="F55" s="68">
        <f>F$51*$P21</f>
        <v>215132.18059895834</v>
      </c>
      <c r="G55" s="68">
        <f>G$51*$P21</f>
        <v>213563.50844875758</v>
      </c>
      <c r="H55" s="68">
        <f>H$51*$P21</f>
        <v>212006.27453298541</v>
      </c>
      <c r="I55" s="68">
        <f>I$51*$P21</f>
        <v>210460.395447849</v>
      </c>
      <c r="J55" s="68">
        <f>J$51*$P21</f>
        <v>208925.78839770847</v>
      </c>
      <c r="K55" s="68">
        <f>K$51*$P21</f>
        <v>207402.37119064183</v>
      </c>
      <c r="L55" s="68">
        <f>L$51*$P21</f>
        <v>205890.06223404341</v>
      </c>
      <c r="M55" s="68">
        <f>M$51*$P21</f>
        <v>204388.78053025351</v>
      </c>
      <c r="N55" s="68">
        <f>N$51*$P21</f>
        <v>202898.44567222038</v>
      </c>
    </row>
    <row r="56" spans="2:14" x14ac:dyDescent="0.2">
      <c r="B56" s="58" t="s">
        <v>68</v>
      </c>
      <c r="C56" s="138">
        <v>454500</v>
      </c>
      <c r="D56" s="138">
        <v>431775</v>
      </c>
      <c r="E56" s="138">
        <v>499950</v>
      </c>
      <c r="F56" s="26">
        <f t="shared" ref="D56:N56" si="17">SUM(F57:F58)</f>
        <v>490675</v>
      </c>
      <c r="G56" s="26">
        <f t="shared" si="17"/>
        <v>594000</v>
      </c>
      <c r="H56" s="26">
        <f t="shared" si="17"/>
        <v>540000</v>
      </c>
      <c r="I56" s="26">
        <f t="shared" si="17"/>
        <v>513000</v>
      </c>
      <c r="J56" s="26">
        <f t="shared" si="17"/>
        <v>619850</v>
      </c>
      <c r="K56" s="26">
        <f t="shared" si="17"/>
        <v>535325</v>
      </c>
      <c r="L56" s="26">
        <f t="shared" si="17"/>
        <v>612150</v>
      </c>
      <c r="M56" s="26">
        <f t="shared" si="17"/>
        <v>583000</v>
      </c>
      <c r="N56" s="26">
        <f t="shared" si="17"/>
        <v>606500</v>
      </c>
    </row>
    <row r="57" spans="2:14" x14ac:dyDescent="0.2">
      <c r="B57" s="67" t="s">
        <v>22</v>
      </c>
      <c r="C57" s="139">
        <v>360000</v>
      </c>
      <c r="D57" s="139">
        <v>342000</v>
      </c>
      <c r="E57" s="139">
        <v>396000</v>
      </c>
      <c r="F57" s="68">
        <f t="shared" ref="D57:N57" si="18">F41</f>
        <v>379525</v>
      </c>
      <c r="G57" s="68">
        <f t="shared" si="18"/>
        <v>465300</v>
      </c>
      <c r="H57" s="68">
        <f t="shared" si="18"/>
        <v>423000</v>
      </c>
      <c r="I57" s="68">
        <f t="shared" si="18"/>
        <v>401850</v>
      </c>
      <c r="J57" s="68">
        <f t="shared" si="18"/>
        <v>491150</v>
      </c>
      <c r="K57" s="68">
        <f t="shared" si="18"/>
        <v>424175</v>
      </c>
      <c r="L57" s="68">
        <f t="shared" si="18"/>
        <v>468825</v>
      </c>
      <c r="M57" s="68">
        <f t="shared" si="18"/>
        <v>446500</v>
      </c>
      <c r="N57" s="68">
        <f t="shared" si="18"/>
        <v>470000</v>
      </c>
    </row>
    <row r="58" spans="2:14" x14ac:dyDescent="0.2">
      <c r="B58" s="69" t="s">
        <v>23</v>
      </c>
      <c r="C58" s="140">
        <v>94500</v>
      </c>
      <c r="D58" s="140">
        <v>89775</v>
      </c>
      <c r="E58" s="140">
        <v>103950</v>
      </c>
      <c r="F58" s="70">
        <f t="shared" ref="D58:N58" si="19">F47</f>
        <v>111150</v>
      </c>
      <c r="G58" s="70">
        <f t="shared" si="19"/>
        <v>128700</v>
      </c>
      <c r="H58" s="70">
        <f t="shared" si="19"/>
        <v>117000</v>
      </c>
      <c r="I58" s="70">
        <f t="shared" si="19"/>
        <v>111150</v>
      </c>
      <c r="J58" s="70">
        <f t="shared" si="19"/>
        <v>128700</v>
      </c>
      <c r="K58" s="70">
        <f t="shared" si="19"/>
        <v>111150</v>
      </c>
      <c r="L58" s="70">
        <f t="shared" si="19"/>
        <v>143325</v>
      </c>
      <c r="M58" s="70">
        <f t="shared" si="19"/>
        <v>136500</v>
      </c>
      <c r="N58" s="70">
        <f t="shared" si="19"/>
        <v>136500</v>
      </c>
    </row>
    <row r="59" spans="2:14" x14ac:dyDescent="0.2">
      <c r="B59" s="23" t="s">
        <v>69</v>
      </c>
      <c r="C59" s="141">
        <v>5954500</v>
      </c>
      <c r="D59" s="141">
        <v>6043715.2330115959</v>
      </c>
      <c r="E59" s="141">
        <v>6086850.2065547556</v>
      </c>
      <c r="F59" s="28">
        <f t="shared" ref="D59:N59" si="20">F50+F51+F56</f>
        <v>6134231.3549429765</v>
      </c>
      <c r="G59" s="28">
        <f t="shared" si="20"/>
        <v>6096678.2154983953</v>
      </c>
      <c r="H59" s="28">
        <f t="shared" si="20"/>
        <v>6028648.8049442358</v>
      </c>
      <c r="I59" s="28">
        <f t="shared" si="20"/>
        <v>6052331.4703288479</v>
      </c>
      <c r="J59" s="28">
        <f t="shared" si="20"/>
        <v>6079004.0518565904</v>
      </c>
      <c r="K59" s="28">
        <f t="shared" si="20"/>
        <v>5925300.936562743</v>
      </c>
      <c r="L59" s="28">
        <f t="shared" si="20"/>
        <v>6032737.4701066818</v>
      </c>
      <c r="M59" s="28">
        <f t="shared" si="20"/>
        <v>5887641.4835589761</v>
      </c>
      <c r="N59" s="28">
        <f t="shared" si="20"/>
        <v>5920513.6118944203</v>
      </c>
    </row>
    <row r="60" spans="2:14" x14ac:dyDescent="0.2">
      <c r="B60" s="58"/>
      <c r="C60" s="137"/>
      <c r="D60" s="137"/>
      <c r="E60" s="137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137"/>
      <c r="D61" s="137"/>
      <c r="E61" s="137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138">
        <v>357270</v>
      </c>
      <c r="D62" s="138">
        <v>362622.91398069577</v>
      </c>
      <c r="E62" s="138">
        <v>365211.01239328535</v>
      </c>
      <c r="F62" s="26">
        <f>F$59*$P23</f>
        <v>337382.72452186368</v>
      </c>
      <c r="G62" s="26">
        <f>G$59*$P23</f>
        <v>335317.30185241177</v>
      </c>
      <c r="H62" s="26">
        <f>H$59*$P23</f>
        <v>331575.68427193299</v>
      </c>
      <c r="I62" s="26">
        <f>I$59*$P23</f>
        <v>332878.23086808663</v>
      </c>
      <c r="J62" s="26">
        <f>J$59*$P23</f>
        <v>334345.22285211249</v>
      </c>
      <c r="K62" s="26">
        <f>K$59*$P23</f>
        <v>325891.55151095084</v>
      </c>
      <c r="L62" s="26">
        <f>L$59*$P23</f>
        <v>331800.56085586752</v>
      </c>
      <c r="M62" s="26">
        <f>M$59*$P23</f>
        <v>323820.28159574367</v>
      </c>
      <c r="N62" s="26">
        <f>N$59*$P23</f>
        <v>325628.24865419313</v>
      </c>
    </row>
    <row r="63" spans="2:14" x14ac:dyDescent="0.2">
      <c r="B63" s="64" t="s">
        <v>45</v>
      </c>
      <c r="C63" s="138">
        <v>238180</v>
      </c>
      <c r="D63" s="138">
        <v>241748.60932046385</v>
      </c>
      <c r="E63" s="138">
        <v>243474.00826219024</v>
      </c>
      <c r="F63" s="26">
        <f>F$59*$P24</f>
        <v>245369.25419771907</v>
      </c>
      <c r="G63" s="26">
        <f>G$59*$P24</f>
        <v>243867.12861993583</v>
      </c>
      <c r="H63" s="26">
        <f>H$59*$P24</f>
        <v>241145.95219776942</v>
      </c>
      <c r="I63" s="26">
        <f>I$59*$P24</f>
        <v>242093.25881315392</v>
      </c>
      <c r="J63" s="26">
        <f>J$59*$P24</f>
        <v>243160.16207426362</v>
      </c>
      <c r="K63" s="26">
        <f>K$59*$P24</f>
        <v>237012.03746250973</v>
      </c>
      <c r="L63" s="26">
        <f>L$59*$P24</f>
        <v>241309.49880426726</v>
      </c>
      <c r="M63" s="26">
        <f>M$59*$P24</f>
        <v>235505.65934235905</v>
      </c>
      <c r="N63" s="26">
        <f>N$59*$P24</f>
        <v>236820.54447577681</v>
      </c>
    </row>
    <row r="64" spans="2:14" x14ac:dyDescent="0.2">
      <c r="B64" s="64" t="s">
        <v>74</v>
      </c>
      <c r="C64" s="138">
        <v>244134.5</v>
      </c>
      <c r="D64" s="138">
        <v>247792.32455347545</v>
      </c>
      <c r="E64" s="138">
        <v>249560.85846874499</v>
      </c>
      <c r="F64" s="26">
        <f>F$59*$P25</f>
        <v>245369.25419771907</v>
      </c>
      <c r="G64" s="26">
        <f>G$59*$P25</f>
        <v>243867.12861993583</v>
      </c>
      <c r="H64" s="26">
        <f>H$59*$P25</f>
        <v>241145.95219776942</v>
      </c>
      <c r="I64" s="26">
        <f>I$59*$P25</f>
        <v>242093.25881315392</v>
      </c>
      <c r="J64" s="26">
        <f>J$59*$P25</f>
        <v>243160.16207426362</v>
      </c>
      <c r="K64" s="26">
        <f>K$59*$P25</f>
        <v>237012.03746250973</v>
      </c>
      <c r="L64" s="26">
        <f>L$59*$P25</f>
        <v>241309.49880426726</v>
      </c>
      <c r="M64" s="26">
        <f>M$59*$P25</f>
        <v>235505.65934235905</v>
      </c>
      <c r="N64" s="26">
        <f>N$59*$P25</f>
        <v>236820.54447577681</v>
      </c>
    </row>
    <row r="65" spans="2:14" x14ac:dyDescent="0.2">
      <c r="B65" s="65" t="s">
        <v>75</v>
      </c>
      <c r="C65" s="142">
        <v>267952.5</v>
      </c>
      <c r="D65" s="142">
        <v>271967.1854855218</v>
      </c>
      <c r="E65" s="142">
        <v>273908.25929496397</v>
      </c>
      <c r="F65" s="32">
        <f>F$59*$P26</f>
        <v>251503.48555266205</v>
      </c>
      <c r="G65" s="32">
        <f>G$59*$P26</f>
        <v>249963.80683543422</v>
      </c>
      <c r="H65" s="32">
        <f>H$59*$P26</f>
        <v>247174.60100271367</v>
      </c>
      <c r="I65" s="32">
        <f>I$59*$P26</f>
        <v>248145.59028348277</v>
      </c>
      <c r="J65" s="32">
        <f>J$59*$P26</f>
        <v>249239.16612612022</v>
      </c>
      <c r="K65" s="32">
        <f>K$59*$P26</f>
        <v>242937.33839907247</v>
      </c>
      <c r="L65" s="32">
        <f>L$59*$P26</f>
        <v>247342.23627437395</v>
      </c>
      <c r="M65" s="32">
        <f>M$59*$P26</f>
        <v>241393.30082591804</v>
      </c>
      <c r="N65" s="32">
        <f>N$59*$P26</f>
        <v>242741.05808767123</v>
      </c>
    </row>
    <row r="66" spans="2:14" x14ac:dyDescent="0.2">
      <c r="B66" s="23" t="s">
        <v>46</v>
      </c>
      <c r="C66" s="143">
        <v>1107537</v>
      </c>
      <c r="D66" s="143">
        <v>1124131.033340157</v>
      </c>
      <c r="E66" s="143">
        <v>1132154.1384191846</v>
      </c>
      <c r="F66" s="42">
        <f>SUM(F62:F65)</f>
        <v>1079624.7184699639</v>
      </c>
      <c r="G66" s="42">
        <f>SUM(G62:G65)</f>
        <v>1073015.3659277176</v>
      </c>
      <c r="H66" s="42">
        <f>SUM(H62:H65)</f>
        <v>1061042.1896701856</v>
      </c>
      <c r="I66" s="42">
        <f>SUM(I62:I65)</f>
        <v>1065210.3387778772</v>
      </c>
      <c r="J66" s="42">
        <f>SUM(J62:J65)</f>
        <v>1069904.71312676</v>
      </c>
      <c r="K66" s="42">
        <f>SUM(K62:K65)</f>
        <v>1042852.9648350428</v>
      </c>
      <c r="L66" s="42">
        <f>SUM(L62:L65)</f>
        <v>1061761.7947387761</v>
      </c>
      <c r="M66" s="42">
        <f>SUM(M62:M65)</f>
        <v>1036224.9011063799</v>
      </c>
      <c r="N66" s="42">
        <f>SUM(N62:N65)</f>
        <v>1042010.3956934181</v>
      </c>
    </row>
    <row r="67" spans="2:14" x14ac:dyDescent="0.2">
      <c r="B67" s="58"/>
      <c r="C67" s="137"/>
      <c r="D67" s="137"/>
      <c r="E67" s="137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138">
        <v>45360</v>
      </c>
      <c r="D68" s="138">
        <v>43200</v>
      </c>
      <c r="E68" s="138">
        <v>49680</v>
      </c>
      <c r="F68" s="26">
        <f>(F34*F36)*(F37*$P$5)</f>
        <v>47940</v>
      </c>
      <c r="G68" s="26">
        <f>(G34*G36)*(G37*$P$5)</f>
        <v>58374</v>
      </c>
      <c r="H68" s="26">
        <f>(H34*H36)*(H37*$P$5)</f>
        <v>53298</v>
      </c>
      <c r="I68" s="26">
        <f>(I34*I36)*(I37*$P$5)</f>
        <v>50760</v>
      </c>
      <c r="J68" s="26">
        <f>(J34*J36)*(J37*$P$5)</f>
        <v>61617</v>
      </c>
      <c r="K68" s="26">
        <f>(K34*K36)*(K37*$P$5)</f>
        <v>53580</v>
      </c>
      <c r="L68" s="26">
        <f>(L34*L36)*(L37*$P$5)</f>
        <v>58938</v>
      </c>
      <c r="M68" s="26">
        <f>(M34*M36)*(M37*$P$5)</f>
        <v>56259</v>
      </c>
      <c r="N68" s="26">
        <f>(N34*N36)*(N37*$P$5)</f>
        <v>59220</v>
      </c>
    </row>
    <row r="69" spans="2:14" x14ac:dyDescent="0.2">
      <c r="B69" s="64" t="s">
        <v>77</v>
      </c>
      <c r="C69" s="138">
        <v>34398</v>
      </c>
      <c r="D69" s="138">
        <v>32760.000000000004</v>
      </c>
      <c r="E69" s="138">
        <v>37674</v>
      </c>
      <c r="F69" s="26">
        <f>(F34*F43)*(F44*$P$6)</f>
        <v>40560</v>
      </c>
      <c r="G69" s="26">
        <f>(G34*G43)*(G44*$P$6)</f>
        <v>46644</v>
      </c>
      <c r="H69" s="26">
        <f>(H34*H43)*(H44*$P$6)</f>
        <v>42588</v>
      </c>
      <c r="I69" s="26">
        <f>(I34*I43)*(I44*$P$6)</f>
        <v>40560</v>
      </c>
      <c r="J69" s="26">
        <f>(J34*J43)*(J44*$P$6)</f>
        <v>46644</v>
      </c>
      <c r="K69" s="26">
        <f>(K34*K43)*(K44*$P$6)</f>
        <v>40560</v>
      </c>
      <c r="L69" s="26">
        <f>(L34*L43)*(L44*$P$6)</f>
        <v>52052</v>
      </c>
      <c r="M69" s="26">
        <f>(M34*M43)*(M44*$P$6)</f>
        <v>49686</v>
      </c>
      <c r="N69" s="26">
        <f>(N34*N43)*(N44*$P$6)</f>
        <v>49686</v>
      </c>
    </row>
    <row r="70" spans="2:14" x14ac:dyDescent="0.2">
      <c r="B70" s="65" t="s">
        <v>27</v>
      </c>
      <c r="C70" s="142">
        <v>18382.827961391591</v>
      </c>
      <c r="D70" s="142">
        <v>20290.899786570801</v>
      </c>
      <c r="E70" s="142">
        <v>31830.220796282229</v>
      </c>
      <c r="F70" s="32">
        <f>$P$7*F12</f>
        <v>19630.860513534702</v>
      </c>
      <c r="G70" s="32">
        <f>$P$7*G12</f>
        <v>22619.032994352161</v>
      </c>
      <c r="H70" s="32">
        <f>$P$7*H12</f>
        <v>33338.590095914798</v>
      </c>
      <c r="I70" s="32">
        <f>$P$7*I12</f>
        <v>28321.121029665479</v>
      </c>
      <c r="J70" s="32">
        <f>$P$7*J12</f>
        <v>24589.998815603682</v>
      </c>
      <c r="K70" s="32">
        <f>$P$7*K12</f>
        <v>32800.309710671652</v>
      </c>
      <c r="L70" s="32">
        <f>$P$7*L12</f>
        <v>23390.636436316676</v>
      </c>
      <c r="M70" s="32">
        <f>$P$7*M12</f>
        <v>28986.296410669369</v>
      </c>
      <c r="N70" s="32">
        <f>$P$7*N12</f>
        <v>31036.059930901341</v>
      </c>
    </row>
    <row r="71" spans="2:14" x14ac:dyDescent="0.2">
      <c r="B71" s="23" t="s">
        <v>24</v>
      </c>
      <c r="C71" s="143">
        <v>98140.827961391595</v>
      </c>
      <c r="D71" s="143">
        <v>96250.899786570808</v>
      </c>
      <c r="E71" s="143">
        <v>119184.22079628223</v>
      </c>
      <c r="F71" s="42">
        <f t="shared" ref="D71:N71" si="21">SUM(F68:F70)</f>
        <v>108130.8605135347</v>
      </c>
      <c r="G71" s="42">
        <f t="shared" si="21"/>
        <v>127637.03299435216</v>
      </c>
      <c r="H71" s="42">
        <f t="shared" si="21"/>
        <v>129224.5900959148</v>
      </c>
      <c r="I71" s="42">
        <f t="shared" si="21"/>
        <v>119641.12102966548</v>
      </c>
      <c r="J71" s="42">
        <f t="shared" si="21"/>
        <v>132850.99881560367</v>
      </c>
      <c r="K71" s="42">
        <f t="shared" si="21"/>
        <v>126940.30971067166</v>
      </c>
      <c r="L71" s="42">
        <f t="shared" si="21"/>
        <v>134380.63643631668</v>
      </c>
      <c r="M71" s="42">
        <f t="shared" si="21"/>
        <v>134931.29641066937</v>
      </c>
      <c r="N71" s="42">
        <f t="shared" si="21"/>
        <v>139942.05993090133</v>
      </c>
    </row>
    <row r="72" spans="2:14" x14ac:dyDescent="0.2">
      <c r="B72" s="23"/>
      <c r="C72" s="137"/>
      <c r="D72" s="137"/>
      <c r="E72" s="137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143">
        <v>4748822.1720386082</v>
      </c>
      <c r="D73" s="143">
        <v>4823333.2998848679</v>
      </c>
      <c r="E73" s="143">
        <v>4835511.8473392883</v>
      </c>
      <c r="F73" s="42">
        <f t="shared" ref="D73:N73" si="22">F59-F66-F71</f>
        <v>4946475.7759594787</v>
      </c>
      <c r="G73" s="42">
        <f t="shared" si="22"/>
        <v>4896025.8165763253</v>
      </c>
      <c r="H73" s="42">
        <f t="shared" si="22"/>
        <v>4838382.0251781354</v>
      </c>
      <c r="I73" s="42">
        <f t="shared" si="22"/>
        <v>4867480.0105213048</v>
      </c>
      <c r="J73" s="42">
        <f t="shared" si="22"/>
        <v>4876248.3399142269</v>
      </c>
      <c r="K73" s="42">
        <f t="shared" si="22"/>
        <v>4755507.6620170288</v>
      </c>
      <c r="L73" s="42">
        <f t="shared" si="22"/>
        <v>4836595.0389315886</v>
      </c>
      <c r="M73" s="42">
        <f t="shared" si="22"/>
        <v>4716485.2860419266</v>
      </c>
      <c r="N73" s="42">
        <f t="shared" si="22"/>
        <v>4738561.1562701007</v>
      </c>
    </row>
    <row r="74" spans="2:14" x14ac:dyDescent="0.2">
      <c r="B74" s="23" t="s">
        <v>29</v>
      </c>
      <c r="C74" s="144">
        <v>0.79751820842028853</v>
      </c>
      <c r="D74" s="144">
        <v>0.79807421659100752</v>
      </c>
      <c r="E74" s="144">
        <v>0.7944193931587249</v>
      </c>
      <c r="F74" s="71">
        <f t="shared" ref="D74:N74" si="23">F73/F59</f>
        <v>0.80637254934533864</v>
      </c>
      <c r="G74" s="71">
        <f t="shared" si="23"/>
        <v>0.80306449570031668</v>
      </c>
      <c r="H74" s="71">
        <f t="shared" si="23"/>
        <v>0.80256491657136586</v>
      </c>
      <c r="I74" s="71">
        <f t="shared" si="23"/>
        <v>0.8042322259419864</v>
      </c>
      <c r="J74" s="71">
        <f t="shared" si="23"/>
        <v>0.80214592691790865</v>
      </c>
      <c r="K74" s="71">
        <f t="shared" si="23"/>
        <v>0.80257656327168603</v>
      </c>
      <c r="L74" s="71">
        <f t="shared" si="23"/>
        <v>0.80172476639300183</v>
      </c>
      <c r="M74" s="71">
        <f t="shared" si="23"/>
        <v>0.80108228383343982</v>
      </c>
      <c r="N74" s="71">
        <f t="shared" si="23"/>
        <v>0.80036318922571925</v>
      </c>
    </row>
    <row r="75" spans="2:14" x14ac:dyDescent="0.2">
      <c r="B75" s="24"/>
      <c r="C75" s="145"/>
      <c r="D75" s="137"/>
      <c r="E75" s="137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137"/>
      <c r="D76" s="137"/>
      <c r="E76" s="137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80">
        <v>997378.75000000012</v>
      </c>
      <c r="D77" s="80">
        <v>1012322.3015294424</v>
      </c>
      <c r="E77" s="80">
        <v>1019547.4095979217</v>
      </c>
      <c r="F77" s="33">
        <f>F$59*$P28</f>
        <v>1042819.330340306</v>
      </c>
      <c r="G77" s="33">
        <f>G$59*$P28</f>
        <v>1036435.2966347273</v>
      </c>
      <c r="H77" s="33">
        <f>H$59*$P28</f>
        <v>1024870.2968405201</v>
      </c>
      <c r="I77" s="33">
        <f>I$59*$P28</f>
        <v>1028896.3499559042</v>
      </c>
      <c r="J77" s="33">
        <f>J$59*$P28</f>
        <v>1033430.6888156205</v>
      </c>
      <c r="K77" s="33">
        <f>K$59*$P28</f>
        <v>1007301.1592156664</v>
      </c>
      <c r="L77" s="33">
        <f>L$59*$P28</f>
        <v>1025565.3699181359</v>
      </c>
      <c r="M77" s="33">
        <f>M$59*$P28</f>
        <v>1000899.052205026</v>
      </c>
      <c r="N77" s="33">
        <f>N$59*$P28</f>
        <v>1006487.3140220515</v>
      </c>
    </row>
    <row r="78" spans="2:14" x14ac:dyDescent="0.2">
      <c r="B78" s="29" t="s">
        <v>48</v>
      </c>
      <c r="C78" s="80">
        <v>595450</v>
      </c>
      <c r="D78" s="80">
        <v>604371.52330115961</v>
      </c>
      <c r="E78" s="80">
        <v>608685.02065547556</v>
      </c>
      <c r="F78" s="33">
        <f>F$59*$P29</f>
        <v>521409.66517015302</v>
      </c>
      <c r="G78" s="33">
        <f>G$59*$P29</f>
        <v>518217.64831736364</v>
      </c>
      <c r="H78" s="33">
        <f>H$59*$P29</f>
        <v>512435.14842026005</v>
      </c>
      <c r="I78" s="33">
        <f>I$59*$P29</f>
        <v>514448.17497795209</v>
      </c>
      <c r="J78" s="33">
        <f>J$59*$P29</f>
        <v>516715.34440781025</v>
      </c>
      <c r="K78" s="33">
        <f>K$59*$P29</f>
        <v>503650.57960783318</v>
      </c>
      <c r="L78" s="33">
        <f>L$59*$P29</f>
        <v>512782.68495906796</v>
      </c>
      <c r="M78" s="33">
        <f>M$59*$P29</f>
        <v>500449.52610251302</v>
      </c>
      <c r="N78" s="33">
        <f>N$59*$P29</f>
        <v>503243.65701102576</v>
      </c>
    </row>
    <row r="79" spans="2:14" x14ac:dyDescent="0.2">
      <c r="B79" s="29" t="s">
        <v>49</v>
      </c>
      <c r="C79" s="80">
        <v>476360</v>
      </c>
      <c r="D79" s="80">
        <v>483497.21864092769</v>
      </c>
      <c r="E79" s="80">
        <v>486948.01652438048</v>
      </c>
      <c r="F79" s="33">
        <f>F$59*$P30</f>
        <v>245369.25419771907</v>
      </c>
      <c r="G79" s="33">
        <f>G$59*$P30</f>
        <v>243867.12861993583</v>
      </c>
      <c r="H79" s="33">
        <f>H$59*$P30</f>
        <v>241145.95219776942</v>
      </c>
      <c r="I79" s="33">
        <f>I$59*$P30</f>
        <v>242093.25881315392</v>
      </c>
      <c r="J79" s="33">
        <f>J$59*$P30</f>
        <v>243160.16207426362</v>
      </c>
      <c r="K79" s="33">
        <f>K$59*$P30</f>
        <v>237012.03746250973</v>
      </c>
      <c r="L79" s="33">
        <f>L$59*$P30</f>
        <v>241309.49880426726</v>
      </c>
      <c r="M79" s="33">
        <f>M$59*$P30</f>
        <v>235505.65934235905</v>
      </c>
      <c r="N79" s="33">
        <f>N$59*$P30</f>
        <v>236820.54447577681</v>
      </c>
    </row>
    <row r="80" spans="2:14" x14ac:dyDescent="0.2">
      <c r="B80" s="30" t="s">
        <v>50</v>
      </c>
      <c r="C80" s="142">
        <v>89317.5</v>
      </c>
      <c r="D80" s="142">
        <v>90655.728495173942</v>
      </c>
      <c r="E80" s="142">
        <v>91302.753098321336</v>
      </c>
      <c r="F80" s="32">
        <f>F$59*$P31</f>
        <v>184026.94064828928</v>
      </c>
      <c r="G80" s="32">
        <f>G$59*$P31</f>
        <v>182900.34646495184</v>
      </c>
      <c r="H80" s="32">
        <f>H$59*$P31</f>
        <v>180859.46414832707</v>
      </c>
      <c r="I80" s="32">
        <f>I$59*$P31</f>
        <v>181569.94410986544</v>
      </c>
      <c r="J80" s="32">
        <f>J$59*$P31</f>
        <v>182370.1215556977</v>
      </c>
      <c r="K80" s="32">
        <f>K$59*$P31</f>
        <v>177759.02809688228</v>
      </c>
      <c r="L80" s="32">
        <f>L$59*$P31</f>
        <v>180982.12410320045</v>
      </c>
      <c r="M80" s="32">
        <f>M$59*$P31</f>
        <v>176629.24450676929</v>
      </c>
      <c r="N80" s="32">
        <f>N$59*$P31</f>
        <v>177615.4083568326</v>
      </c>
    </row>
    <row r="81" spans="2:21" x14ac:dyDescent="0.2">
      <c r="B81" s="23" t="s">
        <v>51</v>
      </c>
      <c r="C81" s="82">
        <v>2158506.25</v>
      </c>
      <c r="D81" s="82">
        <v>2190846.7719667037</v>
      </c>
      <c r="E81" s="82">
        <v>2206483.1998760989</v>
      </c>
      <c r="F81" s="54">
        <f t="shared" ref="D81:N81" si="24">SUM(F77:F80)</f>
        <v>1993625.1903564674</v>
      </c>
      <c r="G81" s="54">
        <f t="shared" si="24"/>
        <v>1981420.4200369786</v>
      </c>
      <c r="H81" s="54">
        <f t="shared" si="24"/>
        <v>1959310.8616068766</v>
      </c>
      <c r="I81" s="54">
        <f t="shared" si="24"/>
        <v>1967007.7278568756</v>
      </c>
      <c r="J81" s="54">
        <f t="shared" si="24"/>
        <v>1975676.3168533919</v>
      </c>
      <c r="K81" s="54">
        <f t="shared" si="24"/>
        <v>1925722.8043828914</v>
      </c>
      <c r="L81" s="54">
        <f t="shared" si="24"/>
        <v>1960639.6777846715</v>
      </c>
      <c r="M81" s="54">
        <f t="shared" si="24"/>
        <v>1913483.4821566674</v>
      </c>
      <c r="N81" s="54">
        <f t="shared" si="24"/>
        <v>1924166.9238656866</v>
      </c>
    </row>
    <row r="82" spans="2:21" x14ac:dyDescent="0.2">
      <c r="B82" s="24"/>
      <c r="C82" s="80"/>
      <c r="D82" s="80"/>
      <c r="E82" s="80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80">
        <v>893.17499999999995</v>
      </c>
      <c r="D83" s="80">
        <v>906.55728495173935</v>
      </c>
      <c r="E83" s="80">
        <v>913.0275309832133</v>
      </c>
      <c r="F83" s="33">
        <f>F$59*$P33</f>
        <v>920.13470324144635</v>
      </c>
      <c r="G83" s="33">
        <f>G$59*$P33</f>
        <v>914.50173232475925</v>
      </c>
      <c r="H83" s="33">
        <f>H$59*$P33</f>
        <v>904.2973207416353</v>
      </c>
      <c r="I83" s="33">
        <f>I$59*$P33</f>
        <v>907.84972054932712</v>
      </c>
      <c r="J83" s="33">
        <f>J$59*$P33</f>
        <v>911.85060777848844</v>
      </c>
      <c r="K83" s="33">
        <f>K$59*$P33</f>
        <v>888.79514048441138</v>
      </c>
      <c r="L83" s="33">
        <f>L$59*$P33</f>
        <v>904.91062051600215</v>
      </c>
      <c r="M83" s="33">
        <f>M$59*$P33</f>
        <v>883.1462225338463</v>
      </c>
      <c r="N83" s="33">
        <f>N$59*$P33</f>
        <v>888.07704178416293</v>
      </c>
      <c r="U83"/>
    </row>
    <row r="84" spans="2:21" x14ac:dyDescent="0.2">
      <c r="B84" s="53" t="s">
        <v>53</v>
      </c>
      <c r="C84" s="80">
        <v>1012.2650000000001</v>
      </c>
      <c r="D84" s="80">
        <v>1027.4315896119713</v>
      </c>
      <c r="E84" s="80">
        <v>1034.7645351143085</v>
      </c>
      <c r="F84" s="33">
        <f>F$59*$P34</f>
        <v>1042.8193303403061</v>
      </c>
      <c r="G84" s="33">
        <f>G$59*$P34</f>
        <v>1036.4352966347274</v>
      </c>
      <c r="H84" s="33">
        <f>H$59*$P34</f>
        <v>1024.8702968405203</v>
      </c>
      <c r="I84" s="33">
        <f>I$59*$P34</f>
        <v>1028.8963499559043</v>
      </c>
      <c r="J84" s="33">
        <f>J$59*$P34</f>
        <v>1033.4306888156204</v>
      </c>
      <c r="K84" s="33">
        <f>K$59*$P34</f>
        <v>1007.3011592156664</v>
      </c>
      <c r="L84" s="33">
        <f>L$59*$P34</f>
        <v>1025.565369918136</v>
      </c>
      <c r="M84" s="33">
        <f>M$59*$P34</f>
        <v>1000.899052205026</v>
      </c>
      <c r="N84" s="33">
        <f>N$59*$P34</f>
        <v>1006.4873140220516</v>
      </c>
      <c r="U84"/>
    </row>
    <row r="85" spans="2:21" x14ac:dyDescent="0.2">
      <c r="B85" s="53" t="s">
        <v>54</v>
      </c>
      <c r="C85" s="80">
        <v>297.72500000000002</v>
      </c>
      <c r="D85" s="80">
        <v>302.18576165057982</v>
      </c>
      <c r="E85" s="80">
        <v>304.34251032773778</v>
      </c>
      <c r="F85" s="33">
        <f>F$59*$P35</f>
        <v>306.71156774714882</v>
      </c>
      <c r="G85" s="33">
        <f>G$59*$P35</f>
        <v>304.83391077491979</v>
      </c>
      <c r="H85" s="33">
        <f>H$59*$P35</f>
        <v>301.43244024721179</v>
      </c>
      <c r="I85" s="33">
        <f>I$59*$P35</f>
        <v>302.61657351644243</v>
      </c>
      <c r="J85" s="33">
        <f>J$59*$P35</f>
        <v>303.95020259282956</v>
      </c>
      <c r="K85" s="33">
        <f>K$59*$P35</f>
        <v>296.26504682813714</v>
      </c>
      <c r="L85" s="33">
        <f>L$59*$P35</f>
        <v>301.63687350533411</v>
      </c>
      <c r="M85" s="33">
        <f>M$59*$P35</f>
        <v>294.38207417794882</v>
      </c>
      <c r="N85" s="33">
        <f>N$59*$P35</f>
        <v>296.02568059472105</v>
      </c>
      <c r="U85"/>
    </row>
    <row r="86" spans="2:21" x14ac:dyDescent="0.2">
      <c r="B86" s="53" t="s">
        <v>55</v>
      </c>
      <c r="C86" s="80">
        <v>14886.25</v>
      </c>
      <c r="D86" s="80">
        <v>15109.28808252899</v>
      </c>
      <c r="E86" s="80">
        <v>15217.12551638689</v>
      </c>
      <c r="F86" s="33">
        <f>F$59*$P36</f>
        <v>15335.578387357442</v>
      </c>
      <c r="G86" s="33">
        <f>G$59*$P36</f>
        <v>15241.695538745989</v>
      </c>
      <c r="H86" s="33">
        <f>H$59*$P36</f>
        <v>15071.622012360589</v>
      </c>
      <c r="I86" s="33">
        <f>I$59*$P36</f>
        <v>15130.82867582212</v>
      </c>
      <c r="J86" s="33">
        <f>J$59*$P36</f>
        <v>15197.510129641476</v>
      </c>
      <c r="K86" s="33">
        <f>K$59*$P36</f>
        <v>14813.252341406858</v>
      </c>
      <c r="L86" s="33">
        <f>L$59*$P36</f>
        <v>15081.843675266704</v>
      </c>
      <c r="M86" s="33">
        <f>M$59*$P36</f>
        <v>14719.103708897441</v>
      </c>
      <c r="N86" s="33">
        <f>N$59*$P36</f>
        <v>14801.284029736051</v>
      </c>
      <c r="U86"/>
    </row>
    <row r="87" spans="2:21" x14ac:dyDescent="0.2">
      <c r="B87" s="53" t="s">
        <v>56</v>
      </c>
      <c r="C87" s="80">
        <v>20840.75</v>
      </c>
      <c r="D87" s="80">
        <v>21153.003315540587</v>
      </c>
      <c r="E87" s="80">
        <v>21303.975722941646</v>
      </c>
      <c r="F87" s="33">
        <f>F$59*$P37</f>
        <v>21469.809742300418</v>
      </c>
      <c r="G87" s="33">
        <f>G$59*$P37</f>
        <v>21338.373754244385</v>
      </c>
      <c r="H87" s="33">
        <f>H$59*$P37</f>
        <v>21100.270817304827</v>
      </c>
      <c r="I87" s="33">
        <f>I$59*$P37</f>
        <v>21183.160146150967</v>
      </c>
      <c r="J87" s="33">
        <f>J$59*$P37</f>
        <v>21276.514181498067</v>
      </c>
      <c r="K87" s="33">
        <f>K$59*$P37</f>
        <v>20738.5532779696</v>
      </c>
      <c r="L87" s="33">
        <f>L$59*$P37</f>
        <v>21114.581145373388</v>
      </c>
      <c r="M87" s="33">
        <f>M$59*$P37</f>
        <v>20606.745192456416</v>
      </c>
      <c r="N87" s="33">
        <f>N$59*$P37</f>
        <v>20721.79764163047</v>
      </c>
      <c r="U87"/>
    </row>
    <row r="88" spans="2:21" x14ac:dyDescent="0.2">
      <c r="B88" s="53" t="s">
        <v>57</v>
      </c>
      <c r="C88" s="80">
        <v>2977.25</v>
      </c>
      <c r="D88" s="80">
        <v>3021.857616505798</v>
      </c>
      <c r="E88" s="80">
        <v>3043.4251032773777</v>
      </c>
      <c r="F88" s="33">
        <f>F$59*$P38</f>
        <v>3067.1156774714882</v>
      </c>
      <c r="G88" s="33">
        <f>G$59*$P38</f>
        <v>3048.3391077491979</v>
      </c>
      <c r="H88" s="33">
        <f>H$59*$P38</f>
        <v>3014.324402472118</v>
      </c>
      <c r="I88" s="33">
        <f>I$59*$P38</f>
        <v>3026.1657351644239</v>
      </c>
      <c r="J88" s="33">
        <f>J$59*$P38</f>
        <v>3039.5020259282951</v>
      </c>
      <c r="K88" s="33">
        <f>K$59*$P38</f>
        <v>2962.6504682813716</v>
      </c>
      <c r="L88" s="33">
        <f>L$59*$P38</f>
        <v>3016.368735053341</v>
      </c>
      <c r="M88" s="33">
        <f>M$59*$P38</f>
        <v>2943.8207417794879</v>
      </c>
      <c r="N88" s="33">
        <f>N$59*$P38</f>
        <v>2960.2568059472101</v>
      </c>
      <c r="U88"/>
    </row>
    <row r="89" spans="2:21" x14ac:dyDescent="0.2">
      <c r="B89" s="53" t="s">
        <v>58</v>
      </c>
      <c r="C89" s="80">
        <v>38704.25</v>
      </c>
      <c r="D89" s="80">
        <v>39284.149014575371</v>
      </c>
      <c r="E89" s="80">
        <v>39564.52634260591</v>
      </c>
      <c r="F89" s="33">
        <f>F$59*$P39</f>
        <v>39872.503807129346</v>
      </c>
      <c r="G89" s="33">
        <f>G$59*$P39</f>
        <v>39628.408400739565</v>
      </c>
      <c r="H89" s="33">
        <f>H$59*$P39</f>
        <v>39186.217232137533</v>
      </c>
      <c r="I89" s="33">
        <f>I$59*$P39</f>
        <v>39340.15455713751</v>
      </c>
      <c r="J89" s="33">
        <f>J$59*$P39</f>
        <v>39513.526337067837</v>
      </c>
      <c r="K89" s="33">
        <f>K$59*$P39</f>
        <v>38514.456087657825</v>
      </c>
      <c r="L89" s="33">
        <f>L$59*$P39</f>
        <v>39212.793555693432</v>
      </c>
      <c r="M89" s="33">
        <f>M$59*$P39</f>
        <v>38269.66964313334</v>
      </c>
      <c r="N89" s="33">
        <f>N$59*$P39</f>
        <v>38483.33847731373</v>
      </c>
      <c r="U89"/>
    </row>
    <row r="90" spans="2:21" x14ac:dyDescent="0.2">
      <c r="B90" s="53" t="s">
        <v>59</v>
      </c>
      <c r="C90" s="80">
        <v>44658.75</v>
      </c>
      <c r="D90" s="80">
        <v>45327.864247586971</v>
      </c>
      <c r="E90" s="80">
        <v>45651.376549160668</v>
      </c>
      <c r="F90" s="33">
        <f>F$59*$P40</f>
        <v>46006.73516207232</v>
      </c>
      <c r="G90" s="33">
        <f>G$59*$P40</f>
        <v>45725.086616237961</v>
      </c>
      <c r="H90" s="33">
        <f>H$59*$P40</f>
        <v>45214.866037081767</v>
      </c>
      <c r="I90" s="33">
        <f>I$59*$P40</f>
        <v>45392.486027466359</v>
      </c>
      <c r="J90" s="33">
        <f>J$59*$P40</f>
        <v>45592.530388924424</v>
      </c>
      <c r="K90" s="33">
        <f>K$59*$P40</f>
        <v>44439.757024220569</v>
      </c>
      <c r="L90" s="33">
        <f>L$59*$P40</f>
        <v>45245.531025800112</v>
      </c>
      <c r="M90" s="33">
        <f>M$59*$P40</f>
        <v>44157.311126692322</v>
      </c>
      <c r="N90" s="33">
        <f>N$59*$P40</f>
        <v>44403.852089208151</v>
      </c>
      <c r="U90"/>
    </row>
    <row r="91" spans="2:21" x14ac:dyDescent="0.2">
      <c r="B91" s="30" t="s">
        <v>60</v>
      </c>
      <c r="C91" s="142">
        <v>44658.75</v>
      </c>
      <c r="D91" s="142">
        <v>45327.864247586971</v>
      </c>
      <c r="E91" s="142">
        <v>45651.376549160668</v>
      </c>
      <c r="F91" s="32">
        <f>F$59*$P41</f>
        <v>46006.73516207232</v>
      </c>
      <c r="G91" s="32">
        <f>G$59*$P41</f>
        <v>45725.086616237961</v>
      </c>
      <c r="H91" s="32">
        <f>H$59*$P41</f>
        <v>45214.866037081767</v>
      </c>
      <c r="I91" s="32">
        <f>I$59*$P41</f>
        <v>45392.486027466359</v>
      </c>
      <c r="J91" s="32">
        <f>J$59*$P41</f>
        <v>45592.530388924424</v>
      </c>
      <c r="K91" s="32">
        <f>K$59*$P41</f>
        <v>44439.757024220569</v>
      </c>
      <c r="L91" s="32">
        <f>L$59*$P41</f>
        <v>45245.531025800112</v>
      </c>
      <c r="M91" s="32">
        <f>M$59*$P41</f>
        <v>44157.311126692322</v>
      </c>
      <c r="N91" s="32">
        <f>N$59*$P41</f>
        <v>44403.852089208151</v>
      </c>
      <c r="U91"/>
    </row>
    <row r="92" spans="2:21" x14ac:dyDescent="0.2">
      <c r="B92" s="52" t="s">
        <v>61</v>
      </c>
      <c r="C92" s="82">
        <v>168929.16500000001</v>
      </c>
      <c r="D92" s="82">
        <v>171460.20116053897</v>
      </c>
      <c r="E92" s="82">
        <v>172683.94035995842</v>
      </c>
      <c r="F92" s="54">
        <f t="shared" ref="D92:N92" si="25">SUM(F83:F91)</f>
        <v>174028.14353973223</v>
      </c>
      <c r="G92" s="54">
        <f t="shared" si="25"/>
        <v>172962.76097368947</v>
      </c>
      <c r="H92" s="54">
        <f t="shared" si="25"/>
        <v>171032.76659626796</v>
      </c>
      <c r="I92" s="54">
        <f t="shared" si="25"/>
        <v>171704.64381322943</v>
      </c>
      <c r="J92" s="54">
        <f t="shared" si="25"/>
        <v>172461.34495117146</v>
      </c>
      <c r="K92" s="54">
        <f t="shared" si="25"/>
        <v>168100.787570285</v>
      </c>
      <c r="L92" s="54">
        <f t="shared" si="25"/>
        <v>171148.76202692656</v>
      </c>
      <c r="M92" s="54">
        <f t="shared" si="25"/>
        <v>167032.38888856815</v>
      </c>
      <c r="N92" s="54">
        <f t="shared" si="25"/>
        <v>167964.97116944467</v>
      </c>
      <c r="U92"/>
    </row>
    <row r="93" spans="2:21" x14ac:dyDescent="0.2">
      <c r="B93" s="51"/>
      <c r="C93" s="80"/>
      <c r="D93" s="80"/>
      <c r="E93" s="80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143">
        <v>2421386.7570386082</v>
      </c>
      <c r="D94" s="143">
        <v>2461026.3267576252</v>
      </c>
      <c r="E94" s="143">
        <v>2456344.707103231</v>
      </c>
      <c r="F94" s="42">
        <f t="shared" ref="D94:N94" si="26">F73-F81-F92</f>
        <v>2778822.442063279</v>
      </c>
      <c r="G94" s="42">
        <f t="shared" si="26"/>
        <v>2741642.6355656572</v>
      </c>
      <c r="H94" s="42">
        <f t="shared" si="26"/>
        <v>2708038.3969749911</v>
      </c>
      <c r="I94" s="42">
        <f t="shared" si="26"/>
        <v>2728767.6388511998</v>
      </c>
      <c r="J94" s="42">
        <f t="shared" si="26"/>
        <v>2728110.6781096635</v>
      </c>
      <c r="K94" s="42">
        <f t="shared" si="26"/>
        <v>2661684.0700638522</v>
      </c>
      <c r="L94" s="42">
        <f t="shared" si="26"/>
        <v>2704806.5991199906</v>
      </c>
      <c r="M94" s="42">
        <f t="shared" si="26"/>
        <v>2635969.414996691</v>
      </c>
      <c r="N94" s="42">
        <f t="shared" si="26"/>
        <v>2646429.2612349694</v>
      </c>
    </row>
    <row r="95" spans="2:21" x14ac:dyDescent="0.2">
      <c r="B95" s="23" t="s">
        <v>34</v>
      </c>
      <c r="C95" s="144">
        <v>0.40664820842028854</v>
      </c>
      <c r="D95" s="144">
        <v>0.40720421659100747</v>
      </c>
      <c r="E95" s="144">
        <v>0.4035493931587249</v>
      </c>
      <c r="F95" s="71">
        <f t="shared" ref="D95:N95" si="27">F94/F59</f>
        <v>0.45300254934533862</v>
      </c>
      <c r="G95" s="71">
        <f t="shared" si="27"/>
        <v>0.44969449570031661</v>
      </c>
      <c r="H95" s="71">
        <f t="shared" si="27"/>
        <v>0.44919491657136595</v>
      </c>
      <c r="I95" s="71">
        <f t="shared" si="27"/>
        <v>0.45086222594198638</v>
      </c>
      <c r="J95" s="71">
        <f t="shared" si="27"/>
        <v>0.44877592691790863</v>
      </c>
      <c r="K95" s="71">
        <f t="shared" si="27"/>
        <v>0.44920656327168601</v>
      </c>
      <c r="L95" s="71">
        <f t="shared" si="27"/>
        <v>0.44835476639300192</v>
      </c>
      <c r="M95" s="71">
        <f t="shared" si="27"/>
        <v>0.44771228383343981</v>
      </c>
      <c r="N95" s="71">
        <f t="shared" si="27"/>
        <v>0.44699318922571929</v>
      </c>
    </row>
    <row r="97" spans="1:21" x14ac:dyDescent="0.2">
      <c r="A97" s="39" t="s">
        <v>88</v>
      </c>
    </row>
    <row r="98" spans="1:21" s="62" customFormat="1" x14ac:dyDescent="0.2">
      <c r="B98" s="58" t="s">
        <v>84</v>
      </c>
      <c r="C98" s="146">
        <v>562700.25</v>
      </c>
      <c r="D98" s="146">
        <v>571131.08951959584</v>
      </c>
      <c r="E98" s="146">
        <v>575207.34451942449</v>
      </c>
      <c r="F98" s="119">
        <f t="shared" ref="D98:N98" si="28">(F79+F80+F86+F90)*0.9</f>
        <v>441664.65755589429</v>
      </c>
      <c r="G98" s="119">
        <f t="shared" si="28"/>
        <v>438960.83151588443</v>
      </c>
      <c r="H98" s="119">
        <f t="shared" si="28"/>
        <v>434062.71395598497</v>
      </c>
      <c r="I98" s="119">
        <f t="shared" si="28"/>
        <v>435767.86586367706</v>
      </c>
      <c r="J98" s="119">
        <f t="shared" si="28"/>
        <v>437688.29173367447</v>
      </c>
      <c r="K98" s="119">
        <f t="shared" si="28"/>
        <v>426621.66743251745</v>
      </c>
      <c r="L98" s="119">
        <f t="shared" si="28"/>
        <v>434357.09784768109</v>
      </c>
      <c r="M98" s="119">
        <f t="shared" si="28"/>
        <v>423910.18681624631</v>
      </c>
      <c r="N98" s="119">
        <f t="shared" si="28"/>
        <v>426276.98005639826</v>
      </c>
      <c r="P98" s="117"/>
      <c r="U98" s="118"/>
    </row>
    <row r="99" spans="1:21" s="62" customFormat="1" x14ac:dyDescent="0.2">
      <c r="B99" s="58" t="s">
        <v>85</v>
      </c>
      <c r="C99" s="146">
        <v>1511252.1</v>
      </c>
      <c r="D99" s="146">
        <v>1533894.9261383433</v>
      </c>
      <c r="E99" s="146">
        <v>1544842.5824235971</v>
      </c>
      <c r="F99" s="119">
        <f t="shared" ref="D99:N99" si="29">(F77+F78+F88+F89+F91)*0.9</f>
        <v>1487857.8151414189</v>
      </c>
      <c r="G99" s="119">
        <f t="shared" si="29"/>
        <v>1478749.3011691358</v>
      </c>
      <c r="H99" s="119">
        <f t="shared" si="29"/>
        <v>1462248.7676392242</v>
      </c>
      <c r="I99" s="119">
        <f t="shared" si="29"/>
        <v>1467992.9981282621</v>
      </c>
      <c r="J99" s="119">
        <f t="shared" si="29"/>
        <v>1474462.4327778162</v>
      </c>
      <c r="K99" s="119">
        <f t="shared" si="29"/>
        <v>1437181.7421632935</v>
      </c>
      <c r="L99" s="119">
        <f t="shared" si="29"/>
        <v>1463240.4733743758</v>
      </c>
      <c r="M99" s="119">
        <f t="shared" si="29"/>
        <v>1428047.4418372298</v>
      </c>
      <c r="N99" s="119">
        <f t="shared" si="29"/>
        <v>1436020.5765649918</v>
      </c>
      <c r="P99" s="117"/>
      <c r="U99" s="118"/>
    </row>
    <row r="100" spans="1:21" s="62" customFormat="1" x14ac:dyDescent="0.2">
      <c r="B100" s="121" t="s">
        <v>86</v>
      </c>
      <c r="C100" s="147">
        <v>20739.523500000003</v>
      </c>
      <c r="D100" s="147">
        <v>21050.260156579392</v>
      </c>
      <c r="E100" s="147">
        <v>21200.499269430216</v>
      </c>
      <c r="F100" s="122">
        <f t="shared" ref="D100:N100" si="30">(F83+F84+F85+F87)*0.9</f>
        <v>21365.527809266387</v>
      </c>
      <c r="G100" s="122">
        <f t="shared" si="30"/>
        <v>21234.730224580915</v>
      </c>
      <c r="H100" s="122">
        <f t="shared" si="30"/>
        <v>20997.783787620774</v>
      </c>
      <c r="I100" s="122">
        <f t="shared" si="30"/>
        <v>21080.270511155377</v>
      </c>
      <c r="J100" s="122">
        <f t="shared" si="30"/>
        <v>21173.171112616506</v>
      </c>
      <c r="K100" s="122">
        <f t="shared" si="30"/>
        <v>20637.823162048033</v>
      </c>
      <c r="L100" s="122">
        <f t="shared" si="30"/>
        <v>21012.024608381576</v>
      </c>
      <c r="M100" s="122">
        <f t="shared" si="30"/>
        <v>20506.655287235913</v>
      </c>
      <c r="N100" s="122">
        <f t="shared" si="30"/>
        <v>20621.148910228265</v>
      </c>
      <c r="P100" s="117"/>
      <c r="U100" s="118"/>
    </row>
    <row r="101" spans="1:21" x14ac:dyDescent="0.2">
      <c r="B101" s="23" t="s">
        <v>87</v>
      </c>
      <c r="C101" s="148">
        <v>2094691.8735</v>
      </c>
      <c r="D101" s="148">
        <v>2126076.2758145183</v>
      </c>
      <c r="E101" s="148">
        <v>2141250.4262124519</v>
      </c>
      <c r="F101" s="120">
        <f t="shared" ref="D101:N101" si="31">SUM(F98:F100)</f>
        <v>1950888.0005065796</v>
      </c>
      <c r="G101" s="120">
        <f t="shared" si="31"/>
        <v>1938944.8629096013</v>
      </c>
      <c r="H101" s="120">
        <f t="shared" si="31"/>
        <v>1917309.2653828298</v>
      </c>
      <c r="I101" s="120">
        <f t="shared" si="31"/>
        <v>1924841.1345030947</v>
      </c>
      <c r="J101" s="120">
        <f t="shared" si="31"/>
        <v>1933323.8956241072</v>
      </c>
      <c r="K101" s="120">
        <f t="shared" si="31"/>
        <v>1884441.2327578592</v>
      </c>
      <c r="L101" s="120">
        <f t="shared" si="31"/>
        <v>1918609.5958304384</v>
      </c>
      <c r="M101" s="120">
        <f t="shared" si="31"/>
        <v>1872464.283940712</v>
      </c>
      <c r="N101" s="120">
        <f t="shared" si="31"/>
        <v>1882918.7055316183</v>
      </c>
    </row>
    <row r="103" spans="1:21" x14ac:dyDescent="0.2">
      <c r="B103" s="58" t="s">
        <v>94</v>
      </c>
      <c r="C103" s="143">
        <v>2654130.2985386085</v>
      </c>
      <c r="D103" s="143">
        <v>2697257.0240703495</v>
      </c>
      <c r="E103" s="143">
        <v>2694261.4211268364</v>
      </c>
      <c r="F103" s="42">
        <f t="shared" ref="D103:N103" si="32">F73-F101</f>
        <v>2995587.7754528988</v>
      </c>
      <c r="G103" s="42">
        <f t="shared" si="32"/>
        <v>2957080.9536667243</v>
      </c>
      <c r="H103" s="42">
        <f t="shared" si="32"/>
        <v>2921072.7597953053</v>
      </c>
      <c r="I103" s="42">
        <f t="shared" si="32"/>
        <v>2942638.8760182103</v>
      </c>
      <c r="J103" s="42">
        <f t="shared" si="32"/>
        <v>2942924.4442901197</v>
      </c>
      <c r="K103" s="42">
        <f t="shared" si="32"/>
        <v>2871066.4292591698</v>
      </c>
      <c r="L103" s="42">
        <f t="shared" si="32"/>
        <v>2917985.44310115</v>
      </c>
      <c r="M103" s="42">
        <f t="shared" si="32"/>
        <v>2844021.0021012146</v>
      </c>
      <c r="N103" s="42">
        <f t="shared" si="32"/>
        <v>2855642.4507384822</v>
      </c>
    </row>
    <row r="104" spans="1:21" x14ac:dyDescent="0.2">
      <c r="B104" s="58" t="s">
        <v>95</v>
      </c>
      <c r="C104" s="144">
        <v>0.44573520842028858</v>
      </c>
      <c r="D104" s="144">
        <v>0.44629121659100751</v>
      </c>
      <c r="E104" s="144">
        <v>0.44263639315872488</v>
      </c>
      <c r="F104" s="71">
        <f t="shared" ref="D104:N104" si="33">F103/F59</f>
        <v>0.48833954934533857</v>
      </c>
      <c r="G104" s="71">
        <f t="shared" si="33"/>
        <v>0.48503149570031667</v>
      </c>
      <c r="H104" s="71">
        <f t="shared" si="33"/>
        <v>0.48453191657136591</v>
      </c>
      <c r="I104" s="71">
        <f t="shared" si="33"/>
        <v>0.48619922594198639</v>
      </c>
      <c r="J104" s="71">
        <f t="shared" si="33"/>
        <v>0.48411292691790858</v>
      </c>
      <c r="K104" s="71">
        <f t="shared" si="33"/>
        <v>0.48454356327168602</v>
      </c>
      <c r="L104" s="71">
        <f t="shared" si="33"/>
        <v>0.48369176639300182</v>
      </c>
      <c r="M104" s="71">
        <f t="shared" si="33"/>
        <v>0.48304928383343981</v>
      </c>
      <c r="N104" s="71">
        <f t="shared" si="33"/>
        <v>0.48233018922571924</v>
      </c>
    </row>
    <row r="106" spans="1:21" x14ac:dyDescent="0.2">
      <c r="B106" s="58" t="s">
        <v>89</v>
      </c>
      <c r="C106" s="146">
        <v>146628.43114500001</v>
      </c>
      <c r="D106" s="146">
        <v>148825.33930701629</v>
      </c>
      <c r="E106" s="146">
        <v>149887.52983487162</v>
      </c>
      <c r="F106" s="119">
        <f t="shared" ref="D106:N106" si="34">F$110*$P43</f>
        <v>136562.16003546058</v>
      </c>
      <c r="G106" s="119">
        <f t="shared" si="34"/>
        <v>135726.14040367209</v>
      </c>
      <c r="H106" s="119">
        <f t="shared" si="34"/>
        <v>134211.64857679812</v>
      </c>
      <c r="I106" s="119">
        <f t="shared" si="34"/>
        <v>134738.87941521662</v>
      </c>
      <c r="J106" s="119">
        <f t="shared" si="34"/>
        <v>135332.67269368749</v>
      </c>
      <c r="K106" s="119">
        <f t="shared" si="34"/>
        <v>131910.88629305011</v>
      </c>
      <c r="L106" s="119">
        <f t="shared" si="34"/>
        <v>134302.67170813069</v>
      </c>
      <c r="M106" s="119">
        <f t="shared" si="34"/>
        <v>131072.49987584984</v>
      </c>
      <c r="N106" s="119">
        <f t="shared" si="34"/>
        <v>131804.30938721329</v>
      </c>
    </row>
    <row r="107" spans="1:21" x14ac:dyDescent="0.2">
      <c r="B107" s="58" t="s">
        <v>90</v>
      </c>
      <c r="C107" s="146">
        <v>51203.579130000006</v>
      </c>
      <c r="D107" s="146">
        <v>51970.753408799341</v>
      </c>
      <c r="E107" s="146">
        <v>52341.677085193267</v>
      </c>
      <c r="F107" s="119">
        <f t="shared" ref="C107:N107" si="35">F$110*$P44</f>
        <v>47688.373345716398</v>
      </c>
      <c r="G107" s="119">
        <f t="shared" si="35"/>
        <v>47396.429982234702</v>
      </c>
      <c r="H107" s="119">
        <f t="shared" si="35"/>
        <v>46867.559820469185</v>
      </c>
      <c r="I107" s="119">
        <f t="shared" si="35"/>
        <v>47051.672176742315</v>
      </c>
      <c r="J107" s="119">
        <f t="shared" si="35"/>
        <v>47259.028559700397</v>
      </c>
      <c r="K107" s="119">
        <f t="shared" si="35"/>
        <v>46064.119022969877</v>
      </c>
      <c r="L107" s="119">
        <f t="shared" si="35"/>
        <v>46899.345675855162</v>
      </c>
      <c r="M107" s="119">
        <f t="shared" si="35"/>
        <v>45771.349162995182</v>
      </c>
      <c r="N107" s="119">
        <f t="shared" si="35"/>
        <v>46026.901690772895</v>
      </c>
    </row>
    <row r="108" spans="1:21" x14ac:dyDescent="0.2">
      <c r="B108" s="58" t="s">
        <v>91</v>
      </c>
      <c r="C108" s="146">
        <v>23274.354150000003</v>
      </c>
      <c r="D108" s="146">
        <v>23623.06973127243</v>
      </c>
      <c r="E108" s="146">
        <v>23791.671402360575</v>
      </c>
      <c r="F108" s="119">
        <f t="shared" ref="C108:N108" si="36">F$110*$P45</f>
        <v>21676.533338961999</v>
      </c>
      <c r="G108" s="119">
        <f t="shared" si="36"/>
        <v>21543.831810106683</v>
      </c>
      <c r="H108" s="119">
        <f t="shared" si="36"/>
        <v>21303.436282031449</v>
      </c>
      <c r="I108" s="119">
        <f t="shared" si="36"/>
        <v>21387.123716701055</v>
      </c>
      <c r="J108" s="119">
        <f t="shared" si="36"/>
        <v>21481.376618045637</v>
      </c>
      <c r="K108" s="119">
        <f t="shared" si="36"/>
        <v>20938.235919531766</v>
      </c>
      <c r="L108" s="119">
        <f t="shared" si="36"/>
        <v>21317.884398115984</v>
      </c>
      <c r="M108" s="119">
        <f t="shared" si="36"/>
        <v>20805.158710452357</v>
      </c>
      <c r="N108" s="119">
        <f t="shared" si="36"/>
        <v>20921.318950351317</v>
      </c>
    </row>
    <row r="109" spans="1:21" x14ac:dyDescent="0.2">
      <c r="B109" s="121" t="s">
        <v>92</v>
      </c>
      <c r="C109" s="147">
        <v>11637.177075000001</v>
      </c>
      <c r="D109" s="147">
        <v>11811.534865636215</v>
      </c>
      <c r="E109" s="147">
        <v>11895.835701180287</v>
      </c>
      <c r="F109" s="122">
        <f t="shared" ref="C109:N109" si="37">F$110*$P46</f>
        <v>10838.266669481</v>
      </c>
      <c r="G109" s="122">
        <f t="shared" si="37"/>
        <v>10771.915905053342</v>
      </c>
      <c r="H109" s="122">
        <f t="shared" si="37"/>
        <v>10651.718141015725</v>
      </c>
      <c r="I109" s="122">
        <f t="shared" si="37"/>
        <v>10693.561858350527</v>
      </c>
      <c r="J109" s="122">
        <f t="shared" si="37"/>
        <v>10740.688309022818</v>
      </c>
      <c r="K109" s="122">
        <f t="shared" si="37"/>
        <v>10469.117959765883</v>
      </c>
      <c r="L109" s="122">
        <f t="shared" si="37"/>
        <v>10658.942199057992</v>
      </c>
      <c r="M109" s="122">
        <f t="shared" si="37"/>
        <v>10402.579355226178</v>
      </c>
      <c r="N109" s="122">
        <f t="shared" si="37"/>
        <v>10460.659475175658</v>
      </c>
    </row>
    <row r="110" spans="1:21" x14ac:dyDescent="0.2">
      <c r="B110" s="23" t="s">
        <v>93</v>
      </c>
      <c r="C110" s="148">
        <v>232743.54150000002</v>
      </c>
      <c r="D110" s="148">
        <v>236230.69731272428</v>
      </c>
      <c r="E110" s="148">
        <v>237916.71402360575</v>
      </c>
      <c r="F110" s="120">
        <f t="shared" ref="D110:N110" si="38">(F81+F92)*0.1</f>
        <v>216765.33338961998</v>
      </c>
      <c r="G110" s="120">
        <f t="shared" si="38"/>
        <v>215438.31810106683</v>
      </c>
      <c r="H110" s="120">
        <f t="shared" si="38"/>
        <v>213034.36282031448</v>
      </c>
      <c r="I110" s="120">
        <f t="shared" si="38"/>
        <v>213871.23716701052</v>
      </c>
      <c r="J110" s="120">
        <f t="shared" si="38"/>
        <v>214813.76618045635</v>
      </c>
      <c r="K110" s="120">
        <f t="shared" si="38"/>
        <v>209382.35919531764</v>
      </c>
      <c r="L110" s="120">
        <f t="shared" si="38"/>
        <v>213178.84398115982</v>
      </c>
      <c r="M110" s="120">
        <f t="shared" si="38"/>
        <v>208051.58710452355</v>
      </c>
      <c r="N110" s="120">
        <f t="shared" si="38"/>
        <v>209213.18950351316</v>
      </c>
    </row>
    <row r="112" spans="1:21" x14ac:dyDescent="0.2">
      <c r="B112" s="58" t="s">
        <v>96</v>
      </c>
      <c r="C112" s="143">
        <v>2421386.7570386087</v>
      </c>
      <c r="D112" s="143">
        <v>2461026.3267576252</v>
      </c>
      <c r="E112" s="143">
        <v>2456344.7071032305</v>
      </c>
      <c r="F112" s="42">
        <f t="shared" ref="D112:N112" si="39">F103-F110</f>
        <v>2778822.442063279</v>
      </c>
      <c r="G112" s="42">
        <f t="shared" si="39"/>
        <v>2741642.6355656576</v>
      </c>
      <c r="H112" s="42">
        <f t="shared" si="39"/>
        <v>2708038.3969749911</v>
      </c>
      <c r="I112" s="42">
        <f t="shared" si="39"/>
        <v>2728767.6388511998</v>
      </c>
      <c r="J112" s="42">
        <f t="shared" si="39"/>
        <v>2728110.6781096635</v>
      </c>
      <c r="K112" s="42">
        <f t="shared" si="39"/>
        <v>2661684.0700638522</v>
      </c>
      <c r="L112" s="42">
        <f t="shared" si="39"/>
        <v>2704806.5991199901</v>
      </c>
      <c r="M112" s="42">
        <f t="shared" si="39"/>
        <v>2635969.414996691</v>
      </c>
      <c r="N112" s="42">
        <f t="shared" si="39"/>
        <v>2646429.2612349689</v>
      </c>
    </row>
    <row r="113" spans="2:14" x14ac:dyDescent="0.2">
      <c r="B113" s="58" t="s">
        <v>97</v>
      </c>
      <c r="C113" s="144">
        <v>0.40664820842028865</v>
      </c>
      <c r="D113" s="144">
        <v>0.40720421659100747</v>
      </c>
      <c r="E113" s="144">
        <v>0.40354939315872485</v>
      </c>
      <c r="F113" s="71">
        <f t="shared" ref="D113:N113" si="40">F112/F59</f>
        <v>0.45300254934533862</v>
      </c>
      <c r="G113" s="71">
        <f t="shared" si="40"/>
        <v>0.44969449570031672</v>
      </c>
      <c r="H113" s="71">
        <f t="shared" si="40"/>
        <v>0.44919491657136595</v>
      </c>
      <c r="I113" s="71">
        <f t="shared" si="40"/>
        <v>0.45086222594198638</v>
      </c>
      <c r="J113" s="71">
        <f t="shared" si="40"/>
        <v>0.44877592691790863</v>
      </c>
      <c r="K113" s="71">
        <f t="shared" si="40"/>
        <v>0.44920656327168601</v>
      </c>
      <c r="L113" s="71">
        <f t="shared" si="40"/>
        <v>0.44835476639300181</v>
      </c>
      <c r="M113" s="71">
        <f t="shared" si="40"/>
        <v>0.44771228383343981</v>
      </c>
      <c r="N113" s="71">
        <f t="shared" si="40"/>
        <v>0.44699318922571918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645E2-6F2A-4189-92ED-09F37921AB62}">
  <dimension ref="B2:S93"/>
  <sheetViews>
    <sheetView showGridLines="0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103" sqref="W103"/>
    </sheetView>
  </sheetViews>
  <sheetFormatPr defaultRowHeight="12.75" outlineLevelRow="3" outlineLevelCol="1" x14ac:dyDescent="0.2"/>
  <cols>
    <col min="1" max="1" width="3.7109375" customWidth="1"/>
    <col min="2" max="2" width="20.7109375" customWidth="1"/>
    <col min="3" max="3" width="13.7109375" customWidth="1"/>
    <col min="4" max="5" width="13.7109375" hidden="1" customWidth="1" outlineLevel="1"/>
    <col min="6" max="6" width="13.7109375" customWidth="1" collapsed="1"/>
    <col min="7" max="7" width="13.7109375" customWidth="1"/>
    <col min="8" max="8" width="5.7109375" style="61" customWidth="1"/>
    <col min="9" max="9" width="13.7109375" customWidth="1"/>
    <col min="10" max="11" width="13.7109375" hidden="1" customWidth="1" outlineLevel="1"/>
    <col min="12" max="12" width="13.7109375" customWidth="1" collapsed="1"/>
    <col min="13" max="13" width="13.7109375" customWidth="1"/>
    <col min="14" max="14" width="5.7109375" customWidth="1"/>
    <col min="15" max="15" width="13.7109375" customWidth="1"/>
    <col min="16" max="17" width="13.7109375" hidden="1" customWidth="1" outlineLevel="1"/>
    <col min="18" max="18" width="13.7109375" customWidth="1" collapsed="1"/>
    <col min="19" max="19" width="13.7109375" customWidth="1"/>
  </cols>
  <sheetData>
    <row r="2" spans="2:19" x14ac:dyDescent="0.2">
      <c r="B2" s="52" t="s">
        <v>128</v>
      </c>
      <c r="C2" s="3">
        <f>'DB Vars'!$B$5</f>
        <v>45017</v>
      </c>
      <c r="D2" s="3" t="s">
        <v>63</v>
      </c>
      <c r="E2" s="3" t="s">
        <v>40</v>
      </c>
      <c r="F2" s="3" t="s">
        <v>124</v>
      </c>
      <c r="G2" s="3" t="s">
        <v>125</v>
      </c>
      <c r="H2" s="60"/>
      <c r="I2" s="3" t="str">
        <f>'DB Vars'!$B$20</f>
        <v>Q2 2023</v>
      </c>
      <c r="J2" s="3" t="s">
        <v>63</v>
      </c>
      <c r="K2" s="3" t="s">
        <v>40</v>
      </c>
      <c r="L2" s="3" t="s">
        <v>124</v>
      </c>
      <c r="M2" s="3" t="s">
        <v>125</v>
      </c>
      <c r="O2" s="3" t="s">
        <v>103</v>
      </c>
      <c r="P2" s="3" t="s">
        <v>63</v>
      </c>
      <c r="Q2" s="3" t="s">
        <v>40</v>
      </c>
      <c r="R2" s="3" t="s">
        <v>124</v>
      </c>
      <c r="S2" s="3" t="s">
        <v>125</v>
      </c>
    </row>
    <row r="3" spans="2:19" outlineLevel="1" x14ac:dyDescent="0.2">
      <c r="B3" s="51" t="s">
        <v>9</v>
      </c>
      <c r="C3" s="107">
        <f>NatEndView!$F5</f>
        <v>1061517.5734082023</v>
      </c>
      <c r="D3" s="48">
        <f>$C3-NatPriorFcst!$F5</f>
        <v>1060.4571162916254</v>
      </c>
      <c r="E3" s="48">
        <f>$C3-NatBudget!$F5</f>
        <v>1060.4571162916254</v>
      </c>
      <c r="F3" s="171">
        <f>D3/$C3</f>
        <v>9.9900099900073055E-4</v>
      </c>
      <c r="G3" s="171">
        <f>E3/$C3</f>
        <v>9.9900099900073055E-4</v>
      </c>
      <c r="H3" s="34"/>
      <c r="I3" s="107">
        <f>NatEndView!$Q5</f>
        <v>3593993.7509009996</v>
      </c>
      <c r="J3" s="48">
        <f>$I3-NatPriorFcst!$Q5</f>
        <v>3590.403347552754</v>
      </c>
      <c r="K3" s="48">
        <f>$I3-NatBudget!$Q5</f>
        <v>3590.403347552754</v>
      </c>
      <c r="L3" s="171">
        <f>J3/$I3</f>
        <v>9.9900099900080645E-4</v>
      </c>
      <c r="M3" s="171">
        <f>K3/$I3</f>
        <v>9.9900099900080645E-4</v>
      </c>
      <c r="O3" s="107">
        <f>NatEndView!$U5</f>
        <v>14732676.789777454</v>
      </c>
      <c r="P3" s="48">
        <f>$O3-NatPriorFcst!$U5</f>
        <v>11315.188864197582</v>
      </c>
      <c r="Q3" s="48">
        <f>$O3-NatBudget!$U5</f>
        <v>11315.188864197582</v>
      </c>
      <c r="R3" s="171">
        <f>P3/$O3</f>
        <v>7.6803346911464448E-4</v>
      </c>
      <c r="S3" s="171">
        <f>Q3/$O3</f>
        <v>7.6803346911464448E-4</v>
      </c>
    </row>
    <row r="4" spans="2:19" hidden="1" outlineLevel="2" x14ac:dyDescent="0.2">
      <c r="B4" s="78" t="s">
        <v>10</v>
      </c>
      <c r="C4" s="27">
        <f>NatEndView!$F6</f>
        <v>778357.53044854791</v>
      </c>
      <c r="D4" s="49">
        <f>$C4-NatPriorFcst!$F6</f>
        <v>777.57995049795136</v>
      </c>
      <c r="E4" s="49">
        <f>$C4-NatBudget!$F6</f>
        <v>777.57995049795136</v>
      </c>
      <c r="F4" s="172">
        <f t="shared" ref="F4:G10" si="0">D4/$C4</f>
        <v>9.9900099900087237E-4</v>
      </c>
      <c r="G4" s="172">
        <f t="shared" si="0"/>
        <v>9.9900099900087237E-4</v>
      </c>
      <c r="H4" s="34"/>
      <c r="I4" s="27">
        <f>NatEndView!$Q6</f>
        <v>2693653.289043739</v>
      </c>
      <c r="J4" s="49">
        <f>$I4-NatPriorFcst!$Q6</f>
        <v>2690.9623267166317</v>
      </c>
      <c r="K4" s="49">
        <f>$I4-NatBudget!$Q6</f>
        <v>2690.9623267166317</v>
      </c>
      <c r="L4" s="172">
        <f>J4/$I4</f>
        <v>9.9900099900085415E-4</v>
      </c>
      <c r="M4" s="172">
        <f>K4/$I4</f>
        <v>9.9900099900085415E-4</v>
      </c>
      <c r="O4" s="27">
        <f>NatEndView!$U6</f>
        <v>11407767.028742488</v>
      </c>
      <c r="P4" s="49">
        <f>$O4-NatPriorFcst!$U6</f>
        <v>8662.2570057380944</v>
      </c>
      <c r="Q4" s="49">
        <f>$O4-NatBudget!$U6</f>
        <v>8662.2570057380944</v>
      </c>
      <c r="R4" s="172">
        <f>P4/$O4</f>
        <v>7.5932976049677969E-4</v>
      </c>
      <c r="S4" s="172">
        <f>Q4/$O4</f>
        <v>7.5932976049677969E-4</v>
      </c>
    </row>
    <row r="5" spans="2:19" hidden="1" outlineLevel="2" x14ac:dyDescent="0.2">
      <c r="B5" s="78" t="s">
        <v>11</v>
      </c>
      <c r="C5" s="27">
        <f>NatEndView!$F7</f>
        <v>283160.04295965447</v>
      </c>
      <c r="D5" s="49">
        <f>$C5-NatPriorFcst!$F7</f>
        <v>282.87716579384869</v>
      </c>
      <c r="E5" s="49">
        <f>$C5-NatBudget!$F7</f>
        <v>282.87716579384869</v>
      </c>
      <c r="F5" s="172">
        <f t="shared" si="0"/>
        <v>9.9900099900095693E-4</v>
      </c>
      <c r="G5" s="172">
        <f t="shared" si="0"/>
        <v>9.9900099900095693E-4</v>
      </c>
      <c r="H5" s="33"/>
      <c r="I5" s="27">
        <f>NatEndView!$Q7</f>
        <v>900340.46185726067</v>
      </c>
      <c r="J5" s="49">
        <f>$I5-NatPriorFcst!$Q7</f>
        <v>899.44102083635516</v>
      </c>
      <c r="K5" s="49">
        <f>$I5-NatBudget!$Q7</f>
        <v>899.44102083635516</v>
      </c>
      <c r="L5" s="172">
        <f>J5/$I5</f>
        <v>9.9900099900092224E-4</v>
      </c>
      <c r="M5" s="172">
        <f>K5/$I5</f>
        <v>9.9900099900092224E-4</v>
      </c>
      <c r="O5" s="27">
        <f>NatEndView!$U7</f>
        <v>3324909.7610349637</v>
      </c>
      <c r="P5" s="49">
        <f>$O5-NatPriorFcst!$U7</f>
        <v>2652.9318584571593</v>
      </c>
      <c r="Q5" s="49">
        <f>$O5-NatBudget!$U7</f>
        <v>2652.9318584571593</v>
      </c>
      <c r="R5" s="172">
        <f>P5/$O5</f>
        <v>7.9789589767132992E-4</v>
      </c>
      <c r="S5" s="172">
        <f>Q5/$O5</f>
        <v>7.9789589767132992E-4</v>
      </c>
    </row>
    <row r="6" spans="2:19" outlineLevel="1" collapsed="1" x14ac:dyDescent="0.2">
      <c r="B6" s="51" t="s">
        <v>12</v>
      </c>
      <c r="C6" s="107">
        <f>NatEndView!$F8</f>
        <v>709383.96017214493</v>
      </c>
      <c r="D6" s="48">
        <f>$C6-NatPriorFcst!$F8</f>
        <v>708.67528488719836</v>
      </c>
      <c r="E6" s="48">
        <f>$C6-NatBudget!$F8</f>
        <v>708.67528488719836</v>
      </c>
      <c r="F6" s="171">
        <f t="shared" si="0"/>
        <v>9.990009990009153E-4</v>
      </c>
      <c r="G6" s="171">
        <f t="shared" si="0"/>
        <v>9.990009990009153E-4</v>
      </c>
      <c r="H6" s="34"/>
      <c r="I6" s="107">
        <f>NatEndView!$Q8</f>
        <v>2993698.553213492</v>
      </c>
      <c r="J6" s="48">
        <f>$I6-NatPriorFcst!$Q8</f>
        <v>2990.7078453674912</v>
      </c>
      <c r="K6" s="48">
        <f>$I6-NatBudget!$Q8</f>
        <v>2990.7078453674912</v>
      </c>
      <c r="L6" s="171">
        <f>J6/$I6</f>
        <v>9.9900099900078758E-4</v>
      </c>
      <c r="M6" s="171">
        <f>K6/$I6</f>
        <v>9.9900099900078758E-4</v>
      </c>
      <c r="O6" s="107">
        <f>NatEndView!$U8</f>
        <v>11792207.449764792</v>
      </c>
      <c r="P6" s="48">
        <f>$O6-NatPriorFcst!$U8</f>
        <v>9216.6635363139212</v>
      </c>
      <c r="Q6" s="48">
        <f>$O6-NatBudget!$U8</f>
        <v>9216.6635363139212</v>
      </c>
      <c r="R6" s="171">
        <f>P6/$O6</f>
        <v>7.815893313933989E-4</v>
      </c>
      <c r="S6" s="171">
        <f>Q6/$O6</f>
        <v>7.815893313933989E-4</v>
      </c>
    </row>
    <row r="7" spans="2:19" hidden="1" outlineLevel="2" x14ac:dyDescent="0.2">
      <c r="B7" s="78" t="s">
        <v>10</v>
      </c>
      <c r="C7" s="27">
        <f>NatEndView!$F9</f>
        <v>513515.39413500042</v>
      </c>
      <c r="D7" s="49">
        <f>$C7-NatPriorFcst!$F9</f>
        <v>513.00239174318267</v>
      </c>
      <c r="E7" s="49">
        <f>$C7-NatBudget!$F9</f>
        <v>513.00239174318267</v>
      </c>
      <c r="F7" s="172">
        <f t="shared" si="0"/>
        <v>9.9900099900085393E-4</v>
      </c>
      <c r="G7" s="172">
        <f t="shared" si="0"/>
        <v>9.9900099900085393E-4</v>
      </c>
      <c r="H7" s="34"/>
      <c r="I7" s="27">
        <f>NatEndView!$Q9</f>
        <v>2166118.0445706565</v>
      </c>
      <c r="J7" s="49">
        <f>$I7-NatPriorFcst!$Q9</f>
        <v>2163.9540904797614</v>
      </c>
      <c r="K7" s="49">
        <f>$I7-NatBudget!$Q9</f>
        <v>2163.9540904797614</v>
      </c>
      <c r="L7" s="172">
        <f>J7/$I7</f>
        <v>9.9900099900080753E-4</v>
      </c>
      <c r="M7" s="172">
        <f>K7/$I7</f>
        <v>9.9900099900080753E-4</v>
      </c>
      <c r="O7" s="27">
        <f>NatEndView!$U9</f>
        <v>8094892.2179632233</v>
      </c>
      <c r="P7" s="49">
        <f>$O7-NatPriorFcst!$U9</f>
        <v>6928.9059591041878</v>
      </c>
      <c r="Q7" s="49">
        <f>$O7-NatBudget!$U9</f>
        <v>6928.9059591041878</v>
      </c>
      <c r="R7" s="172">
        <f>P7/$O7</f>
        <v>8.5596024907266615E-4</v>
      </c>
      <c r="S7" s="172">
        <f>Q7/$O7</f>
        <v>8.5596024907266615E-4</v>
      </c>
    </row>
    <row r="8" spans="2:19" hidden="1" outlineLevel="2" x14ac:dyDescent="0.2">
      <c r="B8" s="78" t="s">
        <v>11</v>
      </c>
      <c r="C8" s="34">
        <f>NatEndView!$F10</f>
        <v>195868.56603714445</v>
      </c>
      <c r="D8" s="159">
        <f>$C8-NatPriorFcst!$F10</f>
        <v>195.67289314398658</v>
      </c>
      <c r="E8" s="159">
        <f>$C8-NatBudget!$F10</f>
        <v>195.67289314398658</v>
      </c>
      <c r="F8" s="173">
        <f t="shared" si="0"/>
        <v>9.9900099900092809E-4</v>
      </c>
      <c r="G8" s="173">
        <f t="shared" si="0"/>
        <v>9.9900099900092809E-4</v>
      </c>
      <c r="H8" s="33"/>
      <c r="I8" s="34">
        <f>NatEndView!$Q10</f>
        <v>827580.50864283554</v>
      </c>
      <c r="J8" s="159">
        <f>$I8-NatPriorFcst!$Q10</f>
        <v>826.7537548878463</v>
      </c>
      <c r="K8" s="159">
        <f>$I8-NatBudget!$Q10</f>
        <v>826.7537548878463</v>
      </c>
      <c r="L8" s="173">
        <f>J8/$I8</f>
        <v>9.990009990008767E-4</v>
      </c>
      <c r="M8" s="173">
        <f>K8/$I8</f>
        <v>9.990009990008767E-4</v>
      </c>
      <c r="O8" s="34">
        <f>NatEndView!$U10</f>
        <v>3697315.2318015671</v>
      </c>
      <c r="P8" s="159">
        <f>$O8-NatPriorFcst!$U10</f>
        <v>2287.7575772074051</v>
      </c>
      <c r="Q8" s="159">
        <f>$O8-NatBudget!$U10</f>
        <v>2287.7575772074051</v>
      </c>
      <c r="R8" s="173">
        <f>P8/$O8</f>
        <v>6.187618403564318E-4</v>
      </c>
      <c r="S8" s="173">
        <f>Q8/$O8</f>
        <v>6.187618403564318E-4</v>
      </c>
    </row>
    <row r="9" spans="2:19" outlineLevel="1" collapsed="1" x14ac:dyDescent="0.2">
      <c r="B9" s="31" t="s">
        <v>13</v>
      </c>
      <c r="C9" s="151">
        <f>NatEndView!$F11</f>
        <v>192184.51777312293</v>
      </c>
      <c r="D9" s="50">
        <f>$C9-NatPriorFcst!$F11</f>
        <v>191.99252524785697</v>
      </c>
      <c r="E9" s="50">
        <f>$C9-NatBudget!$F11</f>
        <v>191.99252524785697</v>
      </c>
      <c r="F9" s="174">
        <f t="shared" si="0"/>
        <v>9.9900099900090489E-4</v>
      </c>
      <c r="G9" s="174">
        <f t="shared" si="0"/>
        <v>9.9900099900090489E-4</v>
      </c>
      <c r="H9" s="54"/>
      <c r="I9" s="151">
        <f>NatEndView!$Q11</f>
        <v>971156.05626567453</v>
      </c>
      <c r="J9" s="50">
        <f>$I9-NatPriorFcst!$Q11</f>
        <v>970.18587039527483</v>
      </c>
      <c r="K9" s="50">
        <f>$I9-NatBudget!$Q11</f>
        <v>970.18587039527483</v>
      </c>
      <c r="L9" s="174">
        <f>J9/$I9</f>
        <v>9.9900099900099445E-4</v>
      </c>
      <c r="M9" s="174">
        <f>K9/$I9</f>
        <v>9.9900099900099445E-4</v>
      </c>
      <c r="O9" s="151">
        <f>NatEndView!$U11</f>
        <v>4996801.2086452041</v>
      </c>
      <c r="P9" s="50">
        <f>$O9-NatPriorFcst!$U11</f>
        <v>3914.9913495033979</v>
      </c>
      <c r="Q9" s="50">
        <f>$O9-NatBudget!$U11</f>
        <v>3914.9913495033979</v>
      </c>
      <c r="R9" s="174">
        <f>P9/$O9</f>
        <v>7.8349952019901949E-4</v>
      </c>
      <c r="S9" s="174">
        <f>Q9/$O9</f>
        <v>7.8349952019901949E-4</v>
      </c>
    </row>
    <row r="10" spans="2:19" outlineLevel="1" x14ac:dyDescent="0.2">
      <c r="B10" s="52" t="s">
        <v>64</v>
      </c>
      <c r="C10" s="28">
        <f>NatEndView!$F12</f>
        <v>1963086.0513534702</v>
      </c>
      <c r="D10" s="38">
        <f>$C10-NatPriorFcst!$F12</f>
        <v>1961.1249264266808</v>
      </c>
      <c r="E10" s="38">
        <f>$C10-NatBudget!$F12</f>
        <v>1961.1249264266808</v>
      </c>
      <c r="F10" s="175">
        <f t="shared" si="0"/>
        <v>9.9900099900081447E-4</v>
      </c>
      <c r="G10" s="175">
        <f t="shared" si="0"/>
        <v>9.9900099900081447E-4</v>
      </c>
      <c r="I10" s="28">
        <f>NatEndView!$Q12</f>
        <v>7558848.3603801662</v>
      </c>
      <c r="J10" s="38">
        <f>$I10-NatPriorFcst!$Q12</f>
        <v>7551.2970633162186</v>
      </c>
      <c r="K10" s="38">
        <f>$I10-NatBudget!$Q12</f>
        <v>7551.2970633162186</v>
      </c>
      <c r="L10" s="175">
        <f>J10/$I10</f>
        <v>9.9900099900091552E-4</v>
      </c>
      <c r="M10" s="175">
        <f>K10/$I10</f>
        <v>9.9900099900091552E-4</v>
      </c>
      <c r="O10" s="28">
        <f>NatEndView!$U12</f>
        <v>31521685.448187448</v>
      </c>
      <c r="P10" s="38">
        <f>$O10-NatPriorFcst!$U12</f>
        <v>24446.843750011176</v>
      </c>
      <c r="Q10" s="38">
        <f>$O10-NatBudget!$U12</f>
        <v>24446.843750011176</v>
      </c>
      <c r="R10" s="175">
        <f>P10/$O10</f>
        <v>7.7555636389414295E-4</v>
      </c>
      <c r="S10" s="175">
        <f>Q10/$O10</f>
        <v>7.7555636389414295E-4</v>
      </c>
    </row>
    <row r="11" spans="2:19" hidden="1" outlineLevel="2" x14ac:dyDescent="0.2">
      <c r="B11" s="51"/>
    </row>
    <row r="12" spans="2:19" hidden="1" outlineLevel="2" x14ac:dyDescent="0.2">
      <c r="B12" s="52" t="s">
        <v>15</v>
      </c>
    </row>
    <row r="13" spans="2:19" hidden="1" outlineLevel="2" x14ac:dyDescent="0.2">
      <c r="B13" s="93" t="s">
        <v>9</v>
      </c>
      <c r="C13" s="101">
        <f>NatEndView!$F15</f>
        <v>0.14609651369799148</v>
      </c>
      <c r="D13" s="165">
        <f>$C13-NatPriorFcst!$F15</f>
        <v>-1.8284920362701684E-4</v>
      </c>
      <c r="E13" s="165">
        <f>$C13-NatBudget!$F15</f>
        <v>-1.8284920362701684E-4</v>
      </c>
      <c r="F13" s="171">
        <f>D13/$C13</f>
        <v>-1.2515644555694187E-3</v>
      </c>
      <c r="G13" s="171">
        <f>E13/$C13</f>
        <v>-1.2515644555694187E-3</v>
      </c>
      <c r="I13" s="101">
        <f>NatEndView!$Q15</f>
        <v>0.16063645959706568</v>
      </c>
      <c r="J13" s="165">
        <f>$I13-NatPriorFcst!$Q15</f>
        <v>-2.0104688310015884E-4</v>
      </c>
      <c r="K13" s="165">
        <f>$I13-NatBudget!$Q15</f>
        <v>-2.0104688310015884E-4</v>
      </c>
      <c r="L13" s="171">
        <f>J13/$I13</f>
        <v>-1.2515644555691598E-3</v>
      </c>
      <c r="M13" s="171">
        <f>K13/$I13</f>
        <v>-1.2515644555691598E-3</v>
      </c>
      <c r="O13" s="101">
        <f>NatEndView!$U15</f>
        <v>0.16793926304183437</v>
      </c>
      <c r="P13" s="165">
        <f>$O13-NatPriorFcst!$U15</f>
        <v>-1.6465296706830168E-4</v>
      </c>
      <c r="Q13" s="165">
        <f>$O13-NatBudget!$U15</f>
        <v>-1.6465296706830168E-4</v>
      </c>
      <c r="R13" s="171">
        <f>P13/$O13</f>
        <v>-9.8043163990356409E-4</v>
      </c>
      <c r="S13" s="171">
        <f>Q13/$O13</f>
        <v>-9.8043163990356409E-4</v>
      </c>
    </row>
    <row r="14" spans="2:19" hidden="1" outlineLevel="3" x14ac:dyDescent="0.2">
      <c r="B14" s="94" t="s">
        <v>10</v>
      </c>
      <c r="C14" s="99">
        <f>NatEndView!$F16</f>
        <v>0.17810344345334739</v>
      </c>
      <c r="D14" s="166">
        <f>$C14-NatPriorFcst!$F16</f>
        <v>-2.2290793924073515E-4</v>
      </c>
      <c r="E14" s="166">
        <f>$C14-NatBudget!$F16</f>
        <v>-2.2290793924073515E-4</v>
      </c>
      <c r="F14" s="172">
        <f t="shared" ref="F14:G20" si="1">D14/$C14</f>
        <v>-1.2515644555694619E-3</v>
      </c>
      <c r="G14" s="172">
        <f t="shared" si="1"/>
        <v>-1.2515644555694619E-3</v>
      </c>
      <c r="I14" s="99">
        <f>NatEndView!$Q16</f>
        <v>0.17188851699898844</v>
      </c>
      <c r="J14" s="166">
        <f>$I14-NatPriorFcst!$Q16</f>
        <v>-2.1512955819646962E-4</v>
      </c>
      <c r="K14" s="166">
        <f>$I14-NatBudget!$Q16</f>
        <v>-2.1512955819646962E-4</v>
      </c>
      <c r="L14" s="172">
        <f>J14/$I14</f>
        <v>-1.2515644555693946E-3</v>
      </c>
      <c r="M14" s="172">
        <f>K14/$I14</f>
        <v>-1.2515644555693946E-3</v>
      </c>
      <c r="O14" s="99">
        <f>NatEndView!$U16</f>
        <v>0.17682681219101859</v>
      </c>
      <c r="P14" s="166">
        <f>$O14-NatPriorFcst!$U16</f>
        <v>-1.711904073765369E-4</v>
      </c>
      <c r="Q14" s="166">
        <f>$O14-NatBudget!$U16</f>
        <v>-1.711904073765369E-4</v>
      </c>
      <c r="R14" s="172">
        <f>P14/$O14</f>
        <v>-9.6812471624273299E-4</v>
      </c>
      <c r="S14" s="172">
        <f>Q14/$O14</f>
        <v>-9.6812471624273299E-4</v>
      </c>
    </row>
    <row r="15" spans="2:19" hidden="1" outlineLevel="3" x14ac:dyDescent="0.2">
      <c r="B15" s="94" t="s">
        <v>11</v>
      </c>
      <c r="C15" s="100">
        <f>NatEndView!$F17</f>
        <v>5.8115050843189492E-2</v>
      </c>
      <c r="D15" s="167">
        <f>$C15-NatPriorFcst!$F17</f>
        <v>-7.273473196894864E-5</v>
      </c>
      <c r="E15" s="167">
        <f>$C15-NatBudget!$F17</f>
        <v>-7.273473196894864E-5</v>
      </c>
      <c r="F15" s="172">
        <f t="shared" si="1"/>
        <v>-1.2515644555694721E-3</v>
      </c>
      <c r="G15" s="172">
        <f t="shared" si="1"/>
        <v>-1.2515644555694721E-3</v>
      </c>
      <c r="I15" s="100">
        <f>NatEndView!$Q17</f>
        <v>0.1269723706071349</v>
      </c>
      <c r="J15" s="167">
        <f>$I15-NatPriorFcst!$Q17</f>
        <v>-1.5891410589130572E-4</v>
      </c>
      <c r="K15" s="167">
        <f>$I15-NatBudget!$Q17</f>
        <v>-1.5891410589130572E-4</v>
      </c>
      <c r="L15" s="172">
        <f>J15/$I15</f>
        <v>-1.2515644555696429E-3</v>
      </c>
      <c r="M15" s="172">
        <f>K15/$I15</f>
        <v>-1.2515644555696429E-3</v>
      </c>
      <c r="O15" s="100">
        <f>NatEndView!$U17</f>
        <v>0.13744607753088928</v>
      </c>
      <c r="P15" s="167">
        <f>$O15-NatPriorFcst!$U17</f>
        <v>-1.4104519696733764E-4</v>
      </c>
      <c r="Q15" s="167">
        <f>$O15-NatBudget!$U17</f>
        <v>-1.4104519696733764E-4</v>
      </c>
      <c r="R15" s="172">
        <f>P15/$O15</f>
        <v>-1.0261856831501031E-3</v>
      </c>
      <c r="S15" s="172">
        <f>Q15/$O15</f>
        <v>-1.0261856831501031E-3</v>
      </c>
    </row>
    <row r="16" spans="2:19" hidden="1" outlineLevel="2" x14ac:dyDescent="0.2">
      <c r="B16" s="93" t="s">
        <v>12</v>
      </c>
      <c r="C16" s="101">
        <f>NatEndView!$F18</f>
        <v>0.19471753201760905</v>
      </c>
      <c r="D16" s="165">
        <f>$C16-NatPriorFcst!$F18</f>
        <v>-2.437015419494426E-4</v>
      </c>
      <c r="E16" s="165">
        <f>$C16-NatBudget!$F18</f>
        <v>-2.437015419494426E-4</v>
      </c>
      <c r="F16" s="171">
        <f t="shared" si="1"/>
        <v>-1.2515644555694335E-3</v>
      </c>
      <c r="G16" s="171">
        <f t="shared" si="1"/>
        <v>-1.2515644555694335E-3</v>
      </c>
      <c r="I16" s="101">
        <f>NatEndView!$Q18</f>
        <v>0.14054401953850409</v>
      </c>
      <c r="J16" s="165">
        <f>$I16-NatPriorFcst!$Q18</f>
        <v>-1.7589989929722716E-4</v>
      </c>
      <c r="K16" s="165">
        <f>$I16-NatBudget!$Q18</f>
        <v>-1.7589989929722716E-4</v>
      </c>
      <c r="L16" s="171">
        <f>J16/$I16</f>
        <v>-1.2515644555692873E-3</v>
      </c>
      <c r="M16" s="171">
        <f>K16/$I16</f>
        <v>-1.2515644555692873E-3</v>
      </c>
      <c r="O16" s="101">
        <f>NatEndView!$U18</f>
        <v>0.12961850050173826</v>
      </c>
      <c r="P16" s="165">
        <f>$O16-NatPriorFcst!$U18</f>
        <v>-1.2684690135739141E-4</v>
      </c>
      <c r="Q16" s="165">
        <f>$O16-NatBudget!$U18</f>
        <v>-1.2684690135739141E-4</v>
      </c>
      <c r="R16" s="171">
        <f>P16/$O16</f>
        <v>-9.7861725653654134E-4</v>
      </c>
      <c r="S16" s="171">
        <f>Q16/$O16</f>
        <v>-9.7861725653654134E-4</v>
      </c>
    </row>
    <row r="17" spans="2:19" hidden="1" outlineLevel="3" x14ac:dyDescent="0.2">
      <c r="B17" s="94" t="s">
        <v>10</v>
      </c>
      <c r="C17" s="99">
        <f>NatEndView!$F19</f>
        <v>0.15415830209544415</v>
      </c>
      <c r="D17" s="166">
        <f>$C17-NatPriorFcst!$F19</f>
        <v>-1.929390514335827E-4</v>
      </c>
      <c r="E17" s="166">
        <f>$C17-NatBudget!$F19</f>
        <v>-1.929390514335827E-4</v>
      </c>
      <c r="F17" s="172">
        <f t="shared" si="1"/>
        <v>-1.251564455569368E-3</v>
      </c>
      <c r="G17" s="172">
        <f t="shared" si="1"/>
        <v>-1.251564455569368E-3</v>
      </c>
      <c r="I17" s="99">
        <f>NatEndView!$Q19</f>
        <v>0.11251522732300241</v>
      </c>
      <c r="J17" s="166">
        <f>$I17-NatPriorFcst!$Q19</f>
        <v>-1.4082005922780305E-4</v>
      </c>
      <c r="K17" s="166">
        <f>$I17-NatBudget!$Q19</f>
        <v>-1.4082005922780305E-4</v>
      </c>
      <c r="L17" s="172">
        <f>J17/$I17</f>
        <v>-1.2515644555695978E-3</v>
      </c>
      <c r="M17" s="172">
        <f>K17/$I17</f>
        <v>-1.2515644555695978E-3</v>
      </c>
      <c r="O17" s="99">
        <f>NatEndView!$U19</f>
        <v>0.11710258696470226</v>
      </c>
      <c r="P17" s="166">
        <f>$O17-NatPriorFcst!$U19</f>
        <v>-1.2433004075543264E-4</v>
      </c>
      <c r="Q17" s="166">
        <f>$O17-NatBudget!$U19</f>
        <v>-1.2433004075543264E-4</v>
      </c>
      <c r="R17" s="172">
        <f>P17/$O17</f>
        <v>-1.0617189933891803E-3</v>
      </c>
      <c r="S17" s="172">
        <f>Q17/$O17</f>
        <v>-1.0617189933891803E-3</v>
      </c>
    </row>
    <row r="18" spans="2:19" hidden="1" outlineLevel="3" x14ac:dyDescent="0.2">
      <c r="B18" s="94" t="s">
        <v>11</v>
      </c>
      <c r="C18" s="99">
        <f>NatEndView!$F20</f>
        <v>0.30105306793684827</v>
      </c>
      <c r="D18" s="166">
        <f>$C18-NatPriorFcst!$F20</f>
        <v>-3.7678731906987117E-4</v>
      </c>
      <c r="E18" s="166">
        <f>$C18-NatBudget!$F20</f>
        <v>-3.7678731906987117E-4</v>
      </c>
      <c r="F18" s="173">
        <f t="shared" si="1"/>
        <v>-1.2515644555693736E-3</v>
      </c>
      <c r="G18" s="173">
        <f t="shared" si="1"/>
        <v>-1.2515644555693736E-3</v>
      </c>
      <c r="I18" s="99">
        <f>NatEndView!$Q20</f>
        <v>0.21390687904456612</v>
      </c>
      <c r="J18" s="166">
        <f>$I18-NatPriorFcst!$Q20</f>
        <v>-2.677182466139516E-4</v>
      </c>
      <c r="K18" s="166">
        <f>$I18-NatBudget!$Q20</f>
        <v>-2.677182466139516E-4</v>
      </c>
      <c r="L18" s="173">
        <f>J18/$I18</f>
        <v>-1.2515644555693519E-3</v>
      </c>
      <c r="M18" s="173">
        <f>K18/$I18</f>
        <v>-1.2515644555693519E-3</v>
      </c>
      <c r="O18" s="99">
        <f>NatEndView!$U20</f>
        <v>0.157020808592814</v>
      </c>
      <c r="P18" s="166">
        <f>$O18-NatPriorFcst!$U20</f>
        <v>-1.2585219326979868E-4</v>
      </c>
      <c r="Q18" s="166">
        <f>$O18-NatBudget!$U20</f>
        <v>-1.2585219326979868E-4</v>
      </c>
      <c r="R18" s="173">
        <f>P18/$O18</f>
        <v>-8.0150009669201422E-4</v>
      </c>
      <c r="S18" s="173">
        <f>Q18/$O18</f>
        <v>-8.0150009669201422E-4</v>
      </c>
    </row>
    <row r="19" spans="2:19" hidden="1" outlineLevel="2" x14ac:dyDescent="0.2">
      <c r="B19" s="19" t="s">
        <v>13</v>
      </c>
      <c r="C19" s="102">
        <f>NatEndView!$F21</f>
        <v>0.19265696367784188</v>
      </c>
      <c r="D19" s="168">
        <f>$C19-NatPriorFcst!$F21</f>
        <v>-2.4112260785710826E-4</v>
      </c>
      <c r="E19" s="168">
        <f>$C19-NatBudget!$F21</f>
        <v>-2.4112260785710826E-4</v>
      </c>
      <c r="F19" s="174">
        <f t="shared" si="1"/>
        <v>-1.2515644555693814E-3</v>
      </c>
      <c r="G19" s="174">
        <f t="shared" si="1"/>
        <v>-1.2515644555693814E-3</v>
      </c>
      <c r="I19" s="102">
        <f>NatEndView!$Q21</f>
        <v>0.22682670659869014</v>
      </c>
      <c r="J19" s="168">
        <f>$I19-NatPriorFcst!$Q21</f>
        <v>-2.838882435527712E-4</v>
      </c>
      <c r="K19" s="168">
        <f>$I19-NatBudget!$Q21</f>
        <v>-2.838882435527712E-4</v>
      </c>
      <c r="L19" s="174">
        <f>J19/$I19</f>
        <v>-1.2515644555693185E-3</v>
      </c>
      <c r="M19" s="174">
        <f>K19/$I19</f>
        <v>-1.2515644555693185E-3</v>
      </c>
      <c r="O19" s="102">
        <f>NatEndView!$U21</f>
        <v>0.14544553058207946</v>
      </c>
      <c r="P19" s="168">
        <f>$O19-NatPriorFcst!$U21</f>
        <v>-1.4481820760203767E-4</v>
      </c>
      <c r="Q19" s="168">
        <f>$O19-NatBudget!$U21</f>
        <v>-1.4481820760203767E-4</v>
      </c>
      <c r="R19" s="174">
        <f>P19/$O19</f>
        <v>-9.9568688719735006E-4</v>
      </c>
      <c r="S19" s="174">
        <f>Q19/$O19</f>
        <v>-9.9568688719735006E-4</v>
      </c>
    </row>
    <row r="20" spans="2:19" hidden="1" outlineLevel="2" x14ac:dyDescent="0.2">
      <c r="B20" s="95" t="s">
        <v>127</v>
      </c>
      <c r="C20" s="98">
        <f>NatEndView!$F22</f>
        <v>0.13947373421489301</v>
      </c>
      <c r="D20" s="169">
        <f>$C20-NatPriorFcst!$F22</f>
        <v>-1.7456036822890986E-4</v>
      </c>
      <c r="E20" s="169">
        <f>$C20-NatBudget!$F22</f>
        <v>-1.7456036822890986E-4</v>
      </c>
      <c r="F20" s="175">
        <f t="shared" si="1"/>
        <v>-1.2515644555695154E-3</v>
      </c>
      <c r="G20" s="175">
        <f t="shared" si="1"/>
        <v>-1.2515644555695154E-3</v>
      </c>
      <c r="I20" s="98">
        <f>NatEndView!$Q22</f>
        <v>0.1611828854956395</v>
      </c>
      <c r="J20" s="169">
        <f>$I20-NatPriorFcst!$Q22</f>
        <v>-2.0173077033247555E-4</v>
      </c>
      <c r="K20" s="169">
        <f>$I20-NatBudget!$Q22</f>
        <v>-2.0173077033247555E-4</v>
      </c>
      <c r="L20" s="175">
        <f>J20/$I20</f>
        <v>-1.2515644555695276E-3</v>
      </c>
      <c r="M20" s="175">
        <f>K20/$I20</f>
        <v>-1.2515644555695276E-3</v>
      </c>
      <c r="O20" s="98">
        <f>NatEndView!$U22</f>
        <v>0.15003783794274336</v>
      </c>
      <c r="P20" s="169">
        <f>$O20-NatPriorFcst!$U22</f>
        <v>-1.4748059753441622E-4</v>
      </c>
      <c r="Q20" s="169">
        <f>$O20-NatBudget!$U22</f>
        <v>-1.4748059753441622E-4</v>
      </c>
      <c r="R20" s="175">
        <f>P20/$O20</f>
        <v>-9.8295603000289155E-4</v>
      </c>
      <c r="S20" s="175">
        <f>Q20/$O20</f>
        <v>-9.8295603000289155E-4</v>
      </c>
    </row>
    <row r="21" spans="2:19" hidden="1" outlineLevel="2" x14ac:dyDescent="0.2">
      <c r="B21" s="51"/>
      <c r="C21" s="79"/>
      <c r="D21" s="79"/>
      <c r="E21" s="79"/>
      <c r="F21" s="79"/>
      <c r="G21" s="79"/>
      <c r="I21" s="79"/>
      <c r="J21" s="79"/>
      <c r="K21" s="79"/>
      <c r="L21" s="79"/>
      <c r="M21" s="79"/>
      <c r="O21" s="79"/>
      <c r="P21" s="79"/>
      <c r="Q21" s="79"/>
      <c r="R21" s="79"/>
      <c r="S21" s="79"/>
    </row>
    <row r="22" spans="2:19" hidden="1" outlineLevel="2" x14ac:dyDescent="0.2">
      <c r="B22" s="52" t="s">
        <v>17</v>
      </c>
      <c r="C22" s="83"/>
      <c r="D22" s="83"/>
      <c r="E22" s="83"/>
      <c r="F22" s="83"/>
      <c r="G22" s="83"/>
      <c r="I22" s="83"/>
      <c r="J22" s="83"/>
      <c r="K22" s="83"/>
      <c r="L22" s="83"/>
      <c r="M22" s="83"/>
      <c r="O22" s="83"/>
      <c r="P22" s="83"/>
      <c r="Q22" s="83"/>
      <c r="R22" s="83"/>
      <c r="S22" s="83"/>
    </row>
    <row r="23" spans="2:19" hidden="1" outlineLevel="2" x14ac:dyDescent="0.2">
      <c r="B23" s="51" t="s">
        <v>9</v>
      </c>
      <c r="C23" s="96">
        <f>NatEndView!$F25</f>
        <v>155084.01670409011</v>
      </c>
      <c r="D23" s="157">
        <f>$C23-NatPriorFcst!$F25</f>
        <v>-38.974651578115299</v>
      </c>
      <c r="E23" s="157">
        <f>$C23-NatBudget!$F25</f>
        <v>-38.974651578115299</v>
      </c>
      <c r="F23" s="171">
        <f>D23/$C23</f>
        <v>-2.513131424270584E-4</v>
      </c>
      <c r="G23" s="171">
        <f>E23/$C23</f>
        <v>-2.513131424270584E-4</v>
      </c>
      <c r="I23" s="96">
        <f>NatEndView!$Q25</f>
        <v>577326.43195871497</v>
      </c>
      <c r="J23" s="157">
        <f>$I23-NatPriorFcst!$Q25</f>
        <v>-145.08971982169896</v>
      </c>
      <c r="K23" s="157">
        <f>$I23-NatBudget!$Q25</f>
        <v>-145.08971982169896</v>
      </c>
      <c r="L23" s="171">
        <f>J23/$I23</f>
        <v>-2.5131314242697698E-4</v>
      </c>
      <c r="M23" s="171">
        <f>K23/$I23</f>
        <v>-2.5131314242697698E-4</v>
      </c>
      <c r="O23" s="96">
        <f>NatEndView!$U25</f>
        <v>2474194.8827087637</v>
      </c>
      <c r="P23" s="157">
        <f>$O23-NatPriorFcst!$U25</f>
        <v>-523.65138784330338</v>
      </c>
      <c r="Q23" s="157">
        <f>$O23-NatBudget!$U25</f>
        <v>-523.65138784330338</v>
      </c>
      <c r="R23" s="171">
        <f>P23/$O23</f>
        <v>-2.1164516647532899E-4</v>
      </c>
      <c r="S23" s="171">
        <f>Q23/$O23</f>
        <v>-2.1164516647532899E-4</v>
      </c>
    </row>
    <row r="24" spans="2:19" hidden="1" outlineLevel="3" x14ac:dyDescent="0.2">
      <c r="B24" s="78" t="s">
        <v>10</v>
      </c>
      <c r="C24" s="81">
        <f>NatEndView!$F26</f>
        <v>138628.15641073007</v>
      </c>
      <c r="D24" s="158">
        <f>$C24-NatPriorFcst!$F26</f>
        <v>-34.83907761645969</v>
      </c>
      <c r="E24" s="158">
        <f>$C24-NatBudget!$F26</f>
        <v>-34.83907761645969</v>
      </c>
      <c r="F24" s="172">
        <f t="shared" ref="F24:G30" si="2">D24/$C24</f>
        <v>-2.5131314242712589E-4</v>
      </c>
      <c r="G24" s="172">
        <f t="shared" si="2"/>
        <v>-2.5131314242712589E-4</v>
      </c>
      <c r="I24" s="81">
        <f>NatEndView!$Q26</f>
        <v>463008.06916317588</v>
      </c>
      <c r="J24" s="158">
        <f>$I24-NatPriorFcst!$Q26</f>
        <v>-116.36001283046789</v>
      </c>
      <c r="K24" s="158">
        <f>$I24-NatBudget!$Q26</f>
        <v>-116.36001283046789</v>
      </c>
      <c r="L24" s="172">
        <f>J24/$I24</f>
        <v>-2.5131314242702679E-4</v>
      </c>
      <c r="M24" s="172">
        <f>K24/$I24</f>
        <v>-2.5131314242702679E-4</v>
      </c>
      <c r="O24" s="81">
        <f>NatEndView!$U26</f>
        <v>2017199.077910342</v>
      </c>
      <c r="P24" s="158">
        <f>$O24-NatPriorFcst!$U26</f>
        <v>-419.69809689745307</v>
      </c>
      <c r="Q24" s="158">
        <f>$O24-NatBudget!$U26</f>
        <v>-419.69809689745307</v>
      </c>
      <c r="R24" s="172">
        <f>P24/$O24</f>
        <v>-2.0805982983703667E-4</v>
      </c>
      <c r="S24" s="172">
        <f>Q24/$O24</f>
        <v>-2.0805982983703667E-4</v>
      </c>
    </row>
    <row r="25" spans="2:19" hidden="1" outlineLevel="3" x14ac:dyDescent="0.2">
      <c r="B25" s="78" t="s">
        <v>11</v>
      </c>
      <c r="C25" s="81">
        <f>NatEndView!$F27</f>
        <v>16455.860293360041</v>
      </c>
      <c r="D25" s="158">
        <f>$C25-NatPriorFcst!$F27</f>
        <v>-4.1355739616628853</v>
      </c>
      <c r="E25" s="158">
        <f>$C25-NatBudget!$F27</f>
        <v>-4.1355739616628853</v>
      </c>
      <c r="F25" s="172">
        <f t="shared" si="2"/>
        <v>-2.5131314242693187E-4</v>
      </c>
      <c r="G25" s="172">
        <f t="shared" si="2"/>
        <v>-2.5131314242693187E-4</v>
      </c>
      <c r="I25" s="81">
        <f>NatEndView!$Q27</f>
        <v>114318.3627955391</v>
      </c>
      <c r="J25" s="158">
        <f>$I25-NatPriorFcst!$Q27</f>
        <v>-28.729706991289277</v>
      </c>
      <c r="K25" s="158">
        <f>$I25-NatBudget!$Q27</f>
        <v>-28.729706991289277</v>
      </c>
      <c r="L25" s="172">
        <f>J25/$I25</f>
        <v>-2.5131314242728429E-4</v>
      </c>
      <c r="M25" s="172">
        <f>K25/$I25</f>
        <v>-2.5131314242728429E-4</v>
      </c>
      <c r="O25" s="81">
        <f>NatEndView!$U27</f>
        <v>456995.80479842215</v>
      </c>
      <c r="P25" s="158">
        <f>$O25-NatPriorFcst!$U27</f>
        <v>-103.95329094561748</v>
      </c>
      <c r="Q25" s="158">
        <f>$O25-NatBudget!$U27</f>
        <v>-103.95329094561748</v>
      </c>
      <c r="R25" s="172">
        <f>P25/$O25</f>
        <v>-2.274709961319461E-4</v>
      </c>
      <c r="S25" s="172">
        <f>Q25/$O25</f>
        <v>-2.274709961319461E-4</v>
      </c>
    </row>
    <row r="26" spans="2:19" hidden="1" outlineLevel="2" x14ac:dyDescent="0.2">
      <c r="B26" s="51" t="s">
        <v>12</v>
      </c>
      <c r="C26" s="96">
        <f>NatEndView!$F28</f>
        <v>138129.49397759797</v>
      </c>
      <c r="D26" s="157">
        <f>$C26-NatPriorFcst!$F28</f>
        <v>-34.713757193356287</v>
      </c>
      <c r="E26" s="157">
        <f>$C26-NatBudget!$F28</f>
        <v>-34.713757193356287</v>
      </c>
      <c r="F26" s="171">
        <f t="shared" si="2"/>
        <v>-2.5131314242696212E-4</v>
      </c>
      <c r="G26" s="171">
        <f t="shared" si="2"/>
        <v>-2.5131314242696212E-4</v>
      </c>
      <c r="I26" s="96">
        <f>NatEndView!$Q28</f>
        <v>420746.42795522849</v>
      </c>
      <c r="J26" s="157">
        <f>$I26-NatPriorFcst!$Q28</f>
        <v>-105.73910697433166</v>
      </c>
      <c r="K26" s="157">
        <f>$I26-NatBudget!$Q28</f>
        <v>-105.73910697433166</v>
      </c>
      <c r="L26" s="171">
        <f>J26/$I26</f>
        <v>-2.5131314242692352E-4</v>
      </c>
      <c r="M26" s="171">
        <f>K26/$I26</f>
        <v>-2.5131314242692352E-4</v>
      </c>
      <c r="O26" s="96">
        <f>NatEndView!$U28</f>
        <v>1528488.2472439392</v>
      </c>
      <c r="P26" s="157">
        <f>$O26-NatPriorFcst!$U28</f>
        <v>-299.9857627497986</v>
      </c>
      <c r="Q26" s="157">
        <f>$O26-NatBudget!$U28</f>
        <v>-299.9857627497986</v>
      </c>
      <c r="R26" s="171">
        <f>P26/$O26</f>
        <v>-1.9626304833596955E-4</v>
      </c>
      <c r="S26" s="171">
        <f>Q26/$O26</f>
        <v>-1.9626304833596955E-4</v>
      </c>
    </row>
    <row r="27" spans="2:19" hidden="1" outlineLevel="3" x14ac:dyDescent="0.2">
      <c r="B27" s="78" t="s">
        <v>10</v>
      </c>
      <c r="C27" s="81">
        <f>NatEndView!$F29</f>
        <v>79162.661259724468</v>
      </c>
      <c r="D27" s="158">
        <f>$C27-NatPriorFcst!$F29</f>
        <v>-19.894617164070951</v>
      </c>
      <c r="E27" s="158">
        <f>$C27-NatBudget!$F29</f>
        <v>-19.894617164070951</v>
      </c>
      <c r="F27" s="172">
        <f t="shared" si="2"/>
        <v>-2.5131314242706897E-4</v>
      </c>
      <c r="G27" s="172">
        <f t="shared" si="2"/>
        <v>-2.5131314242706897E-4</v>
      </c>
      <c r="H27" s="60"/>
      <c r="I27" s="81">
        <f>NatEndView!$Q29</f>
        <v>243721.2641933249</v>
      </c>
      <c r="J27" s="158">
        <f>$I27-NatPriorFcst!$Q29</f>
        <v>-61.250356780772563</v>
      </c>
      <c r="K27" s="158">
        <f>$I27-NatBudget!$Q29</f>
        <v>-61.250356780772563</v>
      </c>
      <c r="L27" s="172">
        <f>J27/$I27</f>
        <v>-2.5131314242727491E-4</v>
      </c>
      <c r="M27" s="172">
        <f>K27/$I27</f>
        <v>-2.5131314242727491E-4</v>
      </c>
      <c r="O27" s="81">
        <f>NatEndView!$U29</f>
        <v>947932.81992392987</v>
      </c>
      <c r="P27" s="158">
        <f>$O27-NatPriorFcst!$U29</f>
        <v>-194.1839955636533</v>
      </c>
      <c r="Q27" s="158">
        <f>$O27-NatBudget!$U29</f>
        <v>-194.1839955636533</v>
      </c>
      <c r="R27" s="172">
        <f>P27/$O27</f>
        <v>-2.0484995506246556E-4</v>
      </c>
      <c r="S27" s="172">
        <f>Q27/$O27</f>
        <v>-2.0484995506246556E-4</v>
      </c>
    </row>
    <row r="28" spans="2:19" s="62" customFormat="1" hidden="1" outlineLevel="3" x14ac:dyDescent="0.2">
      <c r="B28" s="78" t="s">
        <v>11</v>
      </c>
      <c r="C28" s="81">
        <f>NatEndView!$F30</f>
        <v>58966.832717873498</v>
      </c>
      <c r="D28" s="158">
        <f>$C28-NatPriorFcst!$F30</f>
        <v>-14.819140029299888</v>
      </c>
      <c r="E28" s="158">
        <f>$C28-NatBudget!$F30</f>
        <v>-14.819140029299888</v>
      </c>
      <c r="F28" s="173">
        <f t="shared" si="2"/>
        <v>-2.513131424270655E-4</v>
      </c>
      <c r="G28" s="173">
        <f t="shared" si="2"/>
        <v>-2.513131424270655E-4</v>
      </c>
      <c r="H28" s="63"/>
      <c r="I28" s="81">
        <f>NatEndView!$Q30</f>
        <v>177025.16376190353</v>
      </c>
      <c r="J28" s="158">
        <f>$I28-NatPriorFcst!$Q30</f>
        <v>-44.488750193675514</v>
      </c>
      <c r="K28" s="158">
        <f>$I28-NatBudget!$Q30</f>
        <v>-44.488750193675514</v>
      </c>
      <c r="L28" s="173">
        <f>J28/$I28</f>
        <v>-2.5131314242709748E-4</v>
      </c>
      <c r="M28" s="173">
        <f>K28/$I28</f>
        <v>-2.5131314242709748E-4</v>
      </c>
      <c r="O28" s="81">
        <f>NatEndView!$U30</f>
        <v>580555.42732000956</v>
      </c>
      <c r="P28" s="158">
        <f>$O28-NatPriorFcst!$U30</f>
        <v>-105.80176718591247</v>
      </c>
      <c r="Q28" s="158">
        <f>$O28-NatBudget!$U30</f>
        <v>-105.80176718591247</v>
      </c>
      <c r="R28" s="173">
        <f>P28/$O28</f>
        <v>-1.8224231866080409E-4</v>
      </c>
      <c r="S28" s="173">
        <f>Q28/$O28</f>
        <v>-1.8224231866080409E-4</v>
      </c>
    </row>
    <row r="29" spans="2:19" s="62" customFormat="1" hidden="1" outlineLevel="2" x14ac:dyDescent="0.2">
      <c r="B29" s="31" t="s">
        <v>13</v>
      </c>
      <c r="C29" s="97">
        <f>NatEndView!$F31</f>
        <v>37025.685660060102</v>
      </c>
      <c r="D29" s="161">
        <f>$C29-NatPriorFcst!$F31</f>
        <v>-9.3050414137469488</v>
      </c>
      <c r="E29" s="161">
        <f>$C29-NatBudget!$F31</f>
        <v>-9.3050414137469488</v>
      </c>
      <c r="F29" s="174">
        <f t="shared" si="2"/>
        <v>-2.5131314242707922E-4</v>
      </c>
      <c r="G29" s="174">
        <f t="shared" si="2"/>
        <v>-2.5131314242707922E-4</v>
      </c>
      <c r="H29" s="63"/>
      <c r="I29" s="97">
        <f>NatEndView!$Q31</f>
        <v>220284.12983611517</v>
      </c>
      <c r="J29" s="161">
        <f>$I29-NatPriorFcst!$Q31</f>
        <v>-55.360296895902138</v>
      </c>
      <c r="K29" s="161">
        <f>$I29-NatBudget!$Q31</f>
        <v>-55.360296895902138</v>
      </c>
      <c r="L29" s="174">
        <f>J29/$I29</f>
        <v>-2.5131314242695806E-4</v>
      </c>
      <c r="M29" s="174">
        <f>K29/$I29</f>
        <v>-2.5131314242695806E-4</v>
      </c>
      <c r="O29" s="97">
        <f>NatEndView!$U31</f>
        <v>726762.40300457762</v>
      </c>
      <c r="P29" s="161">
        <f>$O29-NatPriorFcst!$U31</f>
        <v>-153.64283869694918</v>
      </c>
      <c r="Q29" s="161">
        <f>$O29-NatBudget!$U31</f>
        <v>-153.64283869694918</v>
      </c>
      <c r="R29" s="174">
        <f>P29/$O29</f>
        <v>-2.1140724679999916E-4</v>
      </c>
      <c r="S29" s="174">
        <f>Q29/$O29</f>
        <v>-2.1140724679999916E-4</v>
      </c>
    </row>
    <row r="30" spans="2:19" s="62" customFormat="1" outlineLevel="1" collapsed="1" x14ac:dyDescent="0.2">
      <c r="B30" s="52" t="s">
        <v>126</v>
      </c>
      <c r="C30" s="82">
        <f>NatEndView!$F32</f>
        <v>330239.19634174817</v>
      </c>
      <c r="D30" s="86">
        <f>$C30-NatPriorFcst!$F32</f>
        <v>-82.993450185225811</v>
      </c>
      <c r="E30" s="86">
        <f>$C30-NatBudget!$F32</f>
        <v>-82.993450185225811</v>
      </c>
      <c r="F30" s="175">
        <f t="shared" si="2"/>
        <v>-2.5131314242704252E-4</v>
      </c>
      <c r="G30" s="175">
        <f t="shared" si="2"/>
        <v>-2.5131314242704252E-4</v>
      </c>
      <c r="H30" s="63"/>
      <c r="I30" s="82">
        <f>NatEndView!$Q32</f>
        <v>1218356.9897500586</v>
      </c>
      <c r="J30" s="86">
        <f>$I30-NatPriorFcst!$Q32</f>
        <v>-306.1891236922238</v>
      </c>
      <c r="K30" s="86">
        <f>$I30-NatBudget!$Q32</f>
        <v>-306.1891236922238</v>
      </c>
      <c r="L30" s="175">
        <f>J30/$I30</f>
        <v>-2.5131314242719398E-4</v>
      </c>
      <c r="M30" s="175">
        <f>K30/$I30</f>
        <v>-2.5131314242719398E-4</v>
      </c>
      <c r="O30" s="82">
        <f>NatEndView!$U32</f>
        <v>4729445.5329572801</v>
      </c>
      <c r="P30" s="86">
        <f>$O30-NatPriorFcst!$U32</f>
        <v>-977.27998929098248</v>
      </c>
      <c r="Q30" s="86">
        <f>$O30-NatBudget!$U32</f>
        <v>-977.27998929098248</v>
      </c>
      <c r="R30" s="175">
        <f>P30/$O30</f>
        <v>-2.0663732830429661E-4</v>
      </c>
      <c r="S30" s="175">
        <f>Q30/$O30</f>
        <v>-2.0663732830429661E-4</v>
      </c>
    </row>
    <row r="31" spans="2:19" s="62" customFormat="1" outlineLevel="1" x14ac:dyDescent="0.2">
      <c r="B31" s="51"/>
      <c r="C31" s="79"/>
      <c r="D31" s="79"/>
      <c r="E31" s="79"/>
      <c r="F31" s="79"/>
      <c r="G31" s="79"/>
      <c r="H31" s="63"/>
      <c r="I31" s="79"/>
      <c r="J31" s="79"/>
      <c r="K31" s="79"/>
      <c r="L31" s="79"/>
      <c r="M31" s="79"/>
      <c r="O31" s="79"/>
      <c r="P31" s="79"/>
      <c r="Q31" s="79"/>
      <c r="R31" s="79"/>
      <c r="S31" s="79"/>
    </row>
    <row r="32" spans="2:19" s="62" customFormat="1" hidden="1" outlineLevel="2" x14ac:dyDescent="0.2">
      <c r="B32" s="51" t="s">
        <v>8</v>
      </c>
      <c r="C32" s="86">
        <f>NatEndView!$F34</f>
        <v>160</v>
      </c>
      <c r="D32" s="86">
        <f>$C32-NatPriorFcst!$F34</f>
        <v>0</v>
      </c>
      <c r="E32" s="86">
        <f>$C32-NatBudget!$F34</f>
        <v>0</v>
      </c>
      <c r="F32" s="86"/>
      <c r="G32" s="86"/>
      <c r="H32" s="63"/>
      <c r="I32" s="86">
        <f>NatEndView!$Q34</f>
        <v>512</v>
      </c>
      <c r="J32" s="86">
        <f>$I32-NatPriorFcst!$Q34</f>
        <v>0</v>
      </c>
      <c r="K32" s="86">
        <f>$I32-NatBudget!$Q34</f>
        <v>0</v>
      </c>
      <c r="L32" s="86"/>
      <c r="M32" s="86"/>
      <c r="O32" s="86">
        <f>NatEndView!$U34</f>
        <v>2040</v>
      </c>
      <c r="P32" s="86">
        <f>$O32-NatPriorFcst!$U34</f>
        <v>0</v>
      </c>
      <c r="Q32" s="86">
        <f>$O32-NatBudget!$U34</f>
        <v>0</v>
      </c>
      <c r="R32" s="86"/>
      <c r="S32" s="86"/>
    </row>
    <row r="33" spans="2:19" s="62" customFormat="1" hidden="1" outlineLevel="2" x14ac:dyDescent="0.2">
      <c r="B33" s="52"/>
      <c r="C33" s="87"/>
      <c r="D33" s="87"/>
      <c r="E33" s="87"/>
      <c r="F33" s="87"/>
      <c r="G33" s="87"/>
      <c r="H33" s="63"/>
      <c r="I33" s="87"/>
      <c r="J33" s="87"/>
      <c r="K33" s="87"/>
      <c r="L33" s="87"/>
      <c r="M33" s="87"/>
      <c r="O33" s="87"/>
      <c r="P33" s="87"/>
      <c r="Q33" s="87"/>
      <c r="R33" s="87"/>
      <c r="S33" s="87"/>
    </row>
    <row r="34" spans="2:19" s="62" customFormat="1" hidden="1" outlineLevel="2" x14ac:dyDescent="0.2">
      <c r="B34" s="51" t="s">
        <v>0</v>
      </c>
      <c r="C34" s="103">
        <f>NatEndView!$F36</f>
        <v>17</v>
      </c>
      <c r="D34" s="103">
        <f>$C34-NatPriorFcst!$F36</f>
        <v>0</v>
      </c>
      <c r="E34" s="103">
        <f>$C34-NatBudget!$F36</f>
        <v>0</v>
      </c>
      <c r="F34" s="152">
        <f t="shared" ref="F34:G45" si="3">D34/$C34</f>
        <v>0</v>
      </c>
      <c r="G34" s="152">
        <f t="shared" si="3"/>
        <v>0</v>
      </c>
      <c r="H34" s="63"/>
      <c r="I34" s="103">
        <f>NatEndView!$Q36</f>
        <v>17</v>
      </c>
      <c r="J34" s="103">
        <f>$I34-NatPriorFcst!$Q36</f>
        <v>-0.70064874884151962</v>
      </c>
      <c r="K34" s="103">
        <f>$I34-NatBudget!$Q36</f>
        <v>-0.70064874884151962</v>
      </c>
      <c r="L34" s="152">
        <f>J34/$I34</f>
        <v>-4.1214632284795272E-2</v>
      </c>
      <c r="M34" s="152">
        <f>K34/$I34</f>
        <v>-4.1214632284795272E-2</v>
      </c>
      <c r="O34" s="103">
        <f>NatEndView!$U36</f>
        <v>17.871721815709382</v>
      </c>
      <c r="P34" s="103">
        <f>$O34-NatPriorFcst!$U36</f>
        <v>-0.16677709665318474</v>
      </c>
      <c r="Q34" s="103">
        <f>$O34-NatBudget!$U36</f>
        <v>-0.16677709665318474</v>
      </c>
      <c r="R34" s="152">
        <f>P34/$O34</f>
        <v>-9.3318986482089483E-3</v>
      </c>
      <c r="S34" s="152">
        <f>Q34/$O34</f>
        <v>-9.3318986482089483E-3</v>
      </c>
    </row>
    <row r="35" spans="2:19" s="62" customFormat="1" hidden="1" outlineLevel="2" x14ac:dyDescent="0.2">
      <c r="B35" s="51" t="s">
        <v>1</v>
      </c>
      <c r="C35" s="103">
        <f>NatEndView!$F37</f>
        <v>235</v>
      </c>
      <c r="D35" s="103">
        <f>$C35-NatPriorFcst!$F37</f>
        <v>0</v>
      </c>
      <c r="E35" s="103">
        <f>$C35-NatBudget!$F37</f>
        <v>0</v>
      </c>
      <c r="F35" s="152">
        <f t="shared" si="3"/>
        <v>0</v>
      </c>
      <c r="G35" s="152">
        <f t="shared" si="3"/>
        <v>0</v>
      </c>
      <c r="H35" s="63"/>
      <c r="I35" s="103">
        <f>NatEndView!$Q37</f>
        <v>235</v>
      </c>
      <c r="J35" s="103">
        <f>$I35-NatPriorFcst!$Q37</f>
        <v>0</v>
      </c>
      <c r="K35" s="103">
        <f>$I35-NatBudget!$Q37</f>
        <v>0</v>
      </c>
      <c r="L35" s="152">
        <f>J35/$I35</f>
        <v>0</v>
      </c>
      <c r="M35" s="152">
        <f>K35/$I35</f>
        <v>0</v>
      </c>
      <c r="O35" s="103">
        <f>NatEndView!$U37</f>
        <v>232.8123023127232</v>
      </c>
      <c r="P35" s="103">
        <f>$O35-NatPriorFcst!$U37</f>
        <v>-2.1301491294877906E-2</v>
      </c>
      <c r="Q35" s="103">
        <f>$O35-NatBudget!$U37</f>
        <v>-2.1301491294877906E-2</v>
      </c>
      <c r="R35" s="152">
        <f>P35/$O35</f>
        <v>-9.149641613983462E-5</v>
      </c>
      <c r="S35" s="152">
        <f>Q35/$O35</f>
        <v>-9.149641613983462E-5</v>
      </c>
    </row>
    <row r="36" spans="2:19" s="62" customFormat="1" hidden="1" outlineLevel="2" x14ac:dyDescent="0.2">
      <c r="B36" s="51" t="s">
        <v>2</v>
      </c>
      <c r="C36" s="103">
        <f>NatEndView!$F38</f>
        <v>136</v>
      </c>
      <c r="D36" s="103">
        <f>$C36-NatPriorFcst!$F38</f>
        <v>0</v>
      </c>
      <c r="E36" s="103">
        <f>$C36-NatBudget!$F38</f>
        <v>0</v>
      </c>
      <c r="F36" s="152">
        <f t="shared" si="3"/>
        <v>0</v>
      </c>
      <c r="G36" s="152">
        <f t="shared" si="3"/>
        <v>0</v>
      </c>
      <c r="H36" s="63"/>
      <c r="I36" s="103">
        <f>NatEndView!$Q38</f>
        <v>408</v>
      </c>
      <c r="J36" s="103">
        <f>$I36-NatPriorFcst!$Q38</f>
        <v>-16</v>
      </c>
      <c r="K36" s="103">
        <f>$I36-NatBudget!$Q38</f>
        <v>-16</v>
      </c>
      <c r="L36" s="152">
        <f>J36/$I36</f>
        <v>-3.9215686274509803E-2</v>
      </c>
      <c r="M36" s="152">
        <f>K36/$I36</f>
        <v>-3.9215686274509803E-2</v>
      </c>
      <c r="O36" s="103">
        <f>NatEndView!$U38</f>
        <v>1704</v>
      </c>
      <c r="P36" s="103">
        <f>$O36-NatPriorFcst!$U38</f>
        <v>-16</v>
      </c>
      <c r="Q36" s="103">
        <f>$O36-NatBudget!$U38</f>
        <v>-16</v>
      </c>
      <c r="R36" s="152">
        <f>P36/$O36</f>
        <v>-9.3896713615023476E-3</v>
      </c>
      <c r="S36" s="152">
        <f>Q36/$O36</f>
        <v>-9.3896713615023476E-3</v>
      </c>
    </row>
    <row r="37" spans="2:19" s="62" customFormat="1" hidden="1" outlineLevel="2" x14ac:dyDescent="0.2">
      <c r="B37" s="51" t="s">
        <v>3</v>
      </c>
      <c r="C37" s="84">
        <f>NatEndView!$F39</f>
        <v>0.75</v>
      </c>
      <c r="D37" s="84">
        <f>$C37-NatPriorFcst!$F39</f>
        <v>0</v>
      </c>
      <c r="E37" s="84">
        <f>$C37-NatBudget!$F39</f>
        <v>0</v>
      </c>
      <c r="F37" s="152">
        <f t="shared" si="3"/>
        <v>0</v>
      </c>
      <c r="G37" s="152">
        <f t="shared" si="3"/>
        <v>0</v>
      </c>
      <c r="H37" s="60"/>
      <c r="I37" s="84">
        <f>NatEndView!$Q39</f>
        <v>0.75</v>
      </c>
      <c r="J37" s="84">
        <f>$I37-NatPriorFcst!$Q39</f>
        <v>0</v>
      </c>
      <c r="K37" s="84">
        <f>$I37-NatBudget!$Q39</f>
        <v>0</v>
      </c>
      <c r="L37" s="152">
        <f>J37/$I37</f>
        <v>0</v>
      </c>
      <c r="M37" s="152">
        <f>K37/$I37</f>
        <v>0</v>
      </c>
      <c r="O37" s="84">
        <f>NatEndView!$U39</f>
        <v>0.75</v>
      </c>
      <c r="P37" s="84">
        <f>$O37-NatPriorFcst!$U39</f>
        <v>0</v>
      </c>
      <c r="Q37" s="84">
        <f>$O37-NatBudget!$U39</f>
        <v>0</v>
      </c>
      <c r="R37" s="152">
        <f>P37/$O37</f>
        <v>0</v>
      </c>
      <c r="S37" s="152">
        <f>Q37/$O37</f>
        <v>0</v>
      </c>
    </row>
    <row r="38" spans="2:19" s="62" customFormat="1" hidden="1" outlineLevel="2" x14ac:dyDescent="0.2">
      <c r="B38" s="31" t="s">
        <v>6</v>
      </c>
      <c r="C38" s="104">
        <f>NatEndView!$F40</f>
        <v>0.625</v>
      </c>
      <c r="D38" s="104">
        <f>$C38-NatPriorFcst!$F40</f>
        <v>0</v>
      </c>
      <c r="E38" s="104">
        <f>$C38-NatBudget!$F40</f>
        <v>0</v>
      </c>
      <c r="F38" s="153">
        <f t="shared" si="3"/>
        <v>0</v>
      </c>
      <c r="G38" s="153">
        <f t="shared" si="3"/>
        <v>0</v>
      </c>
      <c r="H38" s="63"/>
      <c r="I38" s="104">
        <f>NatEndView!$Q40</f>
        <v>0.625</v>
      </c>
      <c r="J38" s="104">
        <f>$I38-NatPriorFcst!$Q40</f>
        <v>0</v>
      </c>
      <c r="K38" s="104">
        <f>$I38-NatBudget!$Q40</f>
        <v>0</v>
      </c>
      <c r="L38" s="153">
        <f>J38/$I38</f>
        <v>0</v>
      </c>
      <c r="M38" s="153">
        <f>K38/$I38</f>
        <v>0</v>
      </c>
      <c r="O38" s="104">
        <f>NatEndView!$U40</f>
        <v>0.625</v>
      </c>
      <c r="P38" s="104">
        <f>$O38-NatPriorFcst!$U40</f>
        <v>0</v>
      </c>
      <c r="Q38" s="104">
        <f>$O38-NatBudget!$U40</f>
        <v>0</v>
      </c>
      <c r="R38" s="153">
        <f>P38/$O38</f>
        <v>0</v>
      </c>
      <c r="S38" s="153">
        <f>Q38/$O38</f>
        <v>0</v>
      </c>
    </row>
    <row r="39" spans="2:19" outlineLevel="1" collapsed="1" x14ac:dyDescent="0.2">
      <c r="B39" s="52" t="s">
        <v>22</v>
      </c>
      <c r="C39" s="82">
        <f>NatEndView!$F41</f>
        <v>379525</v>
      </c>
      <c r="D39" s="82">
        <f>$C39-NatPriorFcst!$F41</f>
        <v>0</v>
      </c>
      <c r="E39" s="82">
        <f>$C39-NatBudget!$F41</f>
        <v>0</v>
      </c>
      <c r="F39" s="154">
        <f t="shared" si="3"/>
        <v>0</v>
      </c>
      <c r="G39" s="154">
        <f t="shared" si="3"/>
        <v>0</v>
      </c>
      <c r="H39" s="60"/>
      <c r="I39" s="82">
        <f>NatEndView!$Q41</f>
        <v>1218475</v>
      </c>
      <c r="J39" s="82">
        <f>$I39-NatPriorFcst!$Q41</f>
        <v>-49350</v>
      </c>
      <c r="K39" s="82">
        <f>$I39-NatBudget!$Q41</f>
        <v>-49350</v>
      </c>
      <c r="L39" s="154">
        <f>J39/$I39</f>
        <v>-4.0501446480231434E-2</v>
      </c>
      <c r="M39" s="154">
        <f>K39/$I39</f>
        <v>-4.0501446480231434E-2</v>
      </c>
      <c r="O39" s="82">
        <f>NatEndView!$U41</f>
        <v>5018975</v>
      </c>
      <c r="P39" s="82">
        <f>$O39-NatPriorFcst!$U41</f>
        <v>-49350</v>
      </c>
      <c r="Q39" s="82">
        <f>$O39-NatBudget!$U41</f>
        <v>-49350</v>
      </c>
      <c r="R39" s="154">
        <f>P39/$O39</f>
        <v>-9.8326849605746194E-3</v>
      </c>
      <c r="S39" s="154">
        <f>Q39/$O39</f>
        <v>-9.8326849605746194E-3</v>
      </c>
    </row>
    <row r="40" spans="2:19" hidden="1" outlineLevel="2" x14ac:dyDescent="0.2">
      <c r="B40" s="51"/>
      <c r="C40" s="80"/>
      <c r="D40" s="80"/>
      <c r="E40" s="80"/>
      <c r="F40" s="80"/>
      <c r="G40" s="80"/>
      <c r="I40" s="80"/>
      <c r="J40" s="80"/>
      <c r="K40" s="80"/>
      <c r="L40" s="80"/>
      <c r="M40" s="80"/>
      <c r="O40" s="80"/>
      <c r="P40" s="80"/>
      <c r="Q40" s="80"/>
      <c r="R40" s="80"/>
      <c r="S40" s="80"/>
    </row>
    <row r="41" spans="2:19" hidden="1" outlineLevel="2" x14ac:dyDescent="0.2">
      <c r="B41" s="51" t="s">
        <v>4</v>
      </c>
      <c r="C41" s="103">
        <f>NatEndView!$F43</f>
        <v>6</v>
      </c>
      <c r="D41" s="103">
        <f>$C41-NatPriorFcst!$F43</f>
        <v>0</v>
      </c>
      <c r="E41" s="103">
        <f>$C41-NatBudget!$F43</f>
        <v>0</v>
      </c>
      <c r="F41" s="152">
        <f t="shared" si="3"/>
        <v>0</v>
      </c>
      <c r="G41" s="152">
        <f t="shared" si="3"/>
        <v>0</v>
      </c>
      <c r="I41" s="103">
        <f>NatEndView!$Q43</f>
        <v>6</v>
      </c>
      <c r="J41" s="103">
        <f>$I41-NatPriorFcst!$Q43</f>
        <v>0</v>
      </c>
      <c r="K41" s="103">
        <f>$I41-NatBudget!$Q43</f>
        <v>0</v>
      </c>
      <c r="L41" s="152">
        <f>J41/$I41</f>
        <v>0</v>
      </c>
      <c r="M41" s="152">
        <f>K41/$I41</f>
        <v>0</v>
      </c>
      <c r="O41" s="103">
        <f>NatEndView!$U43</f>
        <v>6.0906966864910794</v>
      </c>
      <c r="P41" s="103">
        <f>$O41-NatPriorFcst!$U43</f>
        <v>0</v>
      </c>
      <c r="Q41" s="103">
        <f>$O41-NatBudget!$U43</f>
        <v>0</v>
      </c>
      <c r="R41" s="152">
        <f>P41/$O41</f>
        <v>0</v>
      </c>
      <c r="S41" s="152">
        <f>Q41/$O41</f>
        <v>0</v>
      </c>
    </row>
    <row r="42" spans="2:19" hidden="1" outlineLevel="2" x14ac:dyDescent="0.2">
      <c r="B42" s="51" t="s">
        <v>5</v>
      </c>
      <c r="C42" s="103">
        <f>NatEndView!$F44</f>
        <v>325</v>
      </c>
      <c r="D42" s="103">
        <f>$C42-NatPriorFcst!$F44</f>
        <v>0</v>
      </c>
      <c r="E42" s="103">
        <f>$C42-NatBudget!$F44</f>
        <v>0</v>
      </c>
      <c r="F42" s="152">
        <f t="shared" si="3"/>
        <v>0</v>
      </c>
      <c r="G42" s="152">
        <f t="shared" si="3"/>
        <v>0</v>
      </c>
      <c r="I42" s="103">
        <f>NatEndView!$Q44</f>
        <v>325</v>
      </c>
      <c r="J42" s="103">
        <f>$I42-NatPriorFcst!$Q44</f>
        <v>0</v>
      </c>
      <c r="K42" s="103">
        <f>$I42-NatBudget!$Q44</f>
        <v>0</v>
      </c>
      <c r="L42" s="152">
        <f>J42/$I42</f>
        <v>0</v>
      </c>
      <c r="M42" s="152">
        <f>K42/$I42</f>
        <v>0</v>
      </c>
      <c r="O42" s="103">
        <f>NatEndView!$U44</f>
        <v>322.95932455395069</v>
      </c>
      <c r="P42" s="103">
        <f>$O42-NatPriorFcst!$U44</f>
        <v>0</v>
      </c>
      <c r="Q42" s="103">
        <f>$O42-NatBudget!$U44</f>
        <v>0</v>
      </c>
      <c r="R42" s="152">
        <f>P42/$O42</f>
        <v>0</v>
      </c>
      <c r="S42" s="152">
        <f>Q42/$O42</f>
        <v>0</v>
      </c>
    </row>
    <row r="43" spans="2:19" hidden="1" outlineLevel="2" x14ac:dyDescent="0.2">
      <c r="B43" s="51" t="s">
        <v>2</v>
      </c>
      <c r="C43" s="103">
        <f>NatEndView!$F45</f>
        <v>48</v>
      </c>
      <c r="D43" s="103">
        <f>$C43-NatPriorFcst!$F45</f>
        <v>0</v>
      </c>
      <c r="E43" s="103">
        <f>$C43-NatBudget!$F45</f>
        <v>0</v>
      </c>
      <c r="F43" s="152">
        <f t="shared" si="3"/>
        <v>0</v>
      </c>
      <c r="G43" s="152">
        <f t="shared" si="3"/>
        <v>0</v>
      </c>
      <c r="I43" s="103">
        <f>NatEndView!$Q45</f>
        <v>144</v>
      </c>
      <c r="J43" s="103">
        <f>$I43-NatPriorFcst!$Q45</f>
        <v>0</v>
      </c>
      <c r="K43" s="103">
        <f>$I43-NatBudget!$Q45</f>
        <v>0</v>
      </c>
      <c r="L43" s="152">
        <f>J43/$I43</f>
        <v>0</v>
      </c>
      <c r="M43" s="152">
        <f>K43/$I43</f>
        <v>0</v>
      </c>
      <c r="O43" s="103">
        <f>NatEndView!$U45</f>
        <v>576</v>
      </c>
      <c r="P43" s="103">
        <f>$O43-NatPriorFcst!$U45</f>
        <v>0</v>
      </c>
      <c r="Q43" s="103">
        <f>$O43-NatBudget!$U45</f>
        <v>0</v>
      </c>
      <c r="R43" s="152">
        <f>P43/$O43</f>
        <v>0</v>
      </c>
      <c r="S43" s="152">
        <f>Q43/$O43</f>
        <v>0</v>
      </c>
    </row>
    <row r="44" spans="2:19" hidden="1" outlineLevel="2" x14ac:dyDescent="0.2">
      <c r="B44" s="31" t="s">
        <v>6</v>
      </c>
      <c r="C44" s="104">
        <f>NatEndView!$F46</f>
        <v>0.375</v>
      </c>
      <c r="D44" s="104">
        <f>$C44-NatPriorFcst!$F46</f>
        <v>0</v>
      </c>
      <c r="E44" s="104">
        <f>$C44-NatBudget!$F46</f>
        <v>0</v>
      </c>
      <c r="F44" s="153">
        <f t="shared" si="3"/>
        <v>0</v>
      </c>
      <c r="G44" s="153">
        <f t="shared" si="3"/>
        <v>0</v>
      </c>
      <c r="I44" s="104">
        <f>NatEndView!$Q46</f>
        <v>0.375</v>
      </c>
      <c r="J44" s="104">
        <f>$I44-NatPriorFcst!$Q46</f>
        <v>0</v>
      </c>
      <c r="K44" s="104">
        <f>$I44-NatBudget!$Q46</f>
        <v>0</v>
      </c>
      <c r="L44" s="153">
        <f>J44/$I44</f>
        <v>0</v>
      </c>
      <c r="M44" s="153">
        <f>K44/$I44</f>
        <v>0</v>
      </c>
      <c r="O44" s="104">
        <f>NatEndView!$U46</f>
        <v>0.375</v>
      </c>
      <c r="P44" s="104">
        <f>$O44-NatPriorFcst!$U46</f>
        <v>0</v>
      </c>
      <c r="Q44" s="104">
        <f>$O44-NatBudget!$U46</f>
        <v>0</v>
      </c>
      <c r="R44" s="153">
        <f>P44/$O44</f>
        <v>0</v>
      </c>
      <c r="S44" s="153">
        <f>Q44/$O44</f>
        <v>0</v>
      </c>
    </row>
    <row r="45" spans="2:19" outlineLevel="1" collapsed="1" x14ac:dyDescent="0.2">
      <c r="B45" s="52" t="s">
        <v>23</v>
      </c>
      <c r="C45" s="82">
        <f>NatEndView!$F47</f>
        <v>111150</v>
      </c>
      <c r="D45" s="82">
        <f>$C45-NatPriorFcst!$F47</f>
        <v>0</v>
      </c>
      <c r="E45" s="82">
        <f>$C45-NatBudget!$F47</f>
        <v>0</v>
      </c>
      <c r="F45" s="154">
        <f t="shared" si="3"/>
        <v>0</v>
      </c>
      <c r="G45" s="154">
        <f t="shared" si="3"/>
        <v>0</v>
      </c>
      <c r="I45" s="82">
        <f>NatEndView!$Q47</f>
        <v>356850</v>
      </c>
      <c r="J45" s="82">
        <f>$I45-NatPriorFcst!$Q47</f>
        <v>0</v>
      </c>
      <c r="K45" s="82">
        <f>$I45-NatBudget!$Q47</f>
        <v>0</v>
      </c>
      <c r="L45" s="154">
        <f>J45/$I45</f>
        <v>0</v>
      </c>
      <c r="M45" s="154">
        <f>K45/$I45</f>
        <v>0</v>
      </c>
      <c r="O45" s="82">
        <f>NatEndView!$U47</f>
        <v>1412400</v>
      </c>
      <c r="P45" s="82">
        <f>$O45-NatPriorFcst!$U47</f>
        <v>0</v>
      </c>
      <c r="Q45" s="82">
        <f>$O45-NatBudget!$U47</f>
        <v>0</v>
      </c>
      <c r="R45" s="154">
        <f>P45/$O45</f>
        <v>0</v>
      </c>
      <c r="S45" s="154">
        <f>Q45/$O45</f>
        <v>0</v>
      </c>
    </row>
    <row r="46" spans="2:19" outlineLevel="1" x14ac:dyDescent="0.2">
      <c r="B46" s="51"/>
      <c r="C46" s="88"/>
      <c r="D46" s="88"/>
      <c r="E46" s="88"/>
      <c r="F46" s="88"/>
      <c r="G46" s="88"/>
      <c r="I46" s="88"/>
      <c r="J46" s="88"/>
      <c r="K46" s="88"/>
      <c r="L46" s="88"/>
      <c r="M46" s="88"/>
      <c r="O46" s="88"/>
      <c r="P46" s="88"/>
      <c r="Q46" s="88"/>
      <c r="R46" s="88"/>
      <c r="S46" s="88"/>
    </row>
    <row r="47" spans="2:19" outlineLevel="1" x14ac:dyDescent="0.2">
      <c r="B47" s="52" t="s">
        <v>66</v>
      </c>
      <c r="C47" s="79"/>
      <c r="D47" s="79"/>
      <c r="E47" s="79"/>
      <c r="F47" s="79"/>
      <c r="G47" s="79"/>
      <c r="I47" s="79"/>
      <c r="J47" s="79"/>
      <c r="K47" s="79"/>
      <c r="L47" s="79"/>
      <c r="M47" s="79"/>
      <c r="O47" s="79"/>
      <c r="P47" s="79"/>
      <c r="Q47" s="79"/>
      <c r="R47" s="79"/>
      <c r="S47" s="79"/>
    </row>
    <row r="48" spans="2:19" outlineLevel="1" x14ac:dyDescent="0.2">
      <c r="B48" s="55" t="s">
        <v>65</v>
      </c>
      <c r="C48" s="96">
        <f>NatEndView!$F50</f>
        <v>265251.83996901853</v>
      </c>
      <c r="D48" s="157">
        <f>$C48-NatPriorFcst!$F50</f>
        <v>0</v>
      </c>
      <c r="E48" s="157">
        <f>$C48-NatBudget!$F50</f>
        <v>0</v>
      </c>
      <c r="F48" s="179">
        <f t="shared" ref="F48:G57" si="4">D48/$C48</f>
        <v>0</v>
      </c>
      <c r="G48" s="179">
        <f t="shared" si="4"/>
        <v>0</v>
      </c>
      <c r="I48" s="96">
        <f>NatEndView!$Q50</f>
        <v>617334.28586807568</v>
      </c>
      <c r="J48" s="157">
        <f>$I48-NatPriorFcst!$Q50</f>
        <v>351.73071518377401</v>
      </c>
      <c r="K48" s="157">
        <f>$I48-NatBudget!$Q50</f>
        <v>351.73071518377401</v>
      </c>
      <c r="L48" s="179">
        <f>J48/$I48</f>
        <v>5.6975729881774111E-4</v>
      </c>
      <c r="M48" s="179">
        <f>K48/$I48</f>
        <v>5.6975729881774111E-4</v>
      </c>
      <c r="O48" s="96">
        <f>NatEndView!$U50</f>
        <v>2368173.2879247759</v>
      </c>
      <c r="P48" s="157">
        <f>$O48-NatPriorFcst!$U50</f>
        <v>1778.8615218671039</v>
      </c>
      <c r="Q48" s="157">
        <f>$O48-NatBudget!$U50</f>
        <v>1778.8615218671039</v>
      </c>
      <c r="R48" s="179">
        <f>P48/$O48</f>
        <v>7.511534442759954E-4</v>
      </c>
      <c r="S48" s="179">
        <f>Q48/$O48</f>
        <v>7.511534442759954E-4</v>
      </c>
    </row>
    <row r="49" spans="2:19" outlineLevel="1" x14ac:dyDescent="0.2">
      <c r="B49" s="55" t="s">
        <v>67</v>
      </c>
      <c r="C49" s="96">
        <f>NatEndView!$F51</f>
        <v>5378304.514973958</v>
      </c>
      <c r="D49" s="157">
        <f>$C49-NatPriorFcst!$F51</f>
        <v>1128.7102864589542</v>
      </c>
      <c r="E49" s="157">
        <f>$C49-NatBudget!$F51</f>
        <v>-5646.3949291082099</v>
      </c>
      <c r="F49" s="179">
        <f t="shared" si="4"/>
        <v>2.0986358866748167E-4</v>
      </c>
      <c r="G49" s="179">
        <f t="shared" si="4"/>
        <v>-1.0498466409605202E-3</v>
      </c>
      <c r="I49" s="96">
        <f>NatEndView!$Q51</f>
        <v>16017549.089517532</v>
      </c>
      <c r="J49" s="157">
        <f>$I49-NatPriorFcst!$Q51</f>
        <v>6705.6649214867502</v>
      </c>
      <c r="K49" s="157">
        <f>$I49-NatBudget!$Q51</f>
        <v>-20164.815615421161</v>
      </c>
      <c r="L49" s="179">
        <f>J49/$I49</f>
        <v>4.1864488031288018E-4</v>
      </c>
      <c r="M49" s="179">
        <f>K49/$I49</f>
        <v>-1.2589201695419028E-3</v>
      </c>
      <c r="O49" s="96">
        <f>NatEndView!$U51</f>
        <v>63393254.551335439</v>
      </c>
      <c r="P49" s="157">
        <f>$O49-NatPriorFcst!$U51</f>
        <v>48826.943193286657</v>
      </c>
      <c r="Q49" s="157">
        <f>$O49-NatBudget!$U51</f>
        <v>-95248.827061489224</v>
      </c>
      <c r="R49" s="179">
        <f>P49/$O49</f>
        <v>7.7022300777674886E-4</v>
      </c>
      <c r="S49" s="179">
        <f>Q49/$O49</f>
        <v>-1.5025072893892417E-3</v>
      </c>
    </row>
    <row r="50" spans="2:19" hidden="1" outlineLevel="2" x14ac:dyDescent="0.2">
      <c r="B50" s="105" t="s">
        <v>70</v>
      </c>
      <c r="C50" s="81">
        <f>NatEndView!$F52</f>
        <v>2447128.5543131512</v>
      </c>
      <c r="D50" s="158">
        <f>$C50-NatPriorFcst!$F52</f>
        <v>-26372.315843098331</v>
      </c>
      <c r="E50" s="158">
        <f>$C50-NatBudget!$F52</f>
        <v>-83328.373341289815</v>
      </c>
      <c r="F50" s="180">
        <f t="shared" si="4"/>
        <v>-1.0776841207061308E-2</v>
      </c>
      <c r="G50" s="180">
        <f t="shared" si="4"/>
        <v>-3.4051489936816191E-2</v>
      </c>
      <c r="I50" s="81">
        <f>NatEndView!$Q52</f>
        <v>7287984.8357304772</v>
      </c>
      <c r="J50" s="158">
        <f>$I50-NatPriorFcst!$Q52</f>
        <v>-77003.13958370313</v>
      </c>
      <c r="K50" s="158">
        <f>$I50-NatBudget!$Q52</f>
        <v>-249740.69968201127</v>
      </c>
      <c r="L50" s="180">
        <f>J50/$I50</f>
        <v>-1.0565765615507771E-2</v>
      </c>
      <c r="M50" s="180">
        <f>K50/$I50</f>
        <v>-3.426745599930707E-2</v>
      </c>
      <c r="O50" s="81">
        <f>NatEndView!$U52</f>
        <v>28925813.617732629</v>
      </c>
      <c r="P50" s="158">
        <f>$O50-NatPriorFcst!$U52</f>
        <v>-212623.08201276511</v>
      </c>
      <c r="Q50" s="158">
        <f>$O50-NatBudget!$U52</f>
        <v>-913782.97011392564</v>
      </c>
      <c r="R50" s="180">
        <f>P50/$O50</f>
        <v>-7.3506344479250547E-3</v>
      </c>
      <c r="S50" s="180">
        <f>Q50/$O50</f>
        <v>-3.1590571044602937E-2</v>
      </c>
    </row>
    <row r="51" spans="2:19" hidden="1" outlineLevel="2" x14ac:dyDescent="0.2">
      <c r="B51" s="105" t="s">
        <v>71</v>
      </c>
      <c r="C51" s="81">
        <f>NatEndView!$F53</f>
        <v>2393345.5091634113</v>
      </c>
      <c r="D51" s="158">
        <f>$C51-NatPriorFcst!$F53</f>
        <v>27388.155100911856</v>
      </c>
      <c r="E51" s="158">
        <f>$C51-NatBudget!$F53</f>
        <v>78246.617905092891</v>
      </c>
      <c r="F51" s="180">
        <f t="shared" si="4"/>
        <v>1.1443460626997113E-2</v>
      </c>
      <c r="G51" s="180">
        <f t="shared" si="4"/>
        <v>3.2693406616599967E-2</v>
      </c>
      <c r="I51" s="81">
        <f>NatEndView!$Q53</f>
        <v>7127809.3448353019</v>
      </c>
      <c r="J51" s="158">
        <f>$I51-NatPriorFcst!$Q53</f>
        <v>83038.238013042137</v>
      </c>
      <c r="K51" s="158">
        <f>$I51-NatBudget!$Q53</f>
        <v>231592.36562813167</v>
      </c>
      <c r="L51" s="180">
        <f>J51/$I51</f>
        <v>1.1649896061433003E-2</v>
      </c>
      <c r="M51" s="180">
        <f>K51/$I51</f>
        <v>3.2491380510330264E-2</v>
      </c>
      <c r="O51" s="81">
        <f>NatEndView!$U53</f>
        <v>28128115.478469275</v>
      </c>
      <c r="P51" s="158">
        <f>$O51-NatPriorFcst!$U53</f>
        <v>256567.33088672906</v>
      </c>
      <c r="Q51" s="158">
        <f>$O51-NatBudget!$U53</f>
        <v>828059.02575860173</v>
      </c>
      <c r="R51" s="180">
        <f>P51/$O51</f>
        <v>9.1213835880018003E-3</v>
      </c>
      <c r="S51" s="180">
        <f>Q51/$O51</f>
        <v>2.9438837677996637E-2</v>
      </c>
    </row>
    <row r="52" spans="2:19" hidden="1" outlineLevel="2" x14ac:dyDescent="0.2">
      <c r="B52" s="105" t="s">
        <v>72</v>
      </c>
      <c r="C52" s="81">
        <f>NatEndView!$F54</f>
        <v>322698.27089843748</v>
      </c>
      <c r="D52" s="158">
        <f>$C52-NatPriorFcst!$F54</f>
        <v>-53704.035429687472</v>
      </c>
      <c r="E52" s="158">
        <f>$C52-NatBudget!$F54</f>
        <v>-108017.80189380783</v>
      </c>
      <c r="F52" s="180">
        <f t="shared" si="4"/>
        <v>-0.16642182581322132</v>
      </c>
      <c r="G52" s="180">
        <f t="shared" si="4"/>
        <v>-0.33473312885461409</v>
      </c>
      <c r="I52" s="81">
        <f>NatEndView!$Q54</f>
        <v>961052.94537105178</v>
      </c>
      <c r="J52" s="158">
        <f>$I52-NatPriorFcst!$Q54</f>
        <v>-159706.0943506714</v>
      </c>
      <c r="K52" s="158">
        <f>$I52-NatBudget!$Q54</f>
        <v>-321964.1670395846</v>
      </c>
      <c r="L52" s="180">
        <f>J52/$I52</f>
        <v>-0.16617824763963515</v>
      </c>
      <c r="M52" s="180">
        <f>K52/$I52</f>
        <v>-0.33501189355938954</v>
      </c>
      <c r="O52" s="81">
        <f>NatEndView!$U54</f>
        <v>3967360.8668301264</v>
      </c>
      <c r="P52" s="158">
        <f>$O52-NatPriorFcst!$U54</f>
        <v>-466749.06573982444</v>
      </c>
      <c r="Q52" s="158">
        <f>$O52-NatBudget!$U54</f>
        <v>-1111719.4034416275</v>
      </c>
      <c r="R52" s="180">
        <f>P52/$O52</f>
        <v>-0.11764724243820839</v>
      </c>
      <c r="S52" s="180">
        <f>Q52/$O52</f>
        <v>-0.28021635559708435</v>
      </c>
    </row>
    <row r="53" spans="2:19" hidden="1" outlineLevel="2" x14ac:dyDescent="0.2">
      <c r="B53" s="105" t="s">
        <v>73</v>
      </c>
      <c r="C53" s="81">
        <f>NatEndView!$F55</f>
        <v>215132.18059895834</v>
      </c>
      <c r="D53" s="158">
        <f>$C53-NatPriorFcst!$F55</f>
        <v>53816.906458333367</v>
      </c>
      <c r="E53" s="158">
        <f>$C53-NatBudget!$F55</f>
        <v>107453.16240089701</v>
      </c>
      <c r="F53" s="180">
        <f t="shared" si="4"/>
        <v>0.25015739769150069</v>
      </c>
      <c r="G53" s="180">
        <f t="shared" si="4"/>
        <v>0.49947507667951979</v>
      </c>
      <c r="I53" s="81">
        <f>NatEndView!$Q55</f>
        <v>640701.96358070127</v>
      </c>
      <c r="J53" s="158">
        <f>$I53-NatPriorFcst!$Q55</f>
        <v>160376.66084282001</v>
      </c>
      <c r="K53" s="158">
        <f>$I53-NatBudget!$Q55</f>
        <v>319947.68547804217</v>
      </c>
      <c r="L53" s="180">
        <f>J53/$I53</f>
        <v>0.25031398366023483</v>
      </c>
      <c r="M53" s="180">
        <f>K53/$I53</f>
        <v>0.49937053991522901</v>
      </c>
      <c r="O53" s="81">
        <f>NatEndView!$U55</f>
        <v>2371964.5883034179</v>
      </c>
      <c r="P53" s="158">
        <f>$O53-NatPriorFcst!$U55</f>
        <v>471631.76005915366</v>
      </c>
      <c r="Q53" s="158">
        <f>$O53-NatBudget!$U55</f>
        <v>1102194.5207354794</v>
      </c>
      <c r="R53" s="180">
        <f>P53/$O53</f>
        <v>0.19883591955160473</v>
      </c>
      <c r="S53" s="180">
        <f>Q53/$O53</f>
        <v>0.46467579076458304</v>
      </c>
    </row>
    <row r="54" spans="2:19" outlineLevel="1" collapsed="1" x14ac:dyDescent="0.2">
      <c r="B54" s="55" t="s">
        <v>68</v>
      </c>
      <c r="C54" s="107">
        <f>NatEndView!$F56</f>
        <v>490675</v>
      </c>
      <c r="D54" s="48">
        <f>$C54-NatPriorFcst!$F56</f>
        <v>0</v>
      </c>
      <c r="E54" s="48">
        <f>$C54-NatBudget!$F56</f>
        <v>0</v>
      </c>
      <c r="F54" s="171">
        <f t="shared" si="4"/>
        <v>0</v>
      </c>
      <c r="G54" s="171">
        <f t="shared" si="4"/>
        <v>0</v>
      </c>
      <c r="I54" s="107">
        <f>NatEndView!$Q56</f>
        <v>1575325</v>
      </c>
      <c r="J54" s="48">
        <f>$I54-NatPriorFcst!$Q56</f>
        <v>-49350</v>
      </c>
      <c r="K54" s="48">
        <f>$I54-NatBudget!$Q56</f>
        <v>-49350</v>
      </c>
      <c r="L54" s="171">
        <f>J54/$I54</f>
        <v>-3.1326869058765652E-2</v>
      </c>
      <c r="M54" s="171">
        <f>K54/$I54</f>
        <v>-3.1326869058765652E-2</v>
      </c>
      <c r="O54" s="107">
        <f>NatEndView!$U56</f>
        <v>6431375</v>
      </c>
      <c r="P54" s="48">
        <f>$O54-NatPriorFcst!$U56</f>
        <v>-49350</v>
      </c>
      <c r="Q54" s="48">
        <f>$O54-NatBudget!$U56</f>
        <v>-49350</v>
      </c>
      <c r="R54" s="171">
        <f>P54/$O54</f>
        <v>-7.6733202464480772E-3</v>
      </c>
      <c r="S54" s="171">
        <f>Q54/$O54</f>
        <v>-7.6733202464480772E-3</v>
      </c>
    </row>
    <row r="55" spans="2:19" outlineLevel="2" x14ac:dyDescent="0.2">
      <c r="B55" s="105" t="s">
        <v>22</v>
      </c>
      <c r="C55" s="27">
        <f>NatEndView!$F57</f>
        <v>379525</v>
      </c>
      <c r="D55" s="49">
        <f>$C55-NatPriorFcst!$F57</f>
        <v>0</v>
      </c>
      <c r="E55" s="49">
        <f>$C55-NatBudget!$F57</f>
        <v>0</v>
      </c>
      <c r="F55" s="172">
        <f t="shared" si="4"/>
        <v>0</v>
      </c>
      <c r="G55" s="172">
        <f t="shared" si="4"/>
        <v>0</v>
      </c>
      <c r="I55" s="27">
        <f>NatEndView!$Q57</f>
        <v>1218475</v>
      </c>
      <c r="J55" s="49">
        <f>$I55-NatPriorFcst!$Q57</f>
        <v>-49350</v>
      </c>
      <c r="K55" s="49">
        <f>$I55-NatBudget!$Q57</f>
        <v>-49350</v>
      </c>
      <c r="L55" s="172">
        <f>J55/$I55</f>
        <v>-4.0501446480231434E-2</v>
      </c>
      <c r="M55" s="172">
        <f>K55/$I55</f>
        <v>-4.0501446480231434E-2</v>
      </c>
      <c r="O55" s="27">
        <f>NatEndView!$U57</f>
        <v>5018975</v>
      </c>
      <c r="P55" s="49">
        <f>$O55-NatPriorFcst!$U57</f>
        <v>-49350</v>
      </c>
      <c r="Q55" s="49">
        <f>$O55-NatBudget!$U57</f>
        <v>-49350</v>
      </c>
      <c r="R55" s="172">
        <f>P55/$O55</f>
        <v>-9.8326849605746194E-3</v>
      </c>
      <c r="S55" s="172">
        <f>Q55/$O55</f>
        <v>-9.8326849605746194E-3</v>
      </c>
    </row>
    <row r="56" spans="2:19" outlineLevel="2" x14ac:dyDescent="0.2">
      <c r="B56" s="105" t="s">
        <v>23</v>
      </c>
      <c r="C56" s="34">
        <f>NatEndView!$F58</f>
        <v>111150</v>
      </c>
      <c r="D56" s="159">
        <f>$C56-NatPriorFcst!$F58</f>
        <v>0</v>
      </c>
      <c r="E56" s="159">
        <f>$C56-NatBudget!$F58</f>
        <v>0</v>
      </c>
      <c r="F56" s="173">
        <f t="shared" si="4"/>
        <v>0</v>
      </c>
      <c r="G56" s="173">
        <f t="shared" si="4"/>
        <v>0</v>
      </c>
      <c r="I56" s="34">
        <f>NatEndView!$Q58</f>
        <v>356850</v>
      </c>
      <c r="J56" s="159">
        <f>$I56-NatPriorFcst!$Q58</f>
        <v>0</v>
      </c>
      <c r="K56" s="159">
        <f>$I56-NatBudget!$Q58</f>
        <v>0</v>
      </c>
      <c r="L56" s="173">
        <f>J56/$I56</f>
        <v>0</v>
      </c>
      <c r="M56" s="173">
        <f>K56/$I56</f>
        <v>0</v>
      </c>
      <c r="O56" s="34">
        <f>NatEndView!$U58</f>
        <v>1412400</v>
      </c>
      <c r="P56" s="159">
        <f>$O56-NatPriorFcst!$U58</f>
        <v>0</v>
      </c>
      <c r="Q56" s="159">
        <f>$O56-NatBudget!$U58</f>
        <v>0</v>
      </c>
      <c r="R56" s="173">
        <f>P56/$O56</f>
        <v>0</v>
      </c>
      <c r="S56" s="173">
        <f>Q56/$O56</f>
        <v>0</v>
      </c>
    </row>
    <row r="57" spans="2:19" x14ac:dyDescent="0.2">
      <c r="B57" s="155" t="s">
        <v>69</v>
      </c>
      <c r="C57" s="156">
        <f>NatEndView!$F59</f>
        <v>6134231.3549429765</v>
      </c>
      <c r="D57" s="160">
        <f>$C57-NatPriorFcst!$F59</f>
        <v>1128.7102864589542</v>
      </c>
      <c r="E57" s="160">
        <f>$C57-NatBudget!$F59</f>
        <v>-5646.3949291082099</v>
      </c>
      <c r="F57" s="181">
        <f t="shared" si="4"/>
        <v>1.8400191012512711E-4</v>
      </c>
      <c r="G57" s="181">
        <f t="shared" si="4"/>
        <v>-9.2047309636574643E-4</v>
      </c>
      <c r="I57" s="156">
        <f>NatEndView!$Q59</f>
        <v>18210208.375385609</v>
      </c>
      <c r="J57" s="160">
        <f>$I57-NatPriorFcst!$Q59</f>
        <v>-42292.604363325983</v>
      </c>
      <c r="K57" s="160">
        <f>$I57-NatBudget!$Q59</f>
        <v>-69163.08490023762</v>
      </c>
      <c r="L57" s="181">
        <f>J57/$I57</f>
        <v>-2.3224667994734254E-3</v>
      </c>
      <c r="M57" s="181">
        <f>K57/$I57</f>
        <v>-3.798039180799493E-3</v>
      </c>
      <c r="O57" s="156">
        <f>NatEndView!$U59</f>
        <v>72192802.839260221</v>
      </c>
      <c r="P57" s="160">
        <f>$O57-NatPriorFcst!$U59</f>
        <v>1255.8047151565552</v>
      </c>
      <c r="Q57" s="160">
        <f>$O57-NatBudget!$U59</f>
        <v>-142819.96553960443</v>
      </c>
      <c r="R57" s="181">
        <f>P57/$O57</f>
        <v>1.7395151119878915E-5</v>
      </c>
      <c r="S57" s="181">
        <f>Q57/$O57</f>
        <v>-1.9783130717004856E-3</v>
      </c>
    </row>
    <row r="58" spans="2:19" x14ac:dyDescent="0.2">
      <c r="B58" s="55"/>
      <c r="C58" s="24"/>
      <c r="D58" s="24"/>
      <c r="E58" s="24"/>
      <c r="F58" s="24"/>
      <c r="G58" s="24"/>
      <c r="I58" s="24"/>
      <c r="J58" s="24"/>
      <c r="K58" s="24"/>
      <c r="L58" s="24"/>
      <c r="M58" s="24"/>
      <c r="O58" s="24"/>
      <c r="P58" s="24"/>
      <c r="Q58" s="24"/>
      <c r="R58" s="24"/>
      <c r="S58" s="24"/>
    </row>
    <row r="59" spans="2:19" hidden="1" outlineLevel="1" x14ac:dyDescent="0.2">
      <c r="B59" s="59" t="s">
        <v>43</v>
      </c>
      <c r="C59" s="24"/>
      <c r="D59" s="24"/>
      <c r="E59" s="24"/>
      <c r="F59" s="24"/>
      <c r="G59" s="24"/>
      <c r="I59" s="24"/>
      <c r="J59" s="24"/>
      <c r="K59" s="24"/>
      <c r="L59" s="24"/>
      <c r="M59" s="24"/>
      <c r="O59" s="24"/>
      <c r="P59" s="24"/>
      <c r="Q59" s="24"/>
      <c r="R59" s="24"/>
      <c r="S59" s="24"/>
    </row>
    <row r="60" spans="2:19" hidden="1" outlineLevel="1" x14ac:dyDescent="0.2">
      <c r="B60" s="57" t="s">
        <v>44</v>
      </c>
      <c r="C60" s="26">
        <f>NatEndView!$F62</f>
        <v>337382.72452186368</v>
      </c>
      <c r="D60" s="162">
        <f>$C60-NatPriorFcst!$F62</f>
        <v>-30603.434157527343</v>
      </c>
      <c r="E60" s="162">
        <f>$C60-NatBudget!$F62</f>
        <v>30388.837028259411</v>
      </c>
      <c r="F60" s="176">
        <f>D60/$C60</f>
        <v>-9.0708361552590766E-2</v>
      </c>
      <c r="G60" s="176">
        <f>E60/$C60</f>
        <v>9.0072297185121872E-2</v>
      </c>
      <c r="I60" s="26">
        <f>NatEndView!$Q62</f>
        <v>1001561.4606462084</v>
      </c>
      <c r="J60" s="162">
        <f>$I60-NatPriorFcst!$Q62</f>
        <v>-93588.598138727713</v>
      </c>
      <c r="K60" s="162">
        <f>$I60-NatBudget!$Q62</f>
        <v>87592.887631915975</v>
      </c>
      <c r="L60" s="176">
        <f>J60/$I60</f>
        <v>-9.3442691053971128E-2</v>
      </c>
      <c r="M60" s="176">
        <f>K60/$I60</f>
        <v>8.7456328017454829E-2</v>
      </c>
      <c r="O60" s="26">
        <f>NatEndView!$U62</f>
        <v>4061029.4833571441</v>
      </c>
      <c r="P60" s="162">
        <f>$O60-NatPriorFcst!$U62</f>
        <v>-270463.33871555934</v>
      </c>
      <c r="Q60" s="162">
        <f>$O60-NatBudget!$U62</f>
        <v>444248.34311715188</v>
      </c>
      <c r="R60" s="176">
        <f>P60/$O60</f>
        <v>-6.6599698382877673E-2</v>
      </c>
      <c r="S60" s="176">
        <f>Q60/$O60</f>
        <v>0.10939303566688309</v>
      </c>
    </row>
    <row r="61" spans="2:19" hidden="1" outlineLevel="1" x14ac:dyDescent="0.2">
      <c r="B61" s="57" t="s">
        <v>45</v>
      </c>
      <c r="C61" s="26">
        <f>NatEndView!$F63</f>
        <v>245369.25419771907</v>
      </c>
      <c r="D61" s="162">
        <f>$C61-NatPriorFcst!$F63</f>
        <v>45.148411458358169</v>
      </c>
      <c r="E61" s="162">
        <f>$C61-NatBudget!$F63</f>
        <v>61172.921701556537</v>
      </c>
      <c r="F61" s="176">
        <f t="shared" ref="F61:G64" si="5">D61/$C61</f>
        <v>1.8400191012512711E-4</v>
      </c>
      <c r="G61" s="176">
        <f t="shared" si="5"/>
        <v>0.24930964517772575</v>
      </c>
      <c r="I61" s="26">
        <f>NatEndView!$Q63</f>
        <v>728408.33501542429</v>
      </c>
      <c r="J61" s="162">
        <f>$I61-NatPriorFcst!$Q63</f>
        <v>-1691.7041745331371</v>
      </c>
      <c r="K61" s="162">
        <f>$I61-NatBudget!$Q63</f>
        <v>180027.19120684895</v>
      </c>
      <c r="L61" s="176">
        <f>J61/$I61</f>
        <v>-2.3224667994735599E-3</v>
      </c>
      <c r="M61" s="176">
        <f>K61/$I61</f>
        <v>0.24715147061440038</v>
      </c>
      <c r="O61" s="26">
        <f>NatEndView!$U63</f>
        <v>2887712.1135704089</v>
      </c>
      <c r="P61" s="162">
        <f>$O61-NatPriorFcst!$U63</f>
        <v>50.232188606634736</v>
      </c>
      <c r="Q61" s="162">
        <f>$O61-NatBudget!$U63</f>
        <v>717643.42942641396</v>
      </c>
      <c r="R61" s="176">
        <f>P61/$O61</f>
        <v>1.7395151120007921E-5</v>
      </c>
      <c r="S61" s="176">
        <f>Q61/$O61</f>
        <v>0.24851626519622458</v>
      </c>
    </row>
    <row r="62" spans="2:19" hidden="1" outlineLevel="1" x14ac:dyDescent="0.2">
      <c r="B62" s="57" t="s">
        <v>74</v>
      </c>
      <c r="C62" s="26">
        <f>NatEndView!$F64</f>
        <v>245369.25419771907</v>
      </c>
      <c r="D62" s="162">
        <f>$C62-NatPriorFcst!$F64</f>
        <v>-6087.9542331981647</v>
      </c>
      <c r="E62" s="162">
        <f>$C62-NatBudget!$F64</f>
        <v>55033.043951684434</v>
      </c>
      <c r="F62" s="176">
        <f t="shared" si="5"/>
        <v>-2.4811398042121766E-2</v>
      </c>
      <c r="G62" s="176">
        <f t="shared" si="5"/>
        <v>0.22428663335031654</v>
      </c>
      <c r="I62" s="26">
        <f>NatEndView!$Q64</f>
        <v>728408.33501542429</v>
      </c>
      <c r="J62" s="162">
        <f>$I62-NatPriorFcst!$Q64</f>
        <v>-19944.205154282041</v>
      </c>
      <c r="K62" s="162">
        <f>$I62-NatBudget!$Q64</f>
        <v>161747.81974656309</v>
      </c>
      <c r="L62" s="176">
        <f>J62/$I62</f>
        <v>-2.7380528469460354E-2</v>
      </c>
      <c r="M62" s="176">
        <f>K62/$I62</f>
        <v>0.22205651963488038</v>
      </c>
      <c r="O62" s="26">
        <f>NatEndView!$U64</f>
        <v>2905797.1790099749</v>
      </c>
      <c r="P62" s="162">
        <f>$O62-NatPriorFcst!$U64</f>
        <v>-54056.249406372663</v>
      </c>
      <c r="Q62" s="162">
        <f>$O62-NatBudget!$U64</f>
        <v>663392.87206117995</v>
      </c>
      <c r="R62" s="176">
        <f>P62/$O62</f>
        <v>-1.8602898301659856E-2</v>
      </c>
      <c r="S62" s="176">
        <f>Q62/$O62</f>
        <v>0.22829978528893832</v>
      </c>
    </row>
    <row r="63" spans="2:19" hidden="1" outlineLevel="1" x14ac:dyDescent="0.2">
      <c r="B63" s="89" t="s">
        <v>75</v>
      </c>
      <c r="C63" s="32">
        <f>NatEndView!$F65</f>
        <v>251503.48555266205</v>
      </c>
      <c r="D63" s="163">
        <f>$C63-NatPriorFcst!$F65</f>
        <v>-24486.133456881216</v>
      </c>
      <c r="E63" s="163">
        <f>$C63-NatBudget!$F65</f>
        <v>55027.397556755343</v>
      </c>
      <c r="F63" s="177">
        <f t="shared" si="5"/>
        <v>-9.7359022293764946E-2</v>
      </c>
      <c r="G63" s="177">
        <f t="shared" si="5"/>
        <v>0.21879377709551948</v>
      </c>
      <c r="I63" s="32">
        <f>NatEndView!$Q65</f>
        <v>746618.54339080991</v>
      </c>
      <c r="J63" s="163">
        <f>$I63-NatPriorFcst!$Q65</f>
        <v>-74744.000697892159</v>
      </c>
      <c r="K63" s="163">
        <f>$I63-NatBudget!$Q65</f>
        <v>161678.65666166286</v>
      </c>
      <c r="L63" s="177">
        <f>J63/$I63</f>
        <v>-0.10011002453600749</v>
      </c>
      <c r="M63" s="177">
        <f>K63/$I63</f>
        <v>0.21654787185888819</v>
      </c>
      <c r="O63" s="32">
        <f>NatEndView!$U65</f>
        <v>3032245.1781679345</v>
      </c>
      <c r="P63" s="163">
        <f>$O63-NatPriorFcst!$U65</f>
        <v>-216374.43838659301</v>
      </c>
      <c r="Q63" s="163">
        <f>$O63-NatBudget!$U65</f>
        <v>717505.24841433996</v>
      </c>
      <c r="R63" s="177">
        <f>P63/$O63</f>
        <v>-7.1357830806190028E-2</v>
      </c>
      <c r="S63" s="177">
        <f>Q63/$O63</f>
        <v>0.23662507688374085</v>
      </c>
    </row>
    <row r="64" spans="2:19" collapsed="1" x14ac:dyDescent="0.2">
      <c r="B64" s="52" t="s">
        <v>46</v>
      </c>
      <c r="C64" s="28">
        <f>NatEndView!$F66</f>
        <v>1079624.7184699639</v>
      </c>
      <c r="D64" s="164">
        <f>$C64-NatPriorFcst!$F66</f>
        <v>-61132.373436148278</v>
      </c>
      <c r="E64" s="164">
        <f>$C64-NatBudget!$F66</f>
        <v>201622.20023825567</v>
      </c>
      <c r="F64" s="178">
        <f t="shared" si="5"/>
        <v>-5.6623725254072194E-2</v>
      </c>
      <c r="G64" s="178">
        <f t="shared" si="5"/>
        <v>0.18675211560920274</v>
      </c>
      <c r="I64" s="28">
        <f>NatEndView!$Q66</f>
        <v>3204996.674067867</v>
      </c>
      <c r="J64" s="164">
        <f>$I64-NatPriorFcst!$Q66</f>
        <v>-189968.50816543447</v>
      </c>
      <c r="K64" s="164">
        <f>$I64-NatBudget!$Q66</f>
        <v>591046.55524699111</v>
      </c>
      <c r="L64" s="178">
        <f>J64/$I64</f>
        <v>-5.9272606958534341E-2</v>
      </c>
      <c r="M64" s="178">
        <f>K64/$I64</f>
        <v>0.18441409316560042</v>
      </c>
      <c r="O64" s="28">
        <f>NatEndView!$U66</f>
        <v>12886783.954105463</v>
      </c>
      <c r="P64" s="164">
        <f>$O64-NatPriorFcst!$U66</f>
        <v>-540843.79431991838</v>
      </c>
      <c r="Q64" s="164">
        <f>$O64-NatBudget!$U66</f>
        <v>2542789.8930190876</v>
      </c>
      <c r="R64" s="178">
        <f>P64/$O64</f>
        <v>-4.1968872625323769E-2</v>
      </c>
      <c r="S64" s="178">
        <f>Q64/$O64</f>
        <v>0.1973176474498905</v>
      </c>
    </row>
    <row r="65" spans="2:19" x14ac:dyDescent="0.2">
      <c r="B65" s="55"/>
      <c r="C65" s="24"/>
      <c r="D65" s="24"/>
      <c r="E65" s="24"/>
      <c r="F65" s="24"/>
      <c r="G65" s="24"/>
      <c r="I65" s="24"/>
      <c r="J65" s="24"/>
      <c r="K65" s="24"/>
      <c r="L65" s="24"/>
      <c r="M65" s="24"/>
      <c r="O65" s="24"/>
      <c r="P65" s="24"/>
      <c r="Q65" s="24"/>
      <c r="R65" s="24"/>
      <c r="S65" s="24"/>
    </row>
    <row r="66" spans="2:19" hidden="1" outlineLevel="1" x14ac:dyDescent="0.2">
      <c r="B66" s="57" t="s">
        <v>76</v>
      </c>
      <c r="C66" s="26">
        <f>NatEndView!$F68</f>
        <v>47940</v>
      </c>
      <c r="D66" s="162">
        <f>$C66-NatPriorFcst!$F68</f>
        <v>0</v>
      </c>
      <c r="E66" s="162">
        <f>$C66-NatBudget!$F68</f>
        <v>-3196</v>
      </c>
      <c r="F66" s="176">
        <f t="shared" ref="F66:G69" si="6">D66/$C66</f>
        <v>0</v>
      </c>
      <c r="G66" s="176">
        <f t="shared" si="6"/>
        <v>-6.6666666666666666E-2</v>
      </c>
      <c r="I66" s="26">
        <f>NatEndView!$Q68</f>
        <v>153408</v>
      </c>
      <c r="J66" s="162">
        <f>$I66-NatPriorFcst!$Q68</f>
        <v>-6204</v>
      </c>
      <c r="K66" s="162">
        <f>$I66-NatBudget!$Q68</f>
        <v>-16844.800000000017</v>
      </c>
      <c r="L66" s="176">
        <f>J66/$I66</f>
        <v>-4.0441176470588237E-2</v>
      </c>
      <c r="M66" s="176">
        <f>K66/$I66</f>
        <v>-0.10980392156862756</v>
      </c>
      <c r="O66" s="26">
        <f>NatEndView!$U68</f>
        <v>632022</v>
      </c>
      <c r="P66" s="162">
        <f>$O66-NatPriorFcst!$U68</f>
        <v>-6204</v>
      </c>
      <c r="Q66" s="162">
        <f>$O66-NatBudget!$U68</f>
        <v>-48752.400000000023</v>
      </c>
      <c r="R66" s="176">
        <f>P66/$O66</f>
        <v>-9.8161139960317844E-3</v>
      </c>
      <c r="S66" s="176">
        <f>Q66/$O66</f>
        <v>-7.7137188262433945E-2</v>
      </c>
    </row>
    <row r="67" spans="2:19" hidden="1" outlineLevel="1" x14ac:dyDescent="0.2">
      <c r="B67" s="57" t="s">
        <v>77</v>
      </c>
      <c r="C67" s="26">
        <f>NatEndView!$F69</f>
        <v>40560</v>
      </c>
      <c r="D67" s="162">
        <f>$C67-NatPriorFcst!$F69</f>
        <v>0</v>
      </c>
      <c r="E67" s="162">
        <f>$C67-NatBudget!$F69</f>
        <v>1560</v>
      </c>
      <c r="F67" s="176">
        <f t="shared" si="6"/>
        <v>0</v>
      </c>
      <c r="G67" s="176">
        <f t="shared" si="6"/>
        <v>3.8461538461538464E-2</v>
      </c>
      <c r="I67" s="26">
        <f>NatEndView!$Q69</f>
        <v>129792</v>
      </c>
      <c r="J67" s="162">
        <f>$I67-NatPriorFcst!$Q69</f>
        <v>0</v>
      </c>
      <c r="K67" s="162">
        <f>$I67-NatBudget!$Q69</f>
        <v>4992</v>
      </c>
      <c r="L67" s="176">
        <f>J67/$I67</f>
        <v>0</v>
      </c>
      <c r="M67" s="176">
        <f>K67/$I67</f>
        <v>3.8461538461538464E-2</v>
      </c>
      <c r="O67" s="26">
        <f>NatEndView!$U69</f>
        <v>513812</v>
      </c>
      <c r="P67" s="162">
        <f>$O67-NatPriorFcst!$U69</f>
        <v>0</v>
      </c>
      <c r="Q67" s="162">
        <f>$O67-NatBudget!$U69</f>
        <v>19762</v>
      </c>
      <c r="R67" s="176">
        <f>P67/$O67</f>
        <v>0</v>
      </c>
      <c r="S67" s="176">
        <f>Q67/$O67</f>
        <v>3.8461538461538464E-2</v>
      </c>
    </row>
    <row r="68" spans="2:19" hidden="1" outlineLevel="1" x14ac:dyDescent="0.2">
      <c r="B68" s="89" t="s">
        <v>27</v>
      </c>
      <c r="C68" s="32">
        <f>NatEndView!$F70</f>
        <v>19630.860513534702</v>
      </c>
      <c r="D68" s="163">
        <f>$C68-NatPriorFcst!$F70</f>
        <v>19.611249264267826</v>
      </c>
      <c r="E68" s="163">
        <f>$C68-NatBudget!$F70</f>
        <v>-4883.2010668033436</v>
      </c>
      <c r="F68" s="177">
        <f t="shared" si="6"/>
        <v>9.9900099900086629E-4</v>
      </c>
      <c r="G68" s="177">
        <f t="shared" si="6"/>
        <v>-0.24875124875124904</v>
      </c>
      <c r="I68" s="32">
        <f>NatEndView!$Q70</f>
        <v>75588.483603801666</v>
      </c>
      <c r="J68" s="163">
        <f>$I68-NatPriorFcst!$Q70</f>
        <v>75.512970633164514</v>
      </c>
      <c r="K68" s="163">
        <f>$I68-NatBudget!$Q70</f>
        <v>-18802.729687658983</v>
      </c>
      <c r="L68" s="177">
        <f>J68/$I68</f>
        <v>9.9900099900094631E-4</v>
      </c>
      <c r="M68" s="177">
        <f>K68/$I68</f>
        <v>-0.2487512487512491</v>
      </c>
      <c r="O68" s="32">
        <f>NatEndView!$U70</f>
        <v>315216.8544818745</v>
      </c>
      <c r="P68" s="163">
        <f>$O68-NatPriorFcst!$U70</f>
        <v>244.46843750018161</v>
      </c>
      <c r="Q68" s="163">
        <f>$O68-NatBudget!$U70</f>
        <v>-78498.628073593485</v>
      </c>
      <c r="R68" s="177">
        <f>P68/$O68</f>
        <v>7.7555636389436456E-4</v>
      </c>
      <c r="S68" s="177">
        <f>Q68/$O68</f>
        <v>-0.24903055454513232</v>
      </c>
    </row>
    <row r="69" spans="2:19" collapsed="1" x14ac:dyDescent="0.2">
      <c r="B69" s="52" t="s">
        <v>24</v>
      </c>
      <c r="C69" s="28">
        <f>NatEndView!$F71</f>
        <v>108130.8605135347</v>
      </c>
      <c r="D69" s="164">
        <f>$C69-NatPriorFcst!$F71</f>
        <v>19.611249264271464</v>
      </c>
      <c r="E69" s="164">
        <f>$C69-NatBudget!$F71</f>
        <v>-6519.2010668033472</v>
      </c>
      <c r="F69" s="178">
        <f t="shared" si="6"/>
        <v>1.8136588547555977E-4</v>
      </c>
      <c r="G69" s="178">
        <f t="shared" si="6"/>
        <v>-6.028992126616195E-2</v>
      </c>
      <c r="I69" s="28">
        <f>NatEndView!$Q71</f>
        <v>358788.48360380164</v>
      </c>
      <c r="J69" s="164">
        <f>$I69-NatPriorFcst!$Q71</f>
        <v>-6128.4870293668937</v>
      </c>
      <c r="K69" s="164">
        <f>$I69-NatBudget!$Q71</f>
        <v>-30655.529687659058</v>
      </c>
      <c r="L69" s="178">
        <f>J69/$I69</f>
        <v>-1.7081058365670344E-2</v>
      </c>
      <c r="M69" s="178">
        <f>K69/$I69</f>
        <v>-8.5441788375545946E-2</v>
      </c>
      <c r="O69" s="28">
        <f>NatEndView!$U71</f>
        <v>1461050.8544818745</v>
      </c>
      <c r="P69" s="164">
        <f>$O69-NatPriorFcst!$U71</f>
        <v>-5959.5315625001676</v>
      </c>
      <c r="Q69" s="164">
        <f>$O69-NatBudget!$U71</f>
        <v>-107489.02807359351</v>
      </c>
      <c r="R69" s="178">
        <f>P69/$O69</f>
        <v>-4.0789350652777707E-3</v>
      </c>
      <c r="S69" s="178">
        <f>Q69/$O69</f>
        <v>-7.3569669217100481E-2</v>
      </c>
    </row>
    <row r="70" spans="2:19" x14ac:dyDescent="0.2">
      <c r="B70" s="52"/>
      <c r="C70" s="24"/>
      <c r="D70" s="24"/>
      <c r="E70" s="24"/>
      <c r="F70" s="24"/>
      <c r="G70" s="24"/>
      <c r="I70" s="24"/>
      <c r="J70" s="24"/>
      <c r="K70" s="24"/>
      <c r="L70" s="24"/>
      <c r="M70" s="24"/>
      <c r="O70" s="24"/>
      <c r="P70" s="24"/>
      <c r="Q70" s="24"/>
      <c r="R70" s="24"/>
      <c r="S70" s="24"/>
    </row>
    <row r="71" spans="2:19" x14ac:dyDescent="0.2">
      <c r="B71" s="52" t="s">
        <v>28</v>
      </c>
      <c r="C71" s="28">
        <f>NatEndView!$F73</f>
        <v>4946475.7759594787</v>
      </c>
      <c r="D71" s="28">
        <f>$C71-NatPriorFcst!$F73</f>
        <v>62241.472473343834</v>
      </c>
      <c r="E71" s="28">
        <f>$C71-NatBudget!$F73</f>
        <v>-200749.39410055988</v>
      </c>
      <c r="F71" s="154"/>
      <c r="G71" s="154"/>
      <c r="I71" s="28">
        <f>NatEndView!$Q73</f>
        <v>14646423.217713941</v>
      </c>
      <c r="J71" s="28">
        <f>$I71-NatPriorFcst!$Q73</f>
        <v>153804.39083147608</v>
      </c>
      <c r="K71" s="28">
        <f>$I71-NatBudget!$Q73</f>
        <v>-629554.11045956798</v>
      </c>
      <c r="L71" s="154"/>
      <c r="M71" s="154"/>
      <c r="O71" s="28">
        <f>NatEndView!$U73</f>
        <v>57844968.030672878</v>
      </c>
      <c r="P71" s="28">
        <f>$O71-NatPriorFcst!$U73</f>
        <v>548059.13059756905</v>
      </c>
      <c r="Q71" s="28">
        <f>$O71-NatBudget!$U73</f>
        <v>-2578120.8304851055</v>
      </c>
      <c r="R71" s="154"/>
      <c r="S71" s="154"/>
    </row>
    <row r="72" spans="2:19" x14ac:dyDescent="0.2">
      <c r="B72" s="52" t="s">
        <v>29</v>
      </c>
      <c r="C72" s="71">
        <f>NatEndView!$F74</f>
        <v>0.80637254934533864</v>
      </c>
      <c r="D72" s="71">
        <f>$C72-NatPriorFcst!$F74</f>
        <v>1.0000046474946012E-2</v>
      </c>
      <c r="E72" s="71">
        <f>$C72-NatBudget!$F74</f>
        <v>-3.1954430400678802E-2</v>
      </c>
      <c r="F72" s="170"/>
      <c r="G72" s="170"/>
      <c r="I72" s="71">
        <f>NatEndView!$Q74</f>
        <v>0.80429739823906854</v>
      </c>
      <c r="J72" s="71">
        <f>$I72-NatPriorFcst!$Q74</f>
        <v>1.0290108883929894E-2</v>
      </c>
      <c r="K72" s="71">
        <f>$I72-NatBudget!$Q74</f>
        <v>-3.1397492111096104E-2</v>
      </c>
      <c r="L72" s="170"/>
      <c r="M72" s="170"/>
      <c r="O72" s="71">
        <f>NatEndView!$U74</f>
        <v>0.8012567147374331</v>
      </c>
      <c r="P72" s="71">
        <f>$O72-NatPriorFcst!$U74</f>
        <v>7.5777972783347414E-3</v>
      </c>
      <c r="Q72" s="71">
        <f>$O72-NatBudget!$U74</f>
        <v>-3.405908843484029E-2</v>
      </c>
      <c r="R72" s="170"/>
      <c r="S72" s="170"/>
    </row>
    <row r="73" spans="2:19" x14ac:dyDescent="0.2">
      <c r="B73" s="51"/>
      <c r="C73" s="24"/>
      <c r="D73" s="24"/>
      <c r="E73" s="24"/>
      <c r="F73" s="24"/>
      <c r="G73" s="24"/>
      <c r="I73" s="24"/>
      <c r="J73" s="24"/>
      <c r="K73" s="24"/>
      <c r="L73" s="24"/>
      <c r="M73" s="24"/>
      <c r="O73" s="24"/>
      <c r="P73" s="24"/>
      <c r="Q73" s="24"/>
      <c r="R73" s="24"/>
      <c r="S73" s="24"/>
    </row>
    <row r="74" spans="2:19" hidden="1" outlineLevel="1" x14ac:dyDescent="0.2">
      <c r="B74" s="52" t="s">
        <v>26</v>
      </c>
      <c r="C74" s="24"/>
      <c r="D74" s="24"/>
      <c r="E74" s="24"/>
      <c r="F74" s="24"/>
      <c r="G74" s="24"/>
      <c r="I74" s="24"/>
      <c r="J74" s="24"/>
      <c r="K74" s="24"/>
      <c r="L74" s="24"/>
      <c r="M74" s="24"/>
      <c r="O74" s="24"/>
      <c r="P74" s="24"/>
      <c r="Q74" s="24"/>
      <c r="R74" s="24"/>
      <c r="S74" s="24"/>
    </row>
    <row r="75" spans="2:19" hidden="1" outlineLevel="1" x14ac:dyDescent="0.2">
      <c r="B75" s="56" t="s">
        <v>47</v>
      </c>
      <c r="C75" s="26">
        <f>NatEndView!$F77</f>
        <v>1042819.330340306</v>
      </c>
      <c r="D75" s="162">
        <f>$C75-NatPriorFcst!$F77</f>
        <v>15524.637360339286</v>
      </c>
      <c r="E75" s="162">
        <f>$C75-NatBudget!$F77</f>
        <v>-62358.664636669215</v>
      </c>
      <c r="F75" s="176">
        <f t="shared" ref="F75:G93" si="7">D75/$C75</f>
        <v>1.4887178352623258E-2</v>
      </c>
      <c r="G75" s="176">
        <f t="shared" si="7"/>
        <v>-5.9798147984387234E-2</v>
      </c>
      <c r="I75" s="26">
        <f>NatEndView!$Q77</f>
        <v>3095735.4238155535</v>
      </c>
      <c r="J75" s="162">
        <f>$I75-NatPriorFcst!$Q77</f>
        <v>38441.509707606863</v>
      </c>
      <c r="K75" s="162">
        <f>$I75-NatBudget!$Q77</f>
        <v>-194551.43903589901</v>
      </c>
      <c r="L75" s="176">
        <f>J75/$I75</f>
        <v>1.2417569476989401E-2</v>
      </c>
      <c r="M75" s="176">
        <f>K75/$I75</f>
        <v>-6.2844982662023041E-2</v>
      </c>
      <c r="O75" s="26">
        <f>NatEndView!$U77</f>
        <v>12227563.819075322</v>
      </c>
      <c r="P75" s="162">
        <f>$O75-NatPriorFcst!$U77</f>
        <v>135479.69078902528</v>
      </c>
      <c r="Q75" s="162">
        <f>$O75-NatBudget!$U77</f>
        <v>-792848.28578864597</v>
      </c>
      <c r="R75" s="176">
        <f>P75/$O75</f>
        <v>1.107985963464557E-2</v>
      </c>
      <c r="S75" s="176">
        <f>Q75/$O75</f>
        <v>-6.4841067077628475E-2</v>
      </c>
    </row>
    <row r="76" spans="2:19" hidden="1" outlineLevel="1" x14ac:dyDescent="0.2">
      <c r="B76" s="56" t="s">
        <v>48</v>
      </c>
      <c r="C76" s="26">
        <f>NatEndView!$F78</f>
        <v>521409.66517015302</v>
      </c>
      <c r="D76" s="162">
        <f>$C76-NatPriorFcst!$F78</f>
        <v>-91900.599295498803</v>
      </c>
      <c r="E76" s="162">
        <f>$C76-NatBudget!$F78</f>
        <v>-31179.332318334607</v>
      </c>
      <c r="F76" s="176">
        <f t="shared" si="7"/>
        <v>-0.17625411539985289</v>
      </c>
      <c r="G76" s="176">
        <f t="shared" si="7"/>
        <v>-5.9798147984387234E-2</v>
      </c>
      <c r="I76" s="26">
        <f>NatEndView!$Q78</f>
        <v>1547867.7119077768</v>
      </c>
      <c r="J76" s="162">
        <f>$I76-NatPriorFcst!$Q78</f>
        <v>-277382.38606711687</v>
      </c>
      <c r="K76" s="162">
        <f>$I76-NatBudget!$Q78</f>
        <v>-97275.719517949503</v>
      </c>
      <c r="L76" s="176">
        <f>J76/$I76</f>
        <v>-0.17920290211702763</v>
      </c>
      <c r="M76" s="176">
        <f>K76/$I76</f>
        <v>-6.2844982662023041E-2</v>
      </c>
      <c r="O76" s="26">
        <f>NatEndView!$U78</f>
        <v>6407664.2229306139</v>
      </c>
      <c r="P76" s="162">
        <f>$O76-NatPriorFcst!$U78</f>
        <v>-811490.48052389175</v>
      </c>
      <c r="Q76" s="162">
        <f>$O76-NatBudget!$U78</f>
        <v>-102541.82950136997</v>
      </c>
      <c r="R76" s="176">
        <f>P76/$O76</f>
        <v>-0.12664372730703854</v>
      </c>
      <c r="S76" s="176">
        <f>Q76/$O76</f>
        <v>-1.600299671359361E-2</v>
      </c>
    </row>
    <row r="77" spans="2:19" hidden="1" outlineLevel="1" x14ac:dyDescent="0.2">
      <c r="B77" s="56" t="s">
        <v>49</v>
      </c>
      <c r="C77" s="26">
        <f>NatEndView!$F79</f>
        <v>245369.25419771907</v>
      </c>
      <c r="D77" s="162">
        <f>$C77-NatPriorFcst!$F79</f>
        <v>-245278.95737480235</v>
      </c>
      <c r="E77" s="162">
        <f>$C77-NatBudget!$F79</f>
        <v>-61624.6332958852</v>
      </c>
      <c r="F77" s="176">
        <f t="shared" si="7"/>
        <v>-0.99963199617974974</v>
      </c>
      <c r="G77" s="176">
        <f t="shared" si="7"/>
        <v>-0.25115059137045725</v>
      </c>
      <c r="I77" s="26">
        <f>NatEndView!$Q79</f>
        <v>728408.33501542429</v>
      </c>
      <c r="J77" s="162">
        <f>$I77-NatPriorFcst!$Q79</f>
        <v>-731791.74336449057</v>
      </c>
      <c r="K77" s="162">
        <f>$I77-NatBudget!$Q79</f>
        <v>-185560.23799886811</v>
      </c>
      <c r="L77" s="176">
        <f>J77/$I77</f>
        <v>-1.0046449335989471</v>
      </c>
      <c r="M77" s="176">
        <f>K77/$I77</f>
        <v>-0.25474754897599955</v>
      </c>
      <c r="O77" s="26">
        <f>NatEndView!$U79</f>
        <v>3611114.7311530635</v>
      </c>
      <c r="P77" s="162">
        <f>$O77-NatPriorFcst!$U79</f>
        <v>-2164209.031610541</v>
      </c>
      <c r="Q77" s="162">
        <f>$O77-NatBudget!$U79</f>
        <v>-5666.4090869287029</v>
      </c>
      <c r="R77" s="176">
        <f>P77/$O77</f>
        <v>-0.59931882333727138</v>
      </c>
      <c r="S77" s="176">
        <f>Q77/$O77</f>
        <v>-1.5691578664185405E-3</v>
      </c>
    </row>
    <row r="78" spans="2:19" hidden="1" outlineLevel="1" x14ac:dyDescent="0.2">
      <c r="B78" s="90" t="s">
        <v>50</v>
      </c>
      <c r="C78" s="32">
        <f>NatEndView!$F80</f>
        <v>184026.94064828928</v>
      </c>
      <c r="D78" s="163">
        <f>$C78-NatPriorFcst!$F80</f>
        <v>92030.400978441525</v>
      </c>
      <c r="E78" s="163">
        <f>$C78-NatBudget!$F80</f>
        <v>30529.996901487146</v>
      </c>
      <c r="F78" s="177">
        <f t="shared" si="7"/>
        <v>0.50009200095506257</v>
      </c>
      <c r="G78" s="177">
        <f t="shared" si="7"/>
        <v>0.1658996057530284</v>
      </c>
      <c r="I78" s="32">
        <f>NatEndView!$Q80</f>
        <v>546306.25126156816</v>
      </c>
      <c r="J78" s="163">
        <f>$I78-NatPriorFcst!$Q80</f>
        <v>272518.73656533414</v>
      </c>
      <c r="K78" s="163">
        <f>$I78-NatBudget!$Q80</f>
        <v>89321.964754421962</v>
      </c>
      <c r="L78" s="177">
        <f>J78/$I78</f>
        <v>0.49883876660026322</v>
      </c>
      <c r="M78" s="177">
        <f>K78/$I78</f>
        <v>0.16350163401600021</v>
      </c>
      <c r="O78" s="32">
        <f>NatEndView!$U80</f>
        <v>1894508.103584311</v>
      </c>
      <c r="P78" s="163">
        <f>$O78-NatPriorFcst!$U80</f>
        <v>811634.89806613512</v>
      </c>
      <c r="Q78" s="163">
        <f>$O78-NatBudget!$U80</f>
        <v>86117.533464314882</v>
      </c>
      <c r="R78" s="177">
        <f>P78/$O78</f>
        <v>0.42841458240825891</v>
      </c>
      <c r="S78" s="177">
        <f>Q78/$O78</f>
        <v>4.5456408078373998E-2</v>
      </c>
    </row>
    <row r="79" spans="2:19" collapsed="1" x14ac:dyDescent="0.2">
      <c r="B79" s="52" t="s">
        <v>51</v>
      </c>
      <c r="C79" s="28">
        <f>NatEndView!$F81</f>
        <v>1993625.1903564674</v>
      </c>
      <c r="D79" s="164">
        <f>$C79-NatPriorFcst!$F81</f>
        <v>-229624.51833152026</v>
      </c>
      <c r="E79" s="164">
        <f>$C79-NatBudget!$F81</f>
        <v>-124632.63334940188</v>
      </c>
      <c r="F79" s="178">
        <f t="shared" si="7"/>
        <v>-0.11517938248486044</v>
      </c>
      <c r="G79" s="178">
        <f t="shared" si="7"/>
        <v>-6.2515579133065186E-2</v>
      </c>
      <c r="I79" s="28">
        <f>NatEndView!$Q81</f>
        <v>5918317.7220003223</v>
      </c>
      <c r="J79" s="164">
        <f>$I79-NatPriorFcst!$Q81</f>
        <v>-698213.88315866701</v>
      </c>
      <c r="K79" s="164">
        <f>$I79-NatBudget!$Q81</f>
        <v>-388065.43179829512</v>
      </c>
      <c r="L79" s="178">
        <f>J79/$I79</f>
        <v>-0.11797505912248978</v>
      </c>
      <c r="M79" s="178">
        <f>K79/$I79</f>
        <v>-6.55702262073104E-2</v>
      </c>
      <c r="O79" s="28">
        <f>NatEndView!$U81</f>
        <v>24140850.876743309</v>
      </c>
      <c r="P79" s="164">
        <f>$O79-NatPriorFcst!$U81</f>
        <v>-2028584.9232792743</v>
      </c>
      <c r="Q79" s="164">
        <f>$O79-NatBudget!$U81</f>
        <v>-814938.99091263488</v>
      </c>
      <c r="R79" s="178">
        <f>P79/$O79</f>
        <v>-8.4031210566548928E-2</v>
      </c>
      <c r="S79" s="178">
        <f>Q79/$O79</f>
        <v>-3.3757674701421839E-2</v>
      </c>
    </row>
    <row r="80" spans="2:19" hidden="1" outlineLevel="1" x14ac:dyDescent="0.2">
      <c r="B80" s="51"/>
      <c r="C80" s="24"/>
      <c r="D80" s="24"/>
      <c r="E80" s="24"/>
      <c r="F80" s="24"/>
      <c r="G80" s="24"/>
      <c r="I80" s="24"/>
      <c r="J80" s="24"/>
      <c r="K80" s="24"/>
      <c r="L80" s="24"/>
      <c r="M80" s="24"/>
      <c r="O80" s="24"/>
      <c r="P80" s="24"/>
      <c r="Q80" s="24"/>
      <c r="R80" s="24"/>
      <c r="S80" s="24"/>
    </row>
    <row r="81" spans="2:19" hidden="1" outlineLevel="1" x14ac:dyDescent="0.2">
      <c r="B81" s="56" t="s">
        <v>52</v>
      </c>
      <c r="C81" s="26">
        <f>NatEndView!$F83</f>
        <v>920.13470324144635</v>
      </c>
      <c r="D81" s="162">
        <f>$C81-NatPriorFcst!$F83</f>
        <v>0.16930654296879766</v>
      </c>
      <c r="E81" s="162">
        <f>$C81-NatBudget!$F83</f>
        <v>306.14692825423788</v>
      </c>
      <c r="F81" s="176">
        <f t="shared" si="7"/>
        <v>1.8400191012507769E-4</v>
      </c>
      <c r="G81" s="176">
        <f t="shared" si="7"/>
        <v>0.33271968460242274</v>
      </c>
      <c r="I81" s="26">
        <f>NatEndView!$Q83</f>
        <v>2731.531256307841</v>
      </c>
      <c r="J81" s="162">
        <f>$I81-NatPriorFcst!$Q83</f>
        <v>-6.3438906544993188</v>
      </c>
      <c r="K81" s="162">
        <f>$I81-NatBudget!$Q83</f>
        <v>903.59411027925626</v>
      </c>
      <c r="L81" s="176">
        <f>J81/$I81</f>
        <v>-2.3224667994735802E-3</v>
      </c>
      <c r="M81" s="176">
        <f>K81/$I81</f>
        <v>0.33080130721280021</v>
      </c>
      <c r="O81" s="26">
        <f>NatEndView!$U83</f>
        <v>10828.920425889031</v>
      </c>
      <c r="P81" s="162">
        <f>$O81-NatPriorFcst!$U83</f>
        <v>0.18837070727386163</v>
      </c>
      <c r="Q81" s="162">
        <f>$O81-NatBudget!$U83</f>
        <v>3595.3581454090481</v>
      </c>
      <c r="R81" s="176">
        <f>P81/$O81</f>
        <v>1.7395151119913856E-5</v>
      </c>
      <c r="S81" s="176">
        <f>Q81/$O81</f>
        <v>0.33201445795219953</v>
      </c>
    </row>
    <row r="82" spans="2:19" hidden="1" outlineLevel="1" x14ac:dyDescent="0.2">
      <c r="B82" s="56" t="s">
        <v>53</v>
      </c>
      <c r="C82" s="26">
        <f>NatEndView!$F84</f>
        <v>1042.8193303403061</v>
      </c>
      <c r="D82" s="162">
        <f>$C82-NatPriorFcst!$F84</f>
        <v>0.19188074869816774</v>
      </c>
      <c r="E82" s="162">
        <f>$C82-NatBudget!$F84</f>
        <v>-0.95988713794827163</v>
      </c>
      <c r="F82" s="176">
        <f t="shared" si="7"/>
        <v>1.8400191012526662E-4</v>
      </c>
      <c r="G82" s="176">
        <f t="shared" si="7"/>
        <v>-9.2047309636562739E-4</v>
      </c>
      <c r="I82" s="26">
        <f>NatEndView!$Q84</f>
        <v>3095.7354238155535</v>
      </c>
      <c r="J82" s="162">
        <f>$I82-NatPriorFcst!$Q84</f>
        <v>-7.1897427417657127</v>
      </c>
      <c r="K82" s="162">
        <f>$I82-NatBudget!$Q84</f>
        <v>-11.757724433040494</v>
      </c>
      <c r="L82" s="176">
        <f>J82/$I82</f>
        <v>-2.3224667994735208E-3</v>
      </c>
      <c r="M82" s="176">
        <f>K82/$I82</f>
        <v>-3.7980391807995247E-3</v>
      </c>
      <c r="O82" s="26">
        <f>NatEndView!$U84</f>
        <v>12272.776482674239</v>
      </c>
      <c r="P82" s="162">
        <f>$O82-NatPriorFcst!$U84</f>
        <v>0.21348680157825584</v>
      </c>
      <c r="Q82" s="162">
        <f>$O82-NatBudget!$U84</f>
        <v>-24.279394141733064</v>
      </c>
      <c r="R82" s="176">
        <f>P82/$O82</f>
        <v>1.7395151120012661E-5</v>
      </c>
      <c r="S82" s="176">
        <f>Q82/$O82</f>
        <v>-1.9783130717005108E-3</v>
      </c>
    </row>
    <row r="83" spans="2:19" hidden="1" outlineLevel="1" x14ac:dyDescent="0.2">
      <c r="B83" s="56" t="s">
        <v>54</v>
      </c>
      <c r="C83" s="26">
        <f>NatEndView!$F85</f>
        <v>306.71156774714882</v>
      </c>
      <c r="D83" s="162">
        <f>$C83-NatPriorFcst!$F85</f>
        <v>5.6435514322913605E-2</v>
      </c>
      <c r="E83" s="162">
        <f>$C83-NatBudget!$F85</f>
        <v>-0.28231974645541413</v>
      </c>
      <c r="F83" s="176">
        <f t="shared" si="7"/>
        <v>1.8400191012501589E-4</v>
      </c>
      <c r="G83" s="176">
        <f t="shared" si="7"/>
        <v>-9.2047309636575836E-4</v>
      </c>
      <c r="I83" s="26">
        <f>NatEndView!$Q85</f>
        <v>910.51041876928048</v>
      </c>
      <c r="J83" s="162">
        <f>$I83-NatPriorFcst!$Q85</f>
        <v>-2.1146302181663259</v>
      </c>
      <c r="K83" s="162">
        <f>$I83-NatBudget!$Q85</f>
        <v>-3.4581542450118832</v>
      </c>
      <c r="L83" s="176">
        <f>J83/$I83</f>
        <v>-2.3224667994734549E-3</v>
      </c>
      <c r="M83" s="176">
        <f>K83/$I83</f>
        <v>-3.7980391807994952E-3</v>
      </c>
      <c r="O83" s="26">
        <f>NatEndView!$U85</f>
        <v>3609.640141963011</v>
      </c>
      <c r="P83" s="162">
        <f>$O83-NatPriorFcst!$U85</f>
        <v>6.2790235757802293E-2</v>
      </c>
      <c r="Q83" s="162">
        <f>$O83-NatBudget!$U85</f>
        <v>-7.1409982769805538</v>
      </c>
      <c r="R83" s="176">
        <f>P83/$O83</f>
        <v>1.739515111987186E-5</v>
      </c>
      <c r="S83" s="176">
        <f>Q83/$O83</f>
        <v>-1.9783130717005775E-3</v>
      </c>
    </row>
    <row r="84" spans="2:19" hidden="1" outlineLevel="1" x14ac:dyDescent="0.2">
      <c r="B84" s="56" t="s">
        <v>55</v>
      </c>
      <c r="C84" s="26">
        <f>NatEndView!$F86</f>
        <v>15335.578387357442</v>
      </c>
      <c r="D84" s="162">
        <f>$C84-NatPriorFcst!$F86</f>
        <v>2.8217757161473855</v>
      </c>
      <c r="E84" s="162">
        <f>$C84-NatBudget!$F86</f>
        <v>-15363.810362002981</v>
      </c>
      <c r="F84" s="176">
        <f t="shared" si="7"/>
        <v>1.8400191012512711E-4</v>
      </c>
      <c r="G84" s="176">
        <f t="shared" si="7"/>
        <v>-1.0018409461927313</v>
      </c>
      <c r="I84" s="26">
        <f>NatEndView!$Q86</f>
        <v>45525.520938464018</v>
      </c>
      <c r="J84" s="162">
        <f>$I84-NatPriorFcst!$Q86</f>
        <v>-105.73151090832107</v>
      </c>
      <c r="K84" s="162">
        <f>$I84-NatBudget!$Q86</f>
        <v>-45871.336362965216</v>
      </c>
      <c r="L84" s="176">
        <f>J84/$I84</f>
        <v>-2.3224667994735599E-3</v>
      </c>
      <c r="M84" s="176">
        <f>K84/$I84</f>
        <v>-1.0075960783615991</v>
      </c>
      <c r="O84" s="26">
        <f>NatEndView!$U86</f>
        <v>180482.00709815056</v>
      </c>
      <c r="P84" s="162">
        <f>$O84-NatPriorFcst!$U86</f>
        <v>3.139511787914671</v>
      </c>
      <c r="Q84" s="162">
        <f>$O84-NatBudget!$U86</f>
        <v>-181196.10692584864</v>
      </c>
      <c r="R84" s="176">
        <f>P84/$O84</f>
        <v>1.7395151120007921E-5</v>
      </c>
      <c r="S84" s="176">
        <f>Q84/$O84</f>
        <v>-1.0039566261434012</v>
      </c>
    </row>
    <row r="85" spans="2:19" hidden="1" outlineLevel="1" x14ac:dyDescent="0.2">
      <c r="B85" s="56" t="s">
        <v>56</v>
      </c>
      <c r="C85" s="26">
        <f>NatEndView!$F87</f>
        <v>21469.809742300418</v>
      </c>
      <c r="D85" s="162">
        <f>$C85-NatPriorFcst!$F87</f>
        <v>3.9504860026063398</v>
      </c>
      <c r="E85" s="162">
        <f>$C85-NatBudget!$F87</f>
        <v>-18439.395631868134</v>
      </c>
      <c r="F85" s="176">
        <f t="shared" si="7"/>
        <v>1.8400191012512711E-4</v>
      </c>
      <c r="G85" s="176">
        <f t="shared" si="7"/>
        <v>-0.85885230717896499</v>
      </c>
      <c r="I85" s="26">
        <f>NatEndView!$Q87</f>
        <v>63735.729313849632</v>
      </c>
      <c r="J85" s="162">
        <f>$I85-NatPriorFcst!$Q87</f>
        <v>-148.02411527163349</v>
      </c>
      <c r="K85" s="162">
        <f>$I85-NatBudget!$Q87</f>
        <v>-55080.185178008367</v>
      </c>
      <c r="L85" s="176">
        <f>J85/$I85</f>
        <v>-2.3224667994733088E-3</v>
      </c>
      <c r="M85" s="176">
        <f>K85/$I85</f>
        <v>-0.86419635847862752</v>
      </c>
      <c r="O85" s="26">
        <f>NatEndView!$U87</f>
        <v>252674.80993741076</v>
      </c>
      <c r="P85" s="162">
        <f>$O85-NatPriorFcst!$U87</f>
        <v>4.3953165030688979</v>
      </c>
      <c r="Q85" s="162">
        <f>$O85-NatBudget!$U87</f>
        <v>-217506.73829378816</v>
      </c>
      <c r="R85" s="176">
        <f>P85/$O85</f>
        <v>1.7395151119961849E-5</v>
      </c>
      <c r="S85" s="176">
        <f>Q85/$O85</f>
        <v>-0.86081686713315841</v>
      </c>
    </row>
    <row r="86" spans="2:19" hidden="1" outlineLevel="1" x14ac:dyDescent="0.2">
      <c r="B86" s="56" t="s">
        <v>57</v>
      </c>
      <c r="C86" s="26">
        <f>NatEndView!$F88</f>
        <v>3067.1156774714882</v>
      </c>
      <c r="D86" s="162">
        <f>$C86-NatPriorFcst!$F88</f>
        <v>0.56435514322947711</v>
      </c>
      <c r="E86" s="162">
        <f>$C86-NatBudget!$F88</f>
        <v>2453.1279024842797</v>
      </c>
      <c r="F86" s="176">
        <f t="shared" si="7"/>
        <v>1.8400191012512711E-4</v>
      </c>
      <c r="G86" s="176">
        <f t="shared" si="7"/>
        <v>0.79981590538072689</v>
      </c>
      <c r="I86" s="26">
        <f>NatEndView!$Q88</f>
        <v>9105.104187692803</v>
      </c>
      <c r="J86" s="162">
        <f>$I86-NatPriorFcst!$Q88</f>
        <v>-21.146302181663486</v>
      </c>
      <c r="K86" s="162">
        <f>$I86-NatBudget!$Q88</f>
        <v>7277.1670416642182</v>
      </c>
      <c r="L86" s="176">
        <f>J86/$I86</f>
        <v>-2.3224667994734801E-3</v>
      </c>
      <c r="M86" s="176">
        <f>K86/$I86</f>
        <v>0.79924039216384002</v>
      </c>
      <c r="O86" s="26">
        <f>NatEndView!$U88</f>
        <v>36096.401419630107</v>
      </c>
      <c r="P86" s="162">
        <f>$O86-NatPriorFcst!$U88</f>
        <v>0.62790235758438939</v>
      </c>
      <c r="Q86" s="162">
        <f>$O86-NatBudget!$U88</f>
        <v>28862.839139150125</v>
      </c>
      <c r="R86" s="176">
        <f>P86/$O86</f>
        <v>1.7395151120048236E-5</v>
      </c>
      <c r="S86" s="176">
        <f>Q86/$O86</f>
        <v>0.79960433738565984</v>
      </c>
    </row>
    <row r="87" spans="2:19" hidden="1" outlineLevel="1" x14ac:dyDescent="0.2">
      <c r="B87" s="56" t="s">
        <v>58</v>
      </c>
      <c r="C87" s="26">
        <f>NatEndView!$F89</f>
        <v>39872.503807129346</v>
      </c>
      <c r="D87" s="162">
        <f>$C87-NatPriorFcst!$F89</f>
        <v>7.3366168619832024</v>
      </c>
      <c r="E87" s="162">
        <f>$C87-NatBudget!$F89</f>
        <v>-36.701567039206566</v>
      </c>
      <c r="F87" s="176">
        <f t="shared" si="7"/>
        <v>1.8400191012512711E-4</v>
      </c>
      <c r="G87" s="176">
        <f t="shared" si="7"/>
        <v>-9.2047309636582677E-4</v>
      </c>
      <c r="I87" s="26">
        <f>NatEndView!$Q89</f>
        <v>118366.35444000646</v>
      </c>
      <c r="J87" s="162">
        <f>$I87-NatPriorFcst!$Q89</f>
        <v>-274.90192836162169</v>
      </c>
      <c r="K87" s="162">
        <f>$I87-NatBudget!$Q89</f>
        <v>-449.56005185154208</v>
      </c>
      <c r="L87" s="176">
        <f>J87/$I87</f>
        <v>-2.3224667994734493E-3</v>
      </c>
      <c r="M87" s="176">
        <f>K87/$I87</f>
        <v>-3.7980391807994722E-3</v>
      </c>
      <c r="O87" s="26">
        <f>NatEndView!$U89</f>
        <v>469253.21845519147</v>
      </c>
      <c r="P87" s="162">
        <f>$O87-NatPriorFcst!$U89</f>
        <v>8.1627306486479938</v>
      </c>
      <c r="Q87" s="162">
        <f>$O87-NatBudget!$U89</f>
        <v>-928.32977600744925</v>
      </c>
      <c r="R87" s="176">
        <f>P87/$O87</f>
        <v>1.7395151120156772E-5</v>
      </c>
      <c r="S87" s="176">
        <f>Q87/$O87</f>
        <v>-1.978313071700529E-3</v>
      </c>
    </row>
    <row r="88" spans="2:19" hidden="1" outlineLevel="1" x14ac:dyDescent="0.2">
      <c r="B88" s="56" t="s">
        <v>59</v>
      </c>
      <c r="C88" s="26">
        <f>NatEndView!$F90</f>
        <v>46006.73516207232</v>
      </c>
      <c r="D88" s="162">
        <f>$C88-NatPriorFcst!$F90</f>
        <v>8.4653271484421566</v>
      </c>
      <c r="E88" s="162">
        <f>$C88-NatBudget!$F90</f>
        <v>-30741.736711328747</v>
      </c>
      <c r="F88" s="176">
        <f t="shared" si="7"/>
        <v>1.8400191012512711E-4</v>
      </c>
      <c r="G88" s="176">
        <f t="shared" si="7"/>
        <v>-0.66820078849394327</v>
      </c>
      <c r="I88" s="26">
        <f>NatEndView!$Q90</f>
        <v>136576.56281539204</v>
      </c>
      <c r="J88" s="162">
        <f>$I88-NatPriorFcst!$Q90</f>
        <v>-317.19453272497049</v>
      </c>
      <c r="K88" s="162">
        <f>$I88-NatBudget!$Q90</f>
        <v>-91915.580438181059</v>
      </c>
      <c r="L88" s="176">
        <f>J88/$I88</f>
        <v>-2.3224667994736136E-3</v>
      </c>
      <c r="M88" s="176">
        <f>K88/$I88</f>
        <v>-0.67299673196799958</v>
      </c>
      <c r="O88" s="26">
        <f>NatEndView!$U90</f>
        <v>541446.02129445155</v>
      </c>
      <c r="P88" s="162">
        <f>$O88-NatPriorFcst!$U90</f>
        <v>9.4185353636275977</v>
      </c>
      <c r="Q88" s="162">
        <f>$O88-NatBudget!$U90</f>
        <v>-362749.26376554649</v>
      </c>
      <c r="R88" s="176">
        <f>P88/$O88</f>
        <v>1.7395151119792917E-5</v>
      </c>
      <c r="S88" s="176">
        <f>Q88/$O88</f>
        <v>-0.66996385511950152</v>
      </c>
    </row>
    <row r="89" spans="2:19" hidden="1" outlineLevel="1" x14ac:dyDescent="0.2">
      <c r="B89" s="90" t="s">
        <v>60</v>
      </c>
      <c r="C89" s="32">
        <f>NatEndView!$F91</f>
        <v>46006.73516207232</v>
      </c>
      <c r="D89" s="163">
        <f>$C89-NatPriorFcst!$F91</f>
        <v>8.4653271484421566</v>
      </c>
      <c r="E89" s="163">
        <f>$C89-NatBudget!$F91</f>
        <v>-15392.042336648527</v>
      </c>
      <c r="F89" s="177">
        <f t="shared" si="7"/>
        <v>1.8400191012512711E-4</v>
      </c>
      <c r="G89" s="177">
        <f t="shared" si="7"/>
        <v>-0.33456063079515441</v>
      </c>
      <c r="I89" s="32">
        <f>NatEndView!$Q91</f>
        <v>136576.56281539204</v>
      </c>
      <c r="J89" s="163">
        <f>$I89-NatPriorFcst!$Q91</f>
        <v>-317.19453272497049</v>
      </c>
      <c r="K89" s="163">
        <f>$I89-NatBudget!$Q91</f>
        <v>-46217.151787466428</v>
      </c>
      <c r="L89" s="177">
        <f>J89/$I89</f>
        <v>-2.3224667994736136E-3</v>
      </c>
      <c r="M89" s="177">
        <f>K89/$I89</f>
        <v>-0.33839738557439958</v>
      </c>
      <c r="O89" s="32">
        <f>NatEndView!$U91</f>
        <v>541446.02129445155</v>
      </c>
      <c r="P89" s="163">
        <f>$O89-NatPriorFcst!$U91</f>
        <v>9.4185353636275977</v>
      </c>
      <c r="Q89" s="163">
        <f>$O89-NatBudget!$U91</f>
        <v>-181910.20675354684</v>
      </c>
      <c r="R89" s="177">
        <f>P89/$O89</f>
        <v>1.7395151119792917E-5</v>
      </c>
      <c r="S89" s="177">
        <f>Q89/$O89</f>
        <v>-0.33597108409560117</v>
      </c>
    </row>
    <row r="90" spans="2:19" collapsed="1" x14ac:dyDescent="0.2">
      <c r="B90" s="52" t="s">
        <v>61</v>
      </c>
      <c r="C90" s="28">
        <f>NatEndView!$F92</f>
        <v>174028.14353973223</v>
      </c>
      <c r="D90" s="164">
        <f>$C90-NatPriorFcst!$F92</f>
        <v>32.021510826831218</v>
      </c>
      <c r="E90" s="164">
        <f>$C90-NatBudget!$F92</f>
        <v>-77215.653985033481</v>
      </c>
      <c r="F90" s="178">
        <f t="shared" si="7"/>
        <v>1.840019101250736E-4</v>
      </c>
      <c r="G90" s="178">
        <f t="shared" si="7"/>
        <v>-0.44369636091305215</v>
      </c>
      <c r="I90" s="28">
        <f>NatEndView!$Q92</f>
        <v>516623.61160968966</v>
      </c>
      <c r="J90" s="164">
        <f>$I90-NatPriorFcst!$Q92</f>
        <v>-1199.8411857875763</v>
      </c>
      <c r="K90" s="164">
        <f>$I90-NatBudget!$Q92</f>
        <v>-231368.26854520722</v>
      </c>
      <c r="L90" s="178">
        <f>J90/$I90</f>
        <v>-2.322466799473461E-3</v>
      </c>
      <c r="M90" s="178">
        <f>K90/$I90</f>
        <v>-0.44784687216349395</v>
      </c>
      <c r="O90" s="28">
        <f>NatEndView!$U92</f>
        <v>2048109.8165498124</v>
      </c>
      <c r="P90" s="164">
        <f>$O90-NatPriorFcst!$U92</f>
        <v>35.627179769100621</v>
      </c>
      <c r="Q90" s="164">
        <f>$O90-NatBudget!$U92</f>
        <v>-911863.86862259684</v>
      </c>
      <c r="R90" s="178">
        <f>P90/$O90</f>
        <v>1.739515111993221E-5</v>
      </c>
      <c r="S90" s="178">
        <f>Q90/$O90</f>
        <v>-0.44522215618237543</v>
      </c>
    </row>
    <row r="91" spans="2:19" x14ac:dyDescent="0.2">
      <c r="B91" s="51"/>
      <c r="C91" s="24"/>
      <c r="D91" s="24"/>
      <c r="E91" s="24"/>
      <c r="F91" s="24"/>
      <c r="G91" s="24"/>
      <c r="I91" s="24"/>
      <c r="J91" s="24"/>
      <c r="K91" s="24"/>
      <c r="L91" s="24"/>
      <c r="M91" s="24"/>
      <c r="O91" s="24"/>
      <c r="P91" s="24"/>
      <c r="Q91" s="24"/>
      <c r="R91" s="24"/>
      <c r="S91" s="24"/>
    </row>
    <row r="92" spans="2:19" x14ac:dyDescent="0.2">
      <c r="B92" s="52" t="s">
        <v>33</v>
      </c>
      <c r="C92" s="28">
        <f>NatEndView!$F94</f>
        <v>2778822.442063279</v>
      </c>
      <c r="D92" s="28">
        <f>$C92-NatPriorFcst!$F94</f>
        <v>291833.9692940372</v>
      </c>
      <c r="E92" s="28">
        <f>$C92-NatBudget!$F94</f>
        <v>1098.8932338752784</v>
      </c>
      <c r="F92" s="154"/>
      <c r="G92" s="154"/>
      <c r="I92" s="28">
        <f>NatEndView!$Q94</f>
        <v>8211481.8841039278</v>
      </c>
      <c r="J92" s="28">
        <f>$I92-NatPriorFcst!$Q94</f>
        <v>853218.11517592985</v>
      </c>
      <c r="K92" s="28">
        <f>$I92-NatBudget!$Q94</f>
        <v>-10120.410116067156</v>
      </c>
      <c r="L92" s="154"/>
      <c r="M92" s="154"/>
      <c r="O92" s="28">
        <f>NatEndView!$U94</f>
        <v>31656007.337379757</v>
      </c>
      <c r="P92" s="28">
        <f>$O92-NatPriorFcst!$U94</f>
        <v>2576608.4266970754</v>
      </c>
      <c r="Q92" s="28">
        <f>$O92-NatBudget!$U94</f>
        <v>-851317.9709498696</v>
      </c>
      <c r="R92" s="154"/>
      <c r="S92" s="154"/>
    </row>
    <row r="93" spans="2:19" x14ac:dyDescent="0.2">
      <c r="B93" s="52" t="s">
        <v>34</v>
      </c>
      <c r="C93" s="71">
        <f>NatEndView!$F95</f>
        <v>0.45300254934533862</v>
      </c>
      <c r="D93" s="71">
        <f>$C93-NatPriorFcst!$F95</f>
        <v>4.7500046474946045E-2</v>
      </c>
      <c r="E93" s="71">
        <f>$C93-NatBudget!$F95</f>
        <v>5.9556959932111075E-4</v>
      </c>
      <c r="F93" s="170"/>
      <c r="G93" s="170"/>
      <c r="I93" s="71">
        <f>NatEndView!$Q95</f>
        <v>0.45092739823906852</v>
      </c>
      <c r="J93" s="71">
        <f>$I93-NatPriorFcst!$Q95</f>
        <v>4.7790108883929872E-2</v>
      </c>
      <c r="K93" s="71">
        <f>$I93-NatBudget!$Q95</f>
        <v>1.1525078889039198E-3</v>
      </c>
      <c r="L93" s="170"/>
      <c r="M93" s="170"/>
      <c r="O93" s="71">
        <f>NatEndView!$U95</f>
        <v>0.43849256563515004</v>
      </c>
      <c r="P93" s="71">
        <f>$O93-NatPriorFcst!$U95</f>
        <v>3.568364817605163E-2</v>
      </c>
      <c r="Q93" s="71">
        <f>$O93-NatBudget!$U95</f>
        <v>-1.0903237537123245E-2</v>
      </c>
      <c r="R93" s="170"/>
      <c r="S93" s="170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BCDF6-20DA-4CC5-B69B-813440C6620D}">
  <dimension ref="B2:C25"/>
  <sheetViews>
    <sheetView showGridLines="0" workbookViewId="0"/>
  </sheetViews>
  <sheetFormatPr defaultRowHeight="12.75" x14ac:dyDescent="0.2"/>
  <cols>
    <col min="1" max="1" width="5.7109375" customWidth="1"/>
    <col min="2" max="2" width="11.7109375" customWidth="1"/>
    <col min="3" max="3" width="28.85546875" customWidth="1"/>
  </cols>
  <sheetData>
    <row r="2" spans="2:3" ht="18.75" x14ac:dyDescent="0.2">
      <c r="B2" s="40" t="s">
        <v>110</v>
      </c>
      <c r="C2" s="24"/>
    </row>
    <row r="3" spans="2:3" x14ac:dyDescent="0.2">
      <c r="B3" s="24"/>
      <c r="C3" s="24"/>
    </row>
    <row r="4" spans="2:3" ht="15" customHeight="1" x14ac:dyDescent="0.2">
      <c r="B4" s="23" t="s">
        <v>111</v>
      </c>
      <c r="C4" s="24"/>
    </row>
    <row r="5" spans="2:3" ht="15" customHeight="1" x14ac:dyDescent="0.2">
      <c r="B5" s="149">
        <v>45017</v>
      </c>
      <c r="C5" s="24" t="s">
        <v>112</v>
      </c>
    </row>
    <row r="6" spans="2:3" ht="15" customHeight="1" x14ac:dyDescent="0.2">
      <c r="B6" s="150">
        <f>DATE(YEAR(B5)-1,MONTH(B5),DAY(B5))</f>
        <v>44652</v>
      </c>
      <c r="C6" s="24" t="s">
        <v>113</v>
      </c>
    </row>
    <row r="7" spans="2:3" ht="15" customHeight="1" x14ac:dyDescent="0.2">
      <c r="B7" s="24"/>
      <c r="C7" s="24"/>
    </row>
    <row r="8" spans="2:3" ht="15" customHeight="1" x14ac:dyDescent="0.2">
      <c r="B8" s="150">
        <f>IF(LEFT(B24,2)="Q1",DATE(YEAR(B5),1,1),
IF(LEFT(B24,2)="Q2",DATE(YEAR(B5),4,1),
IF(LEFT(B24,2)="Q3",DATE(YEAR(B5),7,1),
IF(LEFT(B24,2)="Q4",DATE(YEAR(B5),10,1)))))</f>
        <v>45017</v>
      </c>
      <c r="C8" s="24" t="s">
        <v>114</v>
      </c>
    </row>
    <row r="9" spans="2:3" ht="15" customHeight="1" x14ac:dyDescent="0.2">
      <c r="B9" s="150">
        <f>EOMONTH(B5,0)</f>
        <v>45046</v>
      </c>
      <c r="C9" s="24" t="s">
        <v>115</v>
      </c>
    </row>
    <row r="10" spans="2:3" ht="15" customHeight="1" x14ac:dyDescent="0.2">
      <c r="B10" s="150">
        <f>EOMONTH(B8,2)</f>
        <v>45107</v>
      </c>
      <c r="C10" s="24" t="s">
        <v>116</v>
      </c>
    </row>
    <row r="11" spans="2:3" ht="15" customHeight="1" x14ac:dyDescent="0.2">
      <c r="B11" s="24"/>
      <c r="C11" s="24"/>
    </row>
    <row r="12" spans="2:3" ht="15" customHeight="1" x14ac:dyDescent="0.2">
      <c r="B12" s="150">
        <f>DATE(YEAR(B8)-1,MONTH(B8),DAY(B8))</f>
        <v>44652</v>
      </c>
      <c r="C12" s="24" t="s">
        <v>117</v>
      </c>
    </row>
    <row r="13" spans="2:3" ht="15" customHeight="1" x14ac:dyDescent="0.2">
      <c r="B13" s="150">
        <f>DATE(YEAR(B9)-1,MONTH(B9),DAY(B9))</f>
        <v>44681</v>
      </c>
      <c r="C13" s="24" t="s">
        <v>115</v>
      </c>
    </row>
    <row r="14" spans="2:3" ht="15" customHeight="1" x14ac:dyDescent="0.2">
      <c r="B14" s="150">
        <f>DATE(YEAR(B10)-1,MONTH(B10),DAY(B10))</f>
        <v>44742</v>
      </c>
      <c r="C14" s="24" t="s">
        <v>118</v>
      </c>
    </row>
    <row r="15" spans="2:3" ht="15" customHeight="1" x14ac:dyDescent="0.2">
      <c r="B15" s="24"/>
      <c r="C15" s="24"/>
    </row>
    <row r="16" spans="2:3" ht="15" customHeight="1" x14ac:dyDescent="0.2">
      <c r="B16" s="150">
        <f>DATE(YEAR(B5),1,1)</f>
        <v>44927</v>
      </c>
      <c r="C16" s="24" t="s">
        <v>119</v>
      </c>
    </row>
    <row r="17" spans="2:3" ht="15" customHeight="1" x14ac:dyDescent="0.2">
      <c r="B17" s="150">
        <f>DATE(YEAR(B6),1,1)</f>
        <v>44562</v>
      </c>
      <c r="C17" s="24" t="s">
        <v>120</v>
      </c>
    </row>
    <row r="18" spans="2:3" ht="15" customHeight="1" x14ac:dyDescent="0.2">
      <c r="B18" s="24"/>
      <c r="C18" s="24"/>
    </row>
    <row r="19" spans="2:3" ht="15" customHeight="1" x14ac:dyDescent="0.2">
      <c r="B19" s="150" t="str">
        <f>"Q1 "&amp;YEAR($B$5)</f>
        <v>Q1 2023</v>
      </c>
      <c r="C19" s="24" t="s">
        <v>121</v>
      </c>
    </row>
    <row r="20" spans="2:3" ht="15" customHeight="1" x14ac:dyDescent="0.2">
      <c r="B20" s="150" t="str">
        <f>"Q2 "&amp;YEAR($B$5)</f>
        <v>Q2 2023</v>
      </c>
      <c r="C20" s="24" t="s">
        <v>121</v>
      </c>
    </row>
    <row r="21" spans="2:3" ht="15" customHeight="1" x14ac:dyDescent="0.2">
      <c r="B21" s="150" t="str">
        <f>"Q3 "&amp;YEAR($B$5)</f>
        <v>Q3 2023</v>
      </c>
      <c r="C21" s="24" t="s">
        <v>121</v>
      </c>
    </row>
    <row r="22" spans="2:3" ht="15" customHeight="1" x14ac:dyDescent="0.2">
      <c r="B22" s="150" t="str">
        <f>"Q4 "&amp;YEAR($B$5)</f>
        <v>Q4 2023</v>
      </c>
      <c r="C22" s="24" t="s">
        <v>121</v>
      </c>
    </row>
    <row r="23" spans="2:3" ht="15" customHeight="1" x14ac:dyDescent="0.2">
      <c r="B23" s="24"/>
      <c r="C23" s="24"/>
    </row>
    <row r="24" spans="2:3" ht="15" customHeight="1" x14ac:dyDescent="0.2">
      <c r="B24" s="150" t="str">
        <f>"Q"&amp;IF(MONTH($B$5)&lt;=3,1,IF(MONTH($B$5)&lt;=6,2,IF(MONTH($B$5)&lt;=9,3,4)))&amp;" "&amp;YEAR($B$5)</f>
        <v>Q2 2023</v>
      </c>
      <c r="C24" s="24" t="s">
        <v>122</v>
      </c>
    </row>
    <row r="25" spans="2:3" ht="15" customHeight="1" x14ac:dyDescent="0.2">
      <c r="B25" s="150" t="str">
        <f>"Q"&amp;IF(MONTH($B$5)&lt;=3,1,IF(MONTH($B$5)&lt;=6,2,IF(MONTH($B$5)&lt;=9,3,4)))&amp;" "&amp;YEAR($B$5)-1</f>
        <v>Q2 2022</v>
      </c>
      <c r="C25" s="24" t="s">
        <v>123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F5F3-B53D-4E7A-8E83-823EDE80535D}">
  <dimension ref="B2:V95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13" t="s">
        <v>108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4"/>
      <c r="R2" s="114"/>
      <c r="S2" s="114"/>
      <c r="T2" s="114"/>
      <c r="U2" s="116"/>
      <c r="V2" s="114"/>
    </row>
    <row r="3" spans="2:22" x14ac:dyDescent="0.2">
      <c r="B3" s="1"/>
    </row>
    <row r="4" spans="2:22" x14ac:dyDescent="0.2">
      <c r="B4" s="1" t="s">
        <v>16</v>
      </c>
      <c r="C4" s="3">
        <v>44927</v>
      </c>
      <c r="D4" s="3">
        <v>44958</v>
      </c>
      <c r="E4" s="3">
        <v>44986</v>
      </c>
      <c r="F4" s="3">
        <v>45017</v>
      </c>
      <c r="G4" s="3">
        <v>45047</v>
      </c>
      <c r="H4" s="3">
        <v>45078</v>
      </c>
      <c r="I4" s="3">
        <v>45108</v>
      </c>
      <c r="J4" s="3">
        <v>45139</v>
      </c>
      <c r="K4" s="3">
        <v>45170</v>
      </c>
      <c r="L4" s="3">
        <v>45200</v>
      </c>
      <c r="M4" s="3">
        <v>45231</v>
      </c>
      <c r="N4" s="3"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4">
        <v>918241.81085671578</v>
      </c>
      <c r="D5" s="4">
        <v>1098822.1071652398</v>
      </c>
      <c r="E5" s="4">
        <v>1389108.8186953156</v>
      </c>
      <c r="F5" s="4">
        <v>1060457.1162919106</v>
      </c>
      <c r="G5" s="4">
        <v>1080187.977512805</v>
      </c>
      <c r="H5" s="4">
        <v>1449758.253748731</v>
      </c>
      <c r="I5" s="4">
        <v>1270033.6214879407</v>
      </c>
      <c r="J5" s="4">
        <v>1137642.609668985</v>
      </c>
      <c r="K5" s="4">
        <v>1505986.0966062024</v>
      </c>
      <c r="L5" s="4">
        <v>825220.26826456212</v>
      </c>
      <c r="M5" s="4">
        <v>1232003.1532279779</v>
      </c>
      <c r="N5" s="4">
        <v>1753899.7673868714</v>
      </c>
      <c r="P5" s="75">
        <v>0.08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1">
        <v>622514.35130164481</v>
      </c>
      <c r="D6" s="11">
        <v>935097.23442405579</v>
      </c>
      <c r="E6" s="11">
        <v>1179236.180272124</v>
      </c>
      <c r="F6" s="11">
        <v>777579.95049804996</v>
      </c>
      <c r="G6" s="11">
        <v>753453.09429011669</v>
      </c>
      <c r="H6" s="11">
        <v>1159929.2819288557</v>
      </c>
      <c r="I6" s="11">
        <v>1011896.7065513673</v>
      </c>
      <c r="J6" s="11">
        <v>874189.60777134181</v>
      </c>
      <c r="K6" s="11">
        <v>1000548.9055383139</v>
      </c>
      <c r="L6" s="11">
        <v>766538.84680967382</v>
      </c>
      <c r="M6" s="11">
        <v>1069760.2684737833</v>
      </c>
      <c r="N6" s="11">
        <v>1248360.343877424</v>
      </c>
      <c r="P6" s="75">
        <v>0.125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1">
        <v>295727.45955507096</v>
      </c>
      <c r="D7" s="11">
        <v>163724.87274118402</v>
      </c>
      <c r="E7" s="11">
        <v>209872.6384231917</v>
      </c>
      <c r="F7" s="11">
        <v>282877.16579386062</v>
      </c>
      <c r="G7" s="11">
        <v>326734.8832226884</v>
      </c>
      <c r="H7" s="11">
        <v>289828.97181987535</v>
      </c>
      <c r="I7" s="11">
        <v>258136.91493657327</v>
      </c>
      <c r="J7" s="11">
        <v>263453.00189764332</v>
      </c>
      <c r="K7" s="11">
        <v>505437.1910678884</v>
      </c>
      <c r="L7" s="11">
        <v>58681.421454888339</v>
      </c>
      <c r="M7" s="11">
        <v>162242.88475419473</v>
      </c>
      <c r="N7" s="11">
        <v>505539.42350944749</v>
      </c>
      <c r="P7" s="75">
        <v>1.2500000000000001E-2</v>
      </c>
      <c r="Q7" t="s">
        <v>27</v>
      </c>
      <c r="U7" s="8">
        <v>44977</v>
      </c>
    </row>
    <row r="8" spans="2:22" x14ac:dyDescent="0.2">
      <c r="B8" t="s">
        <v>12</v>
      </c>
      <c r="C8" s="4">
        <v>721374.25132581848</v>
      </c>
      <c r="D8" s="4">
        <v>595242.65474325209</v>
      </c>
      <c r="E8" s="4">
        <v>1249710.3438458135</v>
      </c>
      <c r="F8" s="4">
        <v>708675.28488725773</v>
      </c>
      <c r="G8" s="4">
        <v>903837.01582346321</v>
      </c>
      <c r="H8" s="4">
        <v>1378195.5446574034</v>
      </c>
      <c r="I8" s="4">
        <v>1037250.3520580088</v>
      </c>
      <c r="J8" s="4">
        <v>767663.40366682317</v>
      </c>
      <c r="K8" s="4">
        <v>1064955.3437205083</v>
      </c>
      <c r="L8" s="4">
        <v>978466.69816156151</v>
      </c>
      <c r="M8" s="4">
        <v>1432889.9008914893</v>
      </c>
      <c r="N8" s="4">
        <v>944729.99244707869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1">
        <v>280387.13024097512</v>
      </c>
      <c r="D9" s="11">
        <v>371671.55899892846</v>
      </c>
      <c r="E9" s="11">
        <v>506998.66365879396</v>
      </c>
      <c r="F9" s="11">
        <v>513002.39174325723</v>
      </c>
      <c r="G9" s="11">
        <v>588858.86338006426</v>
      </c>
      <c r="H9" s="11">
        <v>1062092.8353568551</v>
      </c>
      <c r="I9" s="11">
        <v>792710.35184878763</v>
      </c>
      <c r="J9" s="11">
        <v>683730.56914685224</v>
      </c>
      <c r="K9" s="11">
        <v>798742.06590077106</v>
      </c>
      <c r="L9" s="11">
        <v>699678.83003006235</v>
      </c>
      <c r="M9" s="11">
        <v>1139585.0260586068</v>
      </c>
      <c r="N9" s="11">
        <v>650505.02564016473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1">
        <v>440987.1210848433</v>
      </c>
      <c r="D10" s="11">
        <v>223571.0957443236</v>
      </c>
      <c r="E10" s="11">
        <v>742711.68018701964</v>
      </c>
      <c r="F10" s="11">
        <v>195672.89314400047</v>
      </c>
      <c r="G10" s="11">
        <v>314978.1524433989</v>
      </c>
      <c r="H10" s="11">
        <v>316102.7093005483</v>
      </c>
      <c r="I10" s="11">
        <v>244540.00020922109</v>
      </c>
      <c r="J10" s="11">
        <v>83932.834519970944</v>
      </c>
      <c r="K10" s="11">
        <v>266213.27781973733</v>
      </c>
      <c r="L10" s="11">
        <v>278787.8681314991</v>
      </c>
      <c r="M10" s="11">
        <v>293304.87483288266</v>
      </c>
      <c r="N10" s="11">
        <v>294224.96680691402</v>
      </c>
      <c r="P10" s="74"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4">
        <v>198666.7339566247</v>
      </c>
      <c r="D11" s="14">
        <v>335025.21674858825</v>
      </c>
      <c r="E11" s="14">
        <v>544202.91708709358</v>
      </c>
      <c r="F11" s="14">
        <v>191992.52524787508</v>
      </c>
      <c r="G11" s="14">
        <v>275618.66244316887</v>
      </c>
      <c r="H11" s="14">
        <v>502574.68270423537</v>
      </c>
      <c r="I11" s="14">
        <v>521998.84660045261</v>
      </c>
      <c r="J11" s="14">
        <v>551237.32488633774</v>
      </c>
      <c r="K11" s="14">
        <v>705812.77652360452</v>
      </c>
      <c r="L11" s="14">
        <v>533039.95028882893</v>
      </c>
      <c r="M11" s="14">
        <v>230840.85304030988</v>
      </c>
      <c r="N11" s="14">
        <v>401875.72776858194</v>
      </c>
      <c r="P11" s="74"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v>1838282.796139159</v>
      </c>
      <c r="D12" s="13">
        <v>2029089.9786570801</v>
      </c>
      <c r="E12" s="13">
        <v>3183022.0796282226</v>
      </c>
      <c r="F12" s="13">
        <v>1961124.9264270435</v>
      </c>
      <c r="G12" s="13">
        <v>2259643.6557794372</v>
      </c>
      <c r="H12" s="13">
        <v>3330528.4811103698</v>
      </c>
      <c r="I12" s="13">
        <v>2829282.8201464019</v>
      </c>
      <c r="J12" s="13">
        <v>2456543.338222146</v>
      </c>
      <c r="K12" s="13">
        <v>3276754.2168503152</v>
      </c>
      <c r="L12" s="13">
        <v>2336726.9167149523</v>
      </c>
      <c r="M12" s="13">
        <v>2895733.9071597774</v>
      </c>
      <c r="N12" s="13">
        <v>3100505.4876025319</v>
      </c>
      <c r="P12" s="75">
        <v>4.1666666666666664E-2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6">
        <v>6.7393931455971043E-2</v>
      </c>
      <c r="D15" s="6">
        <v>0.14484668328968767</v>
      </c>
      <c r="E15" s="6">
        <v>0.11567215284129743</v>
      </c>
      <c r="F15" s="6">
        <v>0.1462793629016185</v>
      </c>
      <c r="G15" s="6">
        <v>0.11740251602634331</v>
      </c>
      <c r="H15" s="6">
        <v>0.20384898186803421</v>
      </c>
      <c r="I15" s="6">
        <v>0.12675550059165933</v>
      </c>
      <c r="J15" s="6">
        <v>0.17077228679600875</v>
      </c>
      <c r="K15" s="6">
        <v>0.19781124572277028</v>
      </c>
      <c r="L15" s="6">
        <v>0.33258751868872005</v>
      </c>
      <c r="M15" s="6">
        <v>0.17732830917255957</v>
      </c>
      <c r="N15" s="6">
        <v>0.20561240301531233</v>
      </c>
      <c r="P15" s="75">
        <v>0.91500000000000004</v>
      </c>
      <c r="Q15" s="9" t="s">
        <v>78</v>
      </c>
      <c r="U15" s="8">
        <v>45208</v>
      </c>
    </row>
    <row r="16" spans="2:22" x14ac:dyDescent="0.2">
      <c r="B16" s="17" t="s">
        <v>10</v>
      </c>
      <c r="C16" s="21">
        <v>8.269779157262673E-2</v>
      </c>
      <c r="D16" s="21">
        <v>0.14520413222718045</v>
      </c>
      <c r="E16" s="21">
        <v>0.13561154879632886</v>
      </c>
      <c r="F16" s="21">
        <v>0.17832635139258812</v>
      </c>
      <c r="G16" s="21">
        <v>0.13885500252245264</v>
      </c>
      <c r="H16" s="21">
        <v>0.18952940132167459</v>
      </c>
      <c r="I16" s="21">
        <v>0.13185705933438946</v>
      </c>
      <c r="J16" s="21">
        <v>0.17459490622063628</v>
      </c>
      <c r="K16" s="21">
        <v>0.25025408643068464</v>
      </c>
      <c r="L16" s="21">
        <v>0.25312276989029103</v>
      </c>
      <c r="M16" s="21">
        <v>0.17053504999123692</v>
      </c>
      <c r="N16" s="21">
        <v>0.23583693040225787</v>
      </c>
      <c r="P16" s="75"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21">
        <v>3.5178889378835419E-2</v>
      </c>
      <c r="D17" s="21">
        <v>0.14280515161950749</v>
      </c>
      <c r="E17" s="21">
        <v>4.5604790246004716E-2</v>
      </c>
      <c r="F17" s="21">
        <v>5.8187785575158441E-2</v>
      </c>
      <c r="G17" s="21">
        <v>6.7932921071297683E-2</v>
      </c>
      <c r="H17" s="21">
        <v>0.26115761004404708</v>
      </c>
      <c r="I17" s="21">
        <v>0.10675739032015726</v>
      </c>
      <c r="J17" s="21">
        <v>0.15808807309791401</v>
      </c>
      <c r="K17" s="21">
        <v>9.3996908746969907E-2</v>
      </c>
      <c r="L17" s="21">
        <v>1.3706131049093142</v>
      </c>
      <c r="M17" s="21">
        <v>0.22212015799005139</v>
      </c>
      <c r="N17" s="21">
        <v>0.13097707360742727</v>
      </c>
      <c r="U17" s="8">
        <v>45254</v>
      </c>
    </row>
    <row r="18" spans="2:21" x14ac:dyDescent="0.2">
      <c r="B18" s="16" t="s">
        <v>12</v>
      </c>
      <c r="C18" s="6">
        <v>0.17841142091049092</v>
      </c>
      <c r="D18" s="6">
        <v>0.16576614011777902</v>
      </c>
      <c r="E18" s="6">
        <v>8.7735600019642646E-2</v>
      </c>
      <c r="F18" s="6">
        <v>0.19496123355955849</v>
      </c>
      <c r="G18" s="6">
        <v>0.12927223517600184</v>
      </c>
      <c r="H18" s="6">
        <v>0.12033628224965125</v>
      </c>
      <c r="I18" s="6">
        <v>0.12118049769423624</v>
      </c>
      <c r="J18" s="6">
        <v>9.4538332549951906E-2</v>
      </c>
      <c r="K18" s="6">
        <v>0.16041499448777996</v>
      </c>
      <c r="L18" s="6">
        <v>0.11049149223598738</v>
      </c>
      <c r="M18" s="6">
        <v>9.8512058859721238E-2</v>
      </c>
      <c r="N18" s="6">
        <v>0.16380225226010331</v>
      </c>
      <c r="P18" s="75">
        <v>0.47</v>
      </c>
      <c r="Q18" s="58" t="s">
        <v>70</v>
      </c>
      <c r="U18" s="8">
        <v>45285</v>
      </c>
    </row>
    <row r="19" spans="2:21" x14ac:dyDescent="0.2">
      <c r="B19" s="17" t="s">
        <v>10</v>
      </c>
      <c r="C19" s="21">
        <v>0.25513485939404251</v>
      </c>
      <c r="D19" s="21">
        <v>0.13216248357945287</v>
      </c>
      <c r="E19" s="21">
        <v>0.1076882767868082</v>
      </c>
      <c r="F19" s="21">
        <v>0.15435124114687773</v>
      </c>
      <c r="G19" s="21">
        <v>0.11540937166472348</v>
      </c>
      <c r="H19" s="21">
        <v>9.0990282613901921E-2</v>
      </c>
      <c r="I19" s="21">
        <v>0.10240525647455437</v>
      </c>
      <c r="J19" s="21">
        <v>4.614145810641769E-2</v>
      </c>
      <c r="K19" s="21">
        <v>0.1553360702956525</v>
      </c>
      <c r="L19" s="21">
        <v>0.10728859254871663</v>
      </c>
      <c r="M19" s="21">
        <v>9.4760413813254091E-2</v>
      </c>
      <c r="N19" s="21">
        <v>0.16792263506510405</v>
      </c>
      <c r="P19" s="75">
        <v>0.43</v>
      </c>
      <c r="Q19" s="58" t="s">
        <v>71</v>
      </c>
    </row>
    <row r="20" spans="2:21" x14ac:dyDescent="0.2">
      <c r="B20" s="17" t="s">
        <v>11</v>
      </c>
      <c r="C20" s="21">
        <v>0.12962935061850114</v>
      </c>
      <c r="D20" s="21">
        <v>0.22162990628166296</v>
      </c>
      <c r="E20" s="21">
        <v>7.1151099980620497E-2</v>
      </c>
      <c r="F20" s="21">
        <v>0.30142985525591814</v>
      </c>
      <c r="G20" s="21">
        <v>0.15518917572289023</v>
      </c>
      <c r="H20" s="21">
        <v>0.21893770211245839</v>
      </c>
      <c r="I20" s="21">
        <v>0.18204304803596411</v>
      </c>
      <c r="J20" s="21">
        <v>0.48878717089143386</v>
      </c>
      <c r="K20" s="21">
        <v>0.17565371749587982</v>
      </c>
      <c r="L20" s="21">
        <v>0.11852986607525422</v>
      </c>
      <c r="M20" s="21">
        <v>0.11308842251708248</v>
      </c>
      <c r="N20" s="21">
        <v>0.15469245525238268</v>
      </c>
      <c r="P20" s="75">
        <v>0.08</v>
      </c>
      <c r="Q20" s="58" t="s">
        <v>72</v>
      </c>
    </row>
    <row r="21" spans="2:21" x14ac:dyDescent="0.2">
      <c r="B21" s="19" t="s">
        <v>13</v>
      </c>
      <c r="C21" s="22">
        <v>0.15169917201438265</v>
      </c>
      <c r="D21" s="22">
        <v>3.1052479234059648E-2</v>
      </c>
      <c r="E21" s="22">
        <v>0.13756140402794095</v>
      </c>
      <c r="F21" s="22">
        <v>0.19289808628569899</v>
      </c>
      <c r="G21" s="22">
        <v>0.29362421360352814</v>
      </c>
      <c r="H21" s="22">
        <v>0.20370342944125933</v>
      </c>
      <c r="I21" s="22">
        <v>6.3543024716316024E-2</v>
      </c>
      <c r="J21" s="22">
        <v>0.11695201728276121</v>
      </c>
      <c r="K21" s="22">
        <v>0.10441280328015808</v>
      </c>
      <c r="L21" s="22">
        <v>0.1948682263338565</v>
      </c>
      <c r="M21" s="22">
        <v>0.23822191395150702</v>
      </c>
      <c r="N21" s="22">
        <v>0.15173049442597039</v>
      </c>
      <c r="P21" s="75">
        <v>0.02</v>
      </c>
      <c r="Q21" s="58" t="s">
        <v>73</v>
      </c>
    </row>
    <row r="22" spans="2:21" x14ac:dyDescent="0.2">
      <c r="B22" s="18" t="s">
        <v>14</v>
      </c>
      <c r="C22" s="20">
        <v>9.9549306149495281E-2</v>
      </c>
      <c r="D22" s="20">
        <v>0.10960177195157539</v>
      </c>
      <c r="E22" s="20">
        <v>8.7049858779637571E-2</v>
      </c>
      <c r="F22" s="20">
        <v>0.13964829458312192</v>
      </c>
      <c r="G22" s="20">
        <v>0.11909489594017039</v>
      </c>
      <c r="H22" s="20">
        <v>0.1403396189289258</v>
      </c>
      <c r="I22" s="20">
        <v>9.3728128359109347E-2</v>
      </c>
      <c r="J22" s="20">
        <v>0.11182169263736468</v>
      </c>
      <c r="K22" s="20">
        <v>0.13724746376650401</v>
      </c>
      <c r="L22" s="20">
        <v>0.17259448997409876</v>
      </c>
      <c r="M22" s="20">
        <v>0.11871126583876601</v>
      </c>
      <c r="N22" s="20">
        <v>0.15411906819048526</v>
      </c>
    </row>
    <row r="23" spans="2:21" x14ac:dyDescent="0.2">
      <c r="P23" s="75">
        <v>0.05</v>
      </c>
      <c r="Q23" s="58" t="s">
        <v>44</v>
      </c>
    </row>
    <row r="24" spans="2:21" x14ac:dyDescent="0.2">
      <c r="B24" s="1" t="s">
        <v>17</v>
      </c>
      <c r="P24" s="75">
        <v>0.03</v>
      </c>
      <c r="Q24" t="s">
        <v>45</v>
      </c>
    </row>
    <row r="25" spans="2:21" x14ac:dyDescent="0.2">
      <c r="B25" t="s">
        <v>9</v>
      </c>
      <c r="C25" s="4">
        <v>61883.925660884226</v>
      </c>
      <c r="D25" s="4">
        <v>159160.73774827071</v>
      </c>
      <c r="E25" s="4">
        <v>169489.24245703485</v>
      </c>
      <c r="F25" s="4">
        <v>155122.99135566823</v>
      </c>
      <c r="G25" s="4">
        <v>126816.78634141046</v>
      </c>
      <c r="H25" s="4">
        <v>295531.74398145801</v>
      </c>
      <c r="I25" s="4">
        <v>160983.74745994189</v>
      </c>
      <c r="J25" s="4">
        <v>194277.83000975178</v>
      </c>
      <c r="K25" s="4">
        <v>297900.98581084522</v>
      </c>
      <c r="L25" s="4">
        <v>274457.96139375068</v>
      </c>
      <c r="M25" s="4">
        <v>218469.0360571791</v>
      </c>
      <c r="N25" s="4">
        <v>360623.54582041199</v>
      </c>
      <c r="P25" s="75">
        <v>3.1E-2</v>
      </c>
      <c r="Q25" t="s">
        <v>74</v>
      </c>
    </row>
    <row r="26" spans="2:21" x14ac:dyDescent="0.2">
      <c r="B26" s="10" t="s">
        <v>10</v>
      </c>
      <c r="C26" s="11">
        <v>51480.562074912355</v>
      </c>
      <c r="D26" s="11">
        <v>135779.98247258135</v>
      </c>
      <c r="E26" s="11">
        <v>159918.04480336962</v>
      </c>
      <c r="F26" s="11">
        <v>138662.99548834653</v>
      </c>
      <c r="G26" s="11">
        <v>104620.7313082039</v>
      </c>
      <c r="H26" s="11">
        <v>219840.70237945591</v>
      </c>
      <c r="I26" s="11">
        <v>133425.72407601692</v>
      </c>
      <c r="J26" s="11">
        <v>152629.05258789225</v>
      </c>
      <c r="K26" s="11">
        <v>250391.45228471214</v>
      </c>
      <c r="L26" s="11">
        <v>194028.43613297411</v>
      </c>
      <c r="M26" s="11">
        <v>182431.62086281565</v>
      </c>
      <c r="N26" s="11">
        <v>294409.47153595876</v>
      </c>
      <c r="P26" s="75">
        <v>3.2000000000000001E-2</v>
      </c>
      <c r="Q26" t="s">
        <v>75</v>
      </c>
    </row>
    <row r="27" spans="2:21" x14ac:dyDescent="0.2">
      <c r="B27" s="10" t="s">
        <v>11</v>
      </c>
      <c r="C27" s="11">
        <v>10403.363585971867</v>
      </c>
      <c r="D27" s="11">
        <v>23380.755275689353</v>
      </c>
      <c r="E27" s="11">
        <v>9571.1976536652473</v>
      </c>
      <c r="F27" s="11">
        <v>16459.995867321704</v>
      </c>
      <c r="G27" s="11">
        <v>22196.055033206558</v>
      </c>
      <c r="H27" s="11">
        <v>75691.041602002122</v>
      </c>
      <c r="I27" s="11">
        <v>27558.023383924985</v>
      </c>
      <c r="J27" s="11">
        <v>41648.777421859515</v>
      </c>
      <c r="K27" s="11">
        <v>47509.533526133098</v>
      </c>
      <c r="L27" s="11">
        <v>80429.525260776558</v>
      </c>
      <c r="M27" s="11">
        <v>36037.415194363435</v>
      </c>
      <c r="N27" s="11">
        <v>66214.074284453251</v>
      </c>
    </row>
    <row r="28" spans="2:21" x14ac:dyDescent="0.2">
      <c r="B28" t="s">
        <v>12</v>
      </c>
      <c r="C28" s="4">
        <v>128701.40518728085</v>
      </c>
      <c r="D28" s="4">
        <v>98671.077310248656</v>
      </c>
      <c r="E28" s="4">
        <v>107442.56543639135</v>
      </c>
      <c r="F28" s="4">
        <v>138164.20773479133</v>
      </c>
      <c r="G28" s="4">
        <v>116841.03127030641</v>
      </c>
      <c r="H28" s="4">
        <v>165846.92805710511</v>
      </c>
      <c r="I28" s="4">
        <v>125694.51389591125</v>
      </c>
      <c r="J28" s="4">
        <v>72573.618142282081</v>
      </c>
      <c r="K28" s="4">
        <v>170834.80559265718</v>
      </c>
      <c r="L28" s="4">
        <v>108112.24558309035</v>
      </c>
      <c r="M28" s="4">
        <v>141156.93425612256</v>
      </c>
      <c r="N28" s="4">
        <v>154748.90054050187</v>
      </c>
      <c r="P28" s="75">
        <v>0.18</v>
      </c>
      <c r="Q28" t="s">
        <v>47</v>
      </c>
    </row>
    <row r="29" spans="2:21" x14ac:dyDescent="0.2">
      <c r="B29" s="10" t="s">
        <v>10</v>
      </c>
      <c r="C29" s="11">
        <v>71536.531049930272</v>
      </c>
      <c r="D29" s="11">
        <v>49121.036313145531</v>
      </c>
      <c r="E29" s="11">
        <v>54597.812422630079</v>
      </c>
      <c r="F29" s="11">
        <v>79182.555876888538</v>
      </c>
      <c r="G29" s="11">
        <v>67959.831421896466</v>
      </c>
      <c r="H29" s="11">
        <v>96640.12725132065</v>
      </c>
      <c r="I29" s="11">
        <v>81177.706891109337</v>
      </c>
      <c r="J29" s="11">
        <v>31548.325412366608</v>
      </c>
      <c r="K29" s="11">
        <v>124073.45369685687</v>
      </c>
      <c r="L29" s="11">
        <v>75067.55691005812</v>
      </c>
      <c r="M29" s="11">
        <v>107987.54864470153</v>
      </c>
      <c r="N29" s="11">
        <v>109234.51802858953</v>
      </c>
      <c r="P29" s="75">
        <v>0.09</v>
      </c>
      <c r="Q29" t="s">
        <v>48</v>
      </c>
    </row>
    <row r="30" spans="2:21" x14ac:dyDescent="0.2">
      <c r="B30" s="10" t="s">
        <v>11</v>
      </c>
      <c r="C30" s="11">
        <v>57164.874137350569</v>
      </c>
      <c r="D30" s="11">
        <v>49550.040997103133</v>
      </c>
      <c r="E30" s="11">
        <v>52844.75301376127</v>
      </c>
      <c r="F30" s="11">
        <v>58981.651857902798</v>
      </c>
      <c r="G30" s="11">
        <v>48881.199848409939</v>
      </c>
      <c r="H30" s="11">
        <v>69206.800805784471</v>
      </c>
      <c r="I30" s="11">
        <v>44516.807004801907</v>
      </c>
      <c r="J30" s="11">
        <v>41025.292729915476</v>
      </c>
      <c r="K30" s="11">
        <v>46761.351895800311</v>
      </c>
      <c r="L30" s="11">
        <v>33044.688673032222</v>
      </c>
      <c r="M30" s="11">
        <v>33169.385611421028</v>
      </c>
      <c r="N30" s="11">
        <v>45514.382511912328</v>
      </c>
      <c r="P30" s="75">
        <v>0.05</v>
      </c>
      <c r="Q30" t="s">
        <v>49</v>
      </c>
    </row>
    <row r="31" spans="2:21" x14ac:dyDescent="0.2">
      <c r="B31" s="15" t="s">
        <v>13</v>
      </c>
      <c r="C31" s="14">
        <v>30137.579048021606</v>
      </c>
      <c r="D31" s="14">
        <v>10403.363585971869</v>
      </c>
      <c r="E31" s="14">
        <v>74861.317350601734</v>
      </c>
      <c r="F31" s="14">
        <v>37034.990701473849</v>
      </c>
      <c r="G31" s="14">
        <v>80928.313014331739</v>
      </c>
      <c r="H31" s="14">
        <v>102376.18641720551</v>
      </c>
      <c r="I31" s="14">
        <v>33169.385611421014</v>
      </c>
      <c r="J31" s="14">
        <v>64468.317147010028</v>
      </c>
      <c r="K31" s="14">
        <v>73695.890587781294</v>
      </c>
      <c r="L31" s="14">
        <v>103872.54967787114</v>
      </c>
      <c r="M31" s="14">
        <v>54991.349829461178</v>
      </c>
      <c r="N31" s="14">
        <v>60976.802872123619</v>
      </c>
      <c r="P31" s="75">
        <v>2.5000000000000001E-2</v>
      </c>
      <c r="Q31" t="s">
        <v>50</v>
      </c>
    </row>
    <row r="32" spans="2:21" x14ac:dyDescent="0.2">
      <c r="B32" s="1" t="s">
        <v>14</v>
      </c>
      <c r="C32" s="13">
        <v>220722.9098961867</v>
      </c>
      <c r="D32" s="13">
        <v>268235.17864449124</v>
      </c>
      <c r="E32" s="13">
        <v>351793.12524402793</v>
      </c>
      <c r="F32" s="13">
        <v>330322.1897919334</v>
      </c>
      <c r="G32" s="13">
        <v>324586.1306260486</v>
      </c>
      <c r="H32" s="13">
        <v>563754.85845576867</v>
      </c>
      <c r="I32" s="13">
        <v>319847.6469672742</v>
      </c>
      <c r="J32" s="13">
        <v>331319.76529904385</v>
      </c>
      <c r="K32" s="13">
        <v>542431.68199128367</v>
      </c>
      <c r="L32" s="13">
        <v>486442.75665471214</v>
      </c>
      <c r="M32" s="13">
        <v>414617.32014276285</v>
      </c>
      <c r="N32" s="13">
        <v>576349.24923303747</v>
      </c>
    </row>
    <row r="33" spans="2:17" x14ac:dyDescent="0.2">
      <c r="P33" s="77">
        <v>1E-4</v>
      </c>
      <c r="Q33" t="s">
        <v>52</v>
      </c>
    </row>
    <row r="34" spans="2:17" x14ac:dyDescent="0.2">
      <c r="B34" t="s">
        <v>8</v>
      </c>
      <c r="C34" s="2">
        <v>168</v>
      </c>
      <c r="D34" s="2">
        <v>160</v>
      </c>
      <c r="E34" s="2">
        <v>184</v>
      </c>
      <c r="F34" s="2">
        <v>160</v>
      </c>
      <c r="G34" s="2">
        <v>184</v>
      </c>
      <c r="H34" s="2">
        <v>168</v>
      </c>
      <c r="I34" s="2">
        <v>160</v>
      </c>
      <c r="J34" s="2">
        <v>184</v>
      </c>
      <c r="K34" s="2">
        <v>160</v>
      </c>
      <c r="L34" s="2">
        <v>176</v>
      </c>
      <c r="M34" s="2">
        <v>168</v>
      </c>
      <c r="N34" s="2">
        <v>168</v>
      </c>
      <c r="P34" s="77">
        <v>1.7000000000000001E-4</v>
      </c>
      <c r="Q34" t="s">
        <v>53</v>
      </c>
    </row>
    <row r="35" spans="2:17" x14ac:dyDescent="0.2"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77">
        <v>5.0000000000000002E-5</v>
      </c>
      <c r="Q35" t="s">
        <v>54</v>
      </c>
    </row>
    <row r="36" spans="2:17" x14ac:dyDescent="0.2">
      <c r="B36" t="s">
        <v>0</v>
      </c>
      <c r="C36" s="2">
        <v>16</v>
      </c>
      <c r="D36" s="2">
        <v>16</v>
      </c>
      <c r="E36" s="2">
        <v>16</v>
      </c>
      <c r="F36" s="2">
        <v>17</v>
      </c>
      <c r="G36" s="2">
        <v>18</v>
      </c>
      <c r="H36" s="2">
        <v>18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v>5.0000000000000001E-3</v>
      </c>
      <c r="Q36" t="s">
        <v>55</v>
      </c>
    </row>
    <row r="37" spans="2:17" x14ac:dyDescent="0.2">
      <c r="B37" t="s">
        <v>1</v>
      </c>
      <c r="C37" s="5">
        <v>225</v>
      </c>
      <c r="D37" s="5">
        <v>225</v>
      </c>
      <c r="E37" s="5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v>6.4999999999999997E-3</v>
      </c>
      <c r="Q37" t="s">
        <v>56</v>
      </c>
    </row>
    <row r="38" spans="2:17" x14ac:dyDescent="0.2">
      <c r="B38" t="s">
        <v>2</v>
      </c>
      <c r="C38" s="2">
        <v>128</v>
      </c>
      <c r="D38" s="2">
        <v>128</v>
      </c>
      <c r="E38" s="2">
        <v>128</v>
      </c>
      <c r="F38" s="2">
        <v>136</v>
      </c>
      <c r="G38" s="2">
        <v>144</v>
      </c>
      <c r="H38" s="2">
        <v>144</v>
      </c>
      <c r="I38" s="2">
        <v>144</v>
      </c>
      <c r="J38" s="2">
        <v>152</v>
      </c>
      <c r="K38" s="2">
        <v>152</v>
      </c>
      <c r="L38" s="2">
        <v>152</v>
      </c>
      <c r="M38" s="2">
        <v>152</v>
      </c>
      <c r="N38" s="2">
        <v>160</v>
      </c>
      <c r="P38" s="77">
        <v>1E-4</v>
      </c>
      <c r="Q38" t="s">
        <v>57</v>
      </c>
    </row>
    <row r="39" spans="2:17" x14ac:dyDescent="0.2">
      <c r="B39" t="s">
        <v>3</v>
      </c>
      <c r="C39" s="6">
        <v>0.75</v>
      </c>
      <c r="D39" s="6">
        <v>0.75</v>
      </c>
      <c r="E39" s="6">
        <v>0.75</v>
      </c>
      <c r="F39" s="6">
        <v>0.75</v>
      </c>
      <c r="G39" s="6">
        <v>0.75</v>
      </c>
      <c r="H39" s="6">
        <v>0.75</v>
      </c>
      <c r="I39" s="6">
        <v>0.75</v>
      </c>
      <c r="J39" s="6">
        <v>0.75</v>
      </c>
      <c r="K39" s="6">
        <v>0.75</v>
      </c>
      <c r="L39" s="6">
        <v>0.75</v>
      </c>
      <c r="M39" s="6">
        <v>0.75</v>
      </c>
      <c r="N39" s="6">
        <v>0.75</v>
      </c>
      <c r="P39" s="77">
        <v>6.4999999999999997E-3</v>
      </c>
      <c r="Q39" t="s">
        <v>58</v>
      </c>
    </row>
    <row r="40" spans="2:17" x14ac:dyDescent="0.2">
      <c r="B40" s="41" t="s">
        <v>6</v>
      </c>
      <c r="C40" s="22">
        <v>0.625</v>
      </c>
      <c r="D40" s="22">
        <v>0.625</v>
      </c>
      <c r="E40" s="22">
        <v>0.625</v>
      </c>
      <c r="F40" s="22">
        <v>0.625</v>
      </c>
      <c r="G40" s="22">
        <v>0.625</v>
      </c>
      <c r="H40" s="22">
        <v>0.625</v>
      </c>
      <c r="I40" s="22">
        <v>0.625</v>
      </c>
      <c r="J40" s="22">
        <v>0.625</v>
      </c>
      <c r="K40" s="22">
        <v>0.625</v>
      </c>
      <c r="L40" s="22">
        <v>0.625</v>
      </c>
      <c r="M40" s="22">
        <v>0.625</v>
      </c>
      <c r="N40" s="22">
        <v>0.625</v>
      </c>
      <c r="P40" s="77">
        <v>1.2500000000000001E-2</v>
      </c>
      <c r="Q40" t="s">
        <v>59</v>
      </c>
    </row>
    <row r="41" spans="2:17" x14ac:dyDescent="0.2">
      <c r="B41" s="1" t="s">
        <v>25</v>
      </c>
      <c r="C41" s="13">
        <v>360000</v>
      </c>
      <c r="D41" s="13">
        <v>342000</v>
      </c>
      <c r="E41" s="13">
        <v>396000</v>
      </c>
      <c r="F41" s="13">
        <v>379525</v>
      </c>
      <c r="G41" s="13">
        <v>465300</v>
      </c>
      <c r="H41" s="13">
        <v>423000</v>
      </c>
      <c r="I41" s="13">
        <v>401850</v>
      </c>
      <c r="J41" s="13">
        <v>491150</v>
      </c>
      <c r="K41" s="13">
        <v>424175</v>
      </c>
      <c r="L41" s="13">
        <v>468825</v>
      </c>
      <c r="M41" s="13">
        <v>446500</v>
      </c>
      <c r="N41" s="13">
        <v>470000</v>
      </c>
      <c r="P41" s="77">
        <v>0.01</v>
      </c>
      <c r="Q41" t="s">
        <v>60</v>
      </c>
    </row>
    <row r="43" spans="2:17" x14ac:dyDescent="0.2">
      <c r="B43" t="s">
        <v>4</v>
      </c>
      <c r="C43" s="2">
        <v>5</v>
      </c>
      <c r="D43" s="2">
        <v>5</v>
      </c>
      <c r="E43" s="2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</row>
    <row r="44" spans="2:17" x14ac:dyDescent="0.2">
      <c r="B44" t="s">
        <v>5</v>
      </c>
      <c r="C44" s="5">
        <v>315</v>
      </c>
      <c r="D44" s="5">
        <v>315</v>
      </c>
      <c r="E44" s="5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</row>
    <row r="45" spans="2:17" x14ac:dyDescent="0.2">
      <c r="B45" t="s">
        <v>2</v>
      </c>
      <c r="C45" s="2">
        <v>40</v>
      </c>
      <c r="D45" s="2">
        <v>40</v>
      </c>
      <c r="E45" s="2">
        <v>40</v>
      </c>
      <c r="F45" s="2">
        <v>48</v>
      </c>
      <c r="G45" s="2">
        <v>48</v>
      </c>
      <c r="H45" s="2">
        <v>48</v>
      </c>
      <c r="I45" s="2">
        <v>48</v>
      </c>
      <c r="J45" s="2">
        <v>48</v>
      </c>
      <c r="K45" s="2">
        <v>48</v>
      </c>
      <c r="L45" s="2">
        <v>56</v>
      </c>
      <c r="M45" s="2">
        <v>56</v>
      </c>
      <c r="N45" s="2">
        <v>56</v>
      </c>
    </row>
    <row r="46" spans="2:17" x14ac:dyDescent="0.2">
      <c r="B46" s="41" t="s">
        <v>6</v>
      </c>
      <c r="C46" s="22">
        <v>0.375</v>
      </c>
      <c r="D46" s="22">
        <v>0.375</v>
      </c>
      <c r="E46" s="22">
        <v>0.375</v>
      </c>
      <c r="F46" s="22">
        <v>0.375</v>
      </c>
      <c r="G46" s="22">
        <v>0.375</v>
      </c>
      <c r="H46" s="22">
        <v>0.375</v>
      </c>
      <c r="I46" s="22">
        <v>0.375</v>
      </c>
      <c r="J46" s="22">
        <v>0.375</v>
      </c>
      <c r="K46" s="22">
        <v>0.375</v>
      </c>
      <c r="L46" s="22">
        <v>0.375</v>
      </c>
      <c r="M46" s="22">
        <v>0.375</v>
      </c>
      <c r="N46" s="22">
        <v>0.375</v>
      </c>
    </row>
    <row r="47" spans="2:17" x14ac:dyDescent="0.2">
      <c r="B47" s="1" t="s">
        <v>25</v>
      </c>
      <c r="C47" s="13">
        <v>94500</v>
      </c>
      <c r="D47" s="13">
        <v>89775</v>
      </c>
      <c r="E47" s="13">
        <v>103950</v>
      </c>
      <c r="F47" s="13">
        <v>111150</v>
      </c>
      <c r="G47" s="13">
        <v>128700</v>
      </c>
      <c r="H47" s="13">
        <v>117000</v>
      </c>
      <c r="I47" s="13">
        <v>111150</v>
      </c>
      <c r="J47" s="13">
        <v>128700</v>
      </c>
      <c r="K47" s="13">
        <v>111150</v>
      </c>
      <c r="L47" s="13">
        <v>143325</v>
      </c>
      <c r="M47" s="13">
        <v>136500</v>
      </c>
      <c r="N47" s="13">
        <v>136500</v>
      </c>
    </row>
    <row r="49" spans="2:14" x14ac:dyDescent="0.2">
      <c r="B49" s="23" t="s">
        <v>66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26">
        <v>0</v>
      </c>
      <c r="D50" s="26">
        <v>153190.23301159657</v>
      </c>
      <c r="E50" s="26">
        <v>169090.83155475667</v>
      </c>
      <c r="F50" s="26">
        <v>265251.83996901853</v>
      </c>
      <c r="G50" s="26">
        <v>163427.07720225363</v>
      </c>
      <c r="H50" s="26">
        <v>188303.63798161977</v>
      </c>
      <c r="I50" s="26">
        <v>277544.04009253083</v>
      </c>
      <c r="J50" s="26">
        <v>235773.56834553348</v>
      </c>
      <c r="K50" s="26">
        <v>204711.9448518455</v>
      </c>
      <c r="L50" s="26">
        <v>273062.85140419292</v>
      </c>
      <c r="M50" s="26">
        <v>194727.24305957937</v>
      </c>
      <c r="N50" s="26">
        <v>241311.15892998144</v>
      </c>
    </row>
    <row r="51" spans="2:14" x14ac:dyDescent="0.2">
      <c r="B51" s="58" t="s">
        <v>67</v>
      </c>
      <c r="C51" s="26">
        <v>5500000</v>
      </c>
      <c r="D51" s="26">
        <v>5461041.666666666</v>
      </c>
      <c r="E51" s="26">
        <v>5422359.2881944431</v>
      </c>
      <c r="F51" s="26">
        <v>5383950.9099030662</v>
      </c>
      <c r="G51" s="26">
        <v>5345814.5909579201</v>
      </c>
      <c r="H51" s="26">
        <v>5307948.4042719677</v>
      </c>
      <c r="I51" s="26">
        <v>5270350.4364083745</v>
      </c>
      <c r="J51" s="26">
        <v>5233018.7874838151</v>
      </c>
      <c r="K51" s="26">
        <v>5195951.5710724704</v>
      </c>
      <c r="L51" s="26">
        <v>5159146.9141107062</v>
      </c>
      <c r="M51" s="26">
        <v>5122602.9568024222</v>
      </c>
      <c r="N51" s="26">
        <v>5086317.8525250712</v>
      </c>
    </row>
    <row r="52" spans="2:14" x14ac:dyDescent="0.2">
      <c r="B52" s="67" t="s">
        <v>70</v>
      </c>
      <c r="C52" s="68">
        <v>2585000</v>
      </c>
      <c r="D52" s="68">
        <v>2566689.583333333</v>
      </c>
      <c r="E52" s="68">
        <v>2548508.8654513881</v>
      </c>
      <c r="F52" s="68">
        <v>2530456.927654441</v>
      </c>
      <c r="G52" s="68">
        <v>2512532.8577502221</v>
      </c>
      <c r="H52" s="68">
        <v>2494735.7500078245</v>
      </c>
      <c r="I52" s="68">
        <v>2477064.7051119357</v>
      </c>
      <c r="J52" s="68">
        <v>2459518.8301173928</v>
      </c>
      <c r="K52" s="68">
        <v>2442097.2384040612</v>
      </c>
      <c r="L52" s="68">
        <v>2424799.0496320319</v>
      </c>
      <c r="M52" s="68">
        <v>2407623.3896971382</v>
      </c>
      <c r="N52" s="68">
        <v>2390569.3906867835</v>
      </c>
    </row>
    <row r="53" spans="2:14" x14ac:dyDescent="0.2">
      <c r="B53" s="67" t="s">
        <v>71</v>
      </c>
      <c r="C53" s="68">
        <v>2365000</v>
      </c>
      <c r="D53" s="68">
        <v>2348247.9166666665</v>
      </c>
      <c r="E53" s="68">
        <v>2331614.4939236105</v>
      </c>
      <c r="F53" s="68">
        <v>2315098.8912583184</v>
      </c>
      <c r="G53" s="68">
        <v>2298700.2741119056</v>
      </c>
      <c r="H53" s="68">
        <v>2282417.8138369462</v>
      </c>
      <c r="I53" s="68">
        <v>2266250.6876556012</v>
      </c>
      <c r="J53" s="68">
        <v>2250198.0786180403</v>
      </c>
      <c r="K53" s="68">
        <v>2234259.1755611622</v>
      </c>
      <c r="L53" s="68">
        <v>2218433.1730676037</v>
      </c>
      <c r="M53" s="68">
        <v>2202719.2714250414</v>
      </c>
      <c r="N53" s="68">
        <v>2187116.6765857805</v>
      </c>
    </row>
    <row r="54" spans="2:14" x14ac:dyDescent="0.2">
      <c r="B54" s="67" t="s">
        <v>72</v>
      </c>
      <c r="C54" s="68">
        <v>440000</v>
      </c>
      <c r="D54" s="68">
        <v>436883.33333333331</v>
      </c>
      <c r="E54" s="68">
        <v>433788.74305555545</v>
      </c>
      <c r="F54" s="68">
        <v>430716.07279224531</v>
      </c>
      <c r="G54" s="68">
        <v>427665.16727663361</v>
      </c>
      <c r="H54" s="68">
        <v>424635.87234175741</v>
      </c>
      <c r="I54" s="68">
        <v>421628.03491266997</v>
      </c>
      <c r="J54" s="68">
        <v>418641.5029987052</v>
      </c>
      <c r="K54" s="68">
        <v>415676.12568579766</v>
      </c>
      <c r="L54" s="68">
        <v>412731.75312885648</v>
      </c>
      <c r="M54" s="68">
        <v>409808.23654419376</v>
      </c>
      <c r="N54" s="68">
        <v>406905.42820200569</v>
      </c>
    </row>
    <row r="55" spans="2:14" x14ac:dyDescent="0.2">
      <c r="B55" s="67" t="s">
        <v>73</v>
      </c>
      <c r="C55" s="68">
        <v>110000</v>
      </c>
      <c r="D55" s="68">
        <v>109220.83333333333</v>
      </c>
      <c r="E55" s="68">
        <v>108447.18576388886</v>
      </c>
      <c r="F55" s="68">
        <v>107679.01819806133</v>
      </c>
      <c r="G55" s="68">
        <v>106916.2918191584</v>
      </c>
      <c r="H55" s="68">
        <v>106158.96808543935</v>
      </c>
      <c r="I55" s="68">
        <v>105407.00872816749</v>
      </c>
      <c r="J55" s="68">
        <v>104660.3757496763</v>
      </c>
      <c r="K55" s="68">
        <v>103919.03142144941</v>
      </c>
      <c r="L55" s="68">
        <v>103182.93828221412</v>
      </c>
      <c r="M55" s="68">
        <v>102452.05913604844</v>
      </c>
      <c r="N55" s="68">
        <v>101726.35705050142</v>
      </c>
    </row>
    <row r="56" spans="2:14" x14ac:dyDescent="0.2">
      <c r="B56" s="58" t="s">
        <v>68</v>
      </c>
      <c r="C56" s="26">
        <v>454500</v>
      </c>
      <c r="D56" s="26">
        <v>431775</v>
      </c>
      <c r="E56" s="26">
        <v>499950</v>
      </c>
      <c r="F56" s="26">
        <v>490675</v>
      </c>
      <c r="G56" s="26">
        <v>594000</v>
      </c>
      <c r="H56" s="26">
        <v>540000</v>
      </c>
      <c r="I56" s="26">
        <v>513000</v>
      </c>
      <c r="J56" s="26">
        <v>619850</v>
      </c>
      <c r="K56" s="26">
        <v>535325</v>
      </c>
      <c r="L56" s="26">
        <v>612150</v>
      </c>
      <c r="M56" s="26">
        <v>583000</v>
      </c>
      <c r="N56" s="26">
        <v>606500</v>
      </c>
    </row>
    <row r="57" spans="2:14" x14ac:dyDescent="0.2">
      <c r="B57" s="67" t="s">
        <v>22</v>
      </c>
      <c r="C57" s="68">
        <v>360000</v>
      </c>
      <c r="D57" s="68">
        <v>342000</v>
      </c>
      <c r="E57" s="68">
        <v>396000</v>
      </c>
      <c r="F57" s="68">
        <v>379525</v>
      </c>
      <c r="G57" s="68">
        <v>465300</v>
      </c>
      <c r="H57" s="68">
        <v>423000</v>
      </c>
      <c r="I57" s="68">
        <v>401850</v>
      </c>
      <c r="J57" s="68">
        <v>491150</v>
      </c>
      <c r="K57" s="68">
        <v>424175</v>
      </c>
      <c r="L57" s="68">
        <v>468825</v>
      </c>
      <c r="M57" s="68">
        <v>446500</v>
      </c>
      <c r="N57" s="68">
        <v>470000</v>
      </c>
    </row>
    <row r="58" spans="2:14" x14ac:dyDescent="0.2">
      <c r="B58" s="69" t="s">
        <v>23</v>
      </c>
      <c r="C58" s="70">
        <v>94500</v>
      </c>
      <c r="D58" s="70">
        <v>89775</v>
      </c>
      <c r="E58" s="70">
        <v>103950</v>
      </c>
      <c r="F58" s="70">
        <v>111150</v>
      </c>
      <c r="G58" s="70">
        <v>128700</v>
      </c>
      <c r="H58" s="70">
        <v>117000</v>
      </c>
      <c r="I58" s="70">
        <v>111150</v>
      </c>
      <c r="J58" s="70">
        <v>128700</v>
      </c>
      <c r="K58" s="70">
        <v>111150</v>
      </c>
      <c r="L58" s="70">
        <v>143325</v>
      </c>
      <c r="M58" s="70">
        <v>136500</v>
      </c>
      <c r="N58" s="70">
        <v>136500</v>
      </c>
    </row>
    <row r="59" spans="2:14" x14ac:dyDescent="0.2">
      <c r="B59" s="23" t="s">
        <v>69</v>
      </c>
      <c r="C59" s="28">
        <v>5954500</v>
      </c>
      <c r="D59" s="28">
        <v>6046006.8996782629</v>
      </c>
      <c r="E59" s="28">
        <v>6091400.1197491996</v>
      </c>
      <c r="F59" s="28">
        <v>6139877.7498720847</v>
      </c>
      <c r="G59" s="28">
        <v>6103241.668160174</v>
      </c>
      <c r="H59" s="28">
        <v>6036252.0422535874</v>
      </c>
      <c r="I59" s="28">
        <v>6060894.4765009051</v>
      </c>
      <c r="J59" s="28">
        <v>6088642.3558293488</v>
      </c>
      <c r="K59" s="28">
        <v>5935988.5159243159</v>
      </c>
      <c r="L59" s="28">
        <v>6044359.765514899</v>
      </c>
      <c r="M59" s="28">
        <v>5900330.1998620015</v>
      </c>
      <c r="N59" s="28">
        <v>5934129.0114550525</v>
      </c>
    </row>
    <row r="60" spans="2:14" x14ac:dyDescent="0.2">
      <c r="B60" s="5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26">
        <v>297725</v>
      </c>
      <c r="D62" s="26">
        <v>302300.34498391318</v>
      </c>
      <c r="E62" s="26">
        <v>304570.00598745997</v>
      </c>
      <c r="F62" s="26">
        <v>306993.88749360427</v>
      </c>
      <c r="G62" s="26">
        <v>305162.08340800874</v>
      </c>
      <c r="H62" s="26">
        <v>301812.60211267939</v>
      </c>
      <c r="I62" s="26">
        <v>303044.72382504528</v>
      </c>
      <c r="J62" s="26">
        <v>304432.11779146746</v>
      </c>
      <c r="K62" s="26">
        <v>296799.42579621583</v>
      </c>
      <c r="L62" s="26">
        <v>302217.98827574495</v>
      </c>
      <c r="M62" s="26">
        <v>295016.50999310007</v>
      </c>
      <c r="N62" s="26">
        <v>296706.45057275263</v>
      </c>
    </row>
    <row r="63" spans="2:14" x14ac:dyDescent="0.2">
      <c r="B63" s="64" t="s">
        <v>45</v>
      </c>
      <c r="C63" s="26">
        <v>178635</v>
      </c>
      <c r="D63" s="26">
        <v>181380.20699034788</v>
      </c>
      <c r="E63" s="26">
        <v>182742.00359247599</v>
      </c>
      <c r="F63" s="26">
        <v>184196.33249616253</v>
      </c>
      <c r="G63" s="26">
        <v>183097.2500448052</v>
      </c>
      <c r="H63" s="26">
        <v>181087.56126760761</v>
      </c>
      <c r="I63" s="26">
        <v>181826.83429502713</v>
      </c>
      <c r="J63" s="26">
        <v>182659.27067488045</v>
      </c>
      <c r="K63" s="26">
        <v>178079.65547772948</v>
      </c>
      <c r="L63" s="26">
        <v>181330.79296544698</v>
      </c>
      <c r="M63" s="26">
        <v>177009.90599586003</v>
      </c>
      <c r="N63" s="26">
        <v>178023.87034365156</v>
      </c>
    </row>
    <row r="64" spans="2:14" x14ac:dyDescent="0.2">
      <c r="B64" s="64" t="s">
        <v>74</v>
      </c>
      <c r="C64" s="26">
        <v>184589.5</v>
      </c>
      <c r="D64" s="26">
        <v>187426.21389002615</v>
      </c>
      <c r="E64" s="26">
        <v>188833.40371222518</v>
      </c>
      <c r="F64" s="26">
        <v>190336.21024603464</v>
      </c>
      <c r="G64" s="26">
        <v>189200.49171296539</v>
      </c>
      <c r="H64" s="26">
        <v>187123.8133098612</v>
      </c>
      <c r="I64" s="26">
        <v>187887.72877152805</v>
      </c>
      <c r="J64" s="26">
        <v>188747.91303070981</v>
      </c>
      <c r="K64" s="26">
        <v>184015.64399365379</v>
      </c>
      <c r="L64" s="26">
        <v>187375.15273096188</v>
      </c>
      <c r="M64" s="26">
        <v>182910.23619572204</v>
      </c>
      <c r="N64" s="26">
        <v>183957.99935510661</v>
      </c>
    </row>
    <row r="65" spans="2:14" x14ac:dyDescent="0.2">
      <c r="B65" s="65" t="s">
        <v>75</v>
      </c>
      <c r="C65" s="32">
        <v>190544</v>
      </c>
      <c r="D65" s="32">
        <v>193472.22078970441</v>
      </c>
      <c r="E65" s="32">
        <v>194924.80383197439</v>
      </c>
      <c r="F65" s="32">
        <v>196476.08799590671</v>
      </c>
      <c r="G65" s="32">
        <v>195303.73338112558</v>
      </c>
      <c r="H65" s="32">
        <v>193160.06535211479</v>
      </c>
      <c r="I65" s="32">
        <v>193948.62324802898</v>
      </c>
      <c r="J65" s="32">
        <v>194836.55538653917</v>
      </c>
      <c r="K65" s="32">
        <v>189951.63250957811</v>
      </c>
      <c r="L65" s="32">
        <v>193419.51249647676</v>
      </c>
      <c r="M65" s="32">
        <v>188810.56639558406</v>
      </c>
      <c r="N65" s="32">
        <v>189892.12836656169</v>
      </c>
    </row>
    <row r="66" spans="2:14" x14ac:dyDescent="0.2">
      <c r="B66" s="23" t="s">
        <v>46</v>
      </c>
      <c r="C66" s="42">
        <v>851493.5</v>
      </c>
      <c r="D66" s="42">
        <v>864578.98665399174</v>
      </c>
      <c r="E66" s="42">
        <v>871070.21712413547</v>
      </c>
      <c r="F66" s="42">
        <v>878002.51823170821</v>
      </c>
      <c r="G66" s="42">
        <v>872763.55854690494</v>
      </c>
      <c r="H66" s="42">
        <v>863184.04204226309</v>
      </c>
      <c r="I66" s="42">
        <v>866707.91013962938</v>
      </c>
      <c r="J66" s="42">
        <v>870675.85688359698</v>
      </c>
      <c r="K66" s="42">
        <v>848846.35777717724</v>
      </c>
      <c r="L66" s="42">
        <v>864343.44646863057</v>
      </c>
      <c r="M66" s="42">
        <v>843747.21858026611</v>
      </c>
      <c r="N66" s="42">
        <v>848580.44863807259</v>
      </c>
    </row>
    <row r="67" spans="2:14" x14ac:dyDescent="0.2">
      <c r="B67" s="58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26">
        <v>48384</v>
      </c>
      <c r="D68" s="26">
        <v>46080</v>
      </c>
      <c r="E68" s="26">
        <v>52992</v>
      </c>
      <c r="F68" s="26">
        <v>51136</v>
      </c>
      <c r="G68" s="26">
        <v>62265.600000000006</v>
      </c>
      <c r="H68" s="26">
        <v>56851.200000000004</v>
      </c>
      <c r="I68" s="26">
        <v>54144</v>
      </c>
      <c r="J68" s="26">
        <v>65724.800000000003</v>
      </c>
      <c r="K68" s="26">
        <v>57152</v>
      </c>
      <c r="L68" s="26">
        <v>62867.200000000004</v>
      </c>
      <c r="M68" s="26">
        <v>60009.600000000006</v>
      </c>
      <c r="N68" s="26">
        <v>63168</v>
      </c>
    </row>
    <row r="69" spans="2:14" x14ac:dyDescent="0.2">
      <c r="B69" s="64" t="s">
        <v>77</v>
      </c>
      <c r="C69" s="26">
        <v>33075</v>
      </c>
      <c r="D69" s="26">
        <v>31500</v>
      </c>
      <c r="E69" s="26">
        <v>36225</v>
      </c>
      <c r="F69" s="26">
        <v>39000</v>
      </c>
      <c r="G69" s="26">
        <v>44850</v>
      </c>
      <c r="H69" s="26">
        <v>40950</v>
      </c>
      <c r="I69" s="26">
        <v>39000</v>
      </c>
      <c r="J69" s="26">
        <v>44850</v>
      </c>
      <c r="K69" s="26">
        <v>39000</v>
      </c>
      <c r="L69" s="26">
        <v>50050</v>
      </c>
      <c r="M69" s="26">
        <v>47775</v>
      </c>
      <c r="N69" s="26">
        <v>47775</v>
      </c>
    </row>
    <row r="70" spans="2:14" x14ac:dyDescent="0.2">
      <c r="B70" s="65" t="s">
        <v>27</v>
      </c>
      <c r="C70" s="32">
        <v>22978.53495173949</v>
      </c>
      <c r="D70" s="32">
        <v>25363.624733213503</v>
      </c>
      <c r="E70" s="32">
        <v>39787.775995352786</v>
      </c>
      <c r="F70" s="32">
        <v>24514.061580338046</v>
      </c>
      <c r="G70" s="32">
        <v>28245.545697242967</v>
      </c>
      <c r="H70" s="32">
        <v>41631.606013879624</v>
      </c>
      <c r="I70" s="32">
        <v>35366.035251830028</v>
      </c>
      <c r="J70" s="32">
        <v>30706.791727776828</v>
      </c>
      <c r="K70" s="32">
        <v>40959.427710628945</v>
      </c>
      <c r="L70" s="32">
        <v>29209.086458936905</v>
      </c>
      <c r="M70" s="32">
        <v>36196.67383949722</v>
      </c>
      <c r="N70" s="32">
        <v>38756.318595031647</v>
      </c>
    </row>
    <row r="71" spans="2:14" x14ac:dyDescent="0.2">
      <c r="B71" s="23" t="s">
        <v>24</v>
      </c>
      <c r="C71" s="42">
        <v>104437.53495173949</v>
      </c>
      <c r="D71" s="42">
        <v>102943.62473321351</v>
      </c>
      <c r="E71" s="42">
        <v>129004.77599535279</v>
      </c>
      <c r="F71" s="42">
        <v>114650.06158033805</v>
      </c>
      <c r="G71" s="42">
        <v>135361.14569724299</v>
      </c>
      <c r="H71" s="42">
        <v>139432.80601387963</v>
      </c>
      <c r="I71" s="42">
        <v>128510.03525183004</v>
      </c>
      <c r="J71" s="42">
        <v>141281.59172777683</v>
      </c>
      <c r="K71" s="42">
        <v>137111.42771062895</v>
      </c>
      <c r="L71" s="42">
        <v>142126.28645893693</v>
      </c>
      <c r="M71" s="42">
        <v>143981.27383949724</v>
      </c>
      <c r="N71" s="42">
        <v>149699.31859503165</v>
      </c>
    </row>
    <row r="72" spans="2:14" x14ac:dyDescent="0.2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42">
        <v>4998568.9650482601</v>
      </c>
      <c r="D73" s="42">
        <v>5078484.2882910576</v>
      </c>
      <c r="E73" s="42">
        <v>5091325.1266297111</v>
      </c>
      <c r="F73" s="42">
        <v>5147225.1700600386</v>
      </c>
      <c r="G73" s="42">
        <v>5095116.963916027</v>
      </c>
      <c r="H73" s="42">
        <v>5033635.1941974452</v>
      </c>
      <c r="I73" s="42">
        <v>5065676.5311094457</v>
      </c>
      <c r="J73" s="42">
        <v>5076684.9072179757</v>
      </c>
      <c r="K73" s="42">
        <v>4950030.7304365095</v>
      </c>
      <c r="L73" s="42">
        <v>5037890.0325873317</v>
      </c>
      <c r="M73" s="42">
        <v>4912601.707442238</v>
      </c>
      <c r="N73" s="42">
        <v>4935849.244221949</v>
      </c>
    </row>
    <row r="74" spans="2:14" x14ac:dyDescent="0.2">
      <c r="B74" s="23" t="s">
        <v>29</v>
      </c>
      <c r="C74" s="71">
        <v>0.83946073810534216</v>
      </c>
      <c r="D74" s="71">
        <v>0.83997328692451678</v>
      </c>
      <c r="E74" s="71">
        <v>0.83582181871831063</v>
      </c>
      <c r="F74" s="71">
        <v>0.83832697974601744</v>
      </c>
      <c r="G74" s="71">
        <v>0.83482143440208112</v>
      </c>
      <c r="H74" s="71">
        <v>0.8339007647397999</v>
      </c>
      <c r="I74" s="71">
        <v>0.83579685321199948</v>
      </c>
      <c r="J74" s="71">
        <v>0.83379587936504251</v>
      </c>
      <c r="K74" s="71">
        <v>0.83390166897344831</v>
      </c>
      <c r="L74" s="71">
        <v>0.83348613054606457</v>
      </c>
      <c r="M74" s="71">
        <v>0.83259775996216878</v>
      </c>
      <c r="N74" s="71">
        <v>0.83177316076107277</v>
      </c>
    </row>
    <row r="75" spans="2:14" x14ac:dyDescent="0.2">
      <c r="B75" s="24"/>
      <c r="C75" s="4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33">
        <v>1071810</v>
      </c>
      <c r="D77" s="33">
        <v>1088281.2419420872</v>
      </c>
      <c r="E77" s="33">
        <v>1096452.0215548559</v>
      </c>
      <c r="F77" s="33">
        <v>1105177.9949769753</v>
      </c>
      <c r="G77" s="33">
        <v>1098583.5002688314</v>
      </c>
      <c r="H77" s="33">
        <v>1086525.3676056457</v>
      </c>
      <c r="I77" s="33">
        <v>1090961.0057701629</v>
      </c>
      <c r="J77" s="33">
        <v>1095955.6240492826</v>
      </c>
      <c r="K77" s="33">
        <v>1068477.9328663768</v>
      </c>
      <c r="L77" s="33">
        <v>1087984.7577926817</v>
      </c>
      <c r="M77" s="33">
        <v>1062059.4359751602</v>
      </c>
      <c r="N77" s="33">
        <v>1068143.2220619095</v>
      </c>
    </row>
    <row r="78" spans="2:14" x14ac:dyDescent="0.2">
      <c r="B78" s="29" t="s">
        <v>48</v>
      </c>
      <c r="C78" s="33">
        <v>535905</v>
      </c>
      <c r="D78" s="33">
        <v>544140.62097104359</v>
      </c>
      <c r="E78" s="33">
        <v>548226.01077742793</v>
      </c>
      <c r="F78" s="33">
        <v>552588.99748848763</v>
      </c>
      <c r="G78" s="33">
        <v>549291.75013441569</v>
      </c>
      <c r="H78" s="33">
        <v>543262.68380282284</v>
      </c>
      <c r="I78" s="33">
        <v>545480.50288508146</v>
      </c>
      <c r="J78" s="33">
        <v>547977.81202464132</v>
      </c>
      <c r="K78" s="33">
        <v>534238.96643318841</v>
      </c>
      <c r="L78" s="33">
        <v>543992.37889634084</v>
      </c>
      <c r="M78" s="33">
        <v>531029.71798758011</v>
      </c>
      <c r="N78" s="33">
        <v>534071.61103095475</v>
      </c>
    </row>
    <row r="79" spans="2:14" x14ac:dyDescent="0.2">
      <c r="B79" s="29" t="s">
        <v>49</v>
      </c>
      <c r="C79" s="33">
        <v>297725</v>
      </c>
      <c r="D79" s="33">
        <v>302300.34498391318</v>
      </c>
      <c r="E79" s="33">
        <v>304570.00598745997</v>
      </c>
      <c r="F79" s="33">
        <v>306993.88749360427</v>
      </c>
      <c r="G79" s="33">
        <v>305162.08340800874</v>
      </c>
      <c r="H79" s="33">
        <v>301812.60211267939</v>
      </c>
      <c r="I79" s="33">
        <v>303044.72382504528</v>
      </c>
      <c r="J79" s="33">
        <v>304432.11779146746</v>
      </c>
      <c r="K79" s="33">
        <v>296799.42579621583</v>
      </c>
      <c r="L79" s="33">
        <v>302217.98827574495</v>
      </c>
      <c r="M79" s="33">
        <v>295016.50999310007</v>
      </c>
      <c r="N79" s="33">
        <v>296706.45057275263</v>
      </c>
    </row>
    <row r="80" spans="2:14" x14ac:dyDescent="0.2">
      <c r="B80" s="30" t="s">
        <v>50</v>
      </c>
      <c r="C80" s="32">
        <v>148862.5</v>
      </c>
      <c r="D80" s="32">
        <v>151150.17249195659</v>
      </c>
      <c r="E80" s="32">
        <v>152285.00299372998</v>
      </c>
      <c r="F80" s="32">
        <v>153496.94374680214</v>
      </c>
      <c r="G80" s="32">
        <v>152581.04170400437</v>
      </c>
      <c r="H80" s="32">
        <v>150906.3010563397</v>
      </c>
      <c r="I80" s="32">
        <v>151522.36191252264</v>
      </c>
      <c r="J80" s="32">
        <v>152216.05889573373</v>
      </c>
      <c r="K80" s="32">
        <v>148399.71289810791</v>
      </c>
      <c r="L80" s="32">
        <v>151108.99413787248</v>
      </c>
      <c r="M80" s="32">
        <v>147508.25499655004</v>
      </c>
      <c r="N80" s="32">
        <v>148353.22528637631</v>
      </c>
    </row>
    <row r="81" spans="2:21" x14ac:dyDescent="0.2">
      <c r="B81" s="23" t="s">
        <v>51</v>
      </c>
      <c r="C81" s="54">
        <v>2054302.5</v>
      </c>
      <c r="D81" s="54">
        <v>2085872.3803890005</v>
      </c>
      <c r="E81" s="54">
        <v>2101533.0413134741</v>
      </c>
      <c r="F81" s="54">
        <v>2118257.8237058693</v>
      </c>
      <c r="G81" s="54">
        <v>2105618.3755152603</v>
      </c>
      <c r="H81" s="54">
        <v>2082506.9545774877</v>
      </c>
      <c r="I81" s="54">
        <v>2091008.5943928126</v>
      </c>
      <c r="J81" s="54">
        <v>2100581.612761125</v>
      </c>
      <c r="K81" s="54">
        <v>2047916.0379938891</v>
      </c>
      <c r="L81" s="54">
        <v>2085304.1191026401</v>
      </c>
      <c r="M81" s="54">
        <v>2035613.9189523903</v>
      </c>
      <c r="N81" s="54">
        <v>2047274.5089519932</v>
      </c>
    </row>
    <row r="82" spans="2:21" x14ac:dyDescent="0.2">
      <c r="B82" s="24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33">
        <v>595.45000000000005</v>
      </c>
      <c r="D83" s="33">
        <v>604.60068996782627</v>
      </c>
      <c r="E83" s="33">
        <v>609.14001197491996</v>
      </c>
      <c r="F83" s="33">
        <v>613.98777498720847</v>
      </c>
      <c r="G83" s="33">
        <v>610.3241668160174</v>
      </c>
      <c r="H83" s="33">
        <v>603.62520422535874</v>
      </c>
      <c r="I83" s="33">
        <v>606.08944765009051</v>
      </c>
      <c r="J83" s="33">
        <v>608.86423558293495</v>
      </c>
      <c r="K83" s="33">
        <v>593.59885159243163</v>
      </c>
      <c r="L83" s="33">
        <v>604.43597655148994</v>
      </c>
      <c r="M83" s="33">
        <v>590.0330199862002</v>
      </c>
      <c r="N83" s="33">
        <v>593.41290114550532</v>
      </c>
      <c r="U83"/>
    </row>
    <row r="84" spans="2:21" x14ac:dyDescent="0.2">
      <c r="B84" s="53" t="s">
        <v>53</v>
      </c>
      <c r="C84" s="33">
        <v>1012.2650000000001</v>
      </c>
      <c r="D84" s="33">
        <v>1027.8211729453049</v>
      </c>
      <c r="E84" s="33">
        <v>1035.5380203573641</v>
      </c>
      <c r="F84" s="33">
        <v>1043.7792174782544</v>
      </c>
      <c r="G84" s="33">
        <v>1037.5510835872296</v>
      </c>
      <c r="H84" s="33">
        <v>1026.16284718311</v>
      </c>
      <c r="I84" s="33">
        <v>1030.3520610051539</v>
      </c>
      <c r="J84" s="33">
        <v>1035.0692004909893</v>
      </c>
      <c r="K84" s="33">
        <v>1009.1180477071338</v>
      </c>
      <c r="L84" s="33">
        <v>1027.5411601375329</v>
      </c>
      <c r="M84" s="33">
        <v>1003.0561339765403</v>
      </c>
      <c r="N84" s="33">
        <v>1008.801931947359</v>
      </c>
      <c r="U84"/>
    </row>
    <row r="85" spans="2:21" x14ac:dyDescent="0.2">
      <c r="B85" s="53" t="s">
        <v>54</v>
      </c>
      <c r="C85" s="33">
        <v>297.72500000000002</v>
      </c>
      <c r="D85" s="33">
        <v>302.30034498391313</v>
      </c>
      <c r="E85" s="33">
        <v>304.57000598745998</v>
      </c>
      <c r="F85" s="33">
        <v>306.99388749360423</v>
      </c>
      <c r="G85" s="33">
        <v>305.1620834080087</v>
      </c>
      <c r="H85" s="33">
        <v>301.81260211267937</v>
      </c>
      <c r="I85" s="33">
        <v>303.04472382504525</v>
      </c>
      <c r="J85" s="33">
        <v>304.43211779146748</v>
      </c>
      <c r="K85" s="33">
        <v>296.79942579621581</v>
      </c>
      <c r="L85" s="33">
        <v>302.21798827574497</v>
      </c>
      <c r="M85" s="33">
        <v>295.0165099931001</v>
      </c>
      <c r="N85" s="33">
        <v>296.70645057275266</v>
      </c>
      <c r="U85"/>
    </row>
    <row r="86" spans="2:21" x14ac:dyDescent="0.2">
      <c r="B86" s="53" t="s">
        <v>55</v>
      </c>
      <c r="C86" s="33">
        <v>29772.5</v>
      </c>
      <c r="D86" s="33">
        <v>30230.034498391316</v>
      </c>
      <c r="E86" s="33">
        <v>30457.000598745999</v>
      </c>
      <c r="F86" s="33">
        <v>30699.388749360423</v>
      </c>
      <c r="G86" s="33">
        <v>30516.208340800869</v>
      </c>
      <c r="H86" s="33">
        <v>30181.260211267938</v>
      </c>
      <c r="I86" s="33">
        <v>30304.472382504526</v>
      </c>
      <c r="J86" s="33">
        <v>30443.211779146746</v>
      </c>
      <c r="K86" s="33">
        <v>29679.94257962158</v>
      </c>
      <c r="L86" s="33">
        <v>30221.798827574497</v>
      </c>
      <c r="M86" s="33">
        <v>29501.650999310008</v>
      </c>
      <c r="N86" s="33">
        <v>29670.645057275262</v>
      </c>
      <c r="U86"/>
    </row>
    <row r="87" spans="2:21" x14ac:dyDescent="0.2">
      <c r="B87" s="53" t="s">
        <v>56</v>
      </c>
      <c r="C87" s="33">
        <v>38704.25</v>
      </c>
      <c r="D87" s="33">
        <v>39299.044847908706</v>
      </c>
      <c r="E87" s="33">
        <v>39594.100778369793</v>
      </c>
      <c r="F87" s="33">
        <v>39909.205374168552</v>
      </c>
      <c r="G87" s="33">
        <v>39671.070843041132</v>
      </c>
      <c r="H87" s="33">
        <v>39235.638274648314</v>
      </c>
      <c r="I87" s="33">
        <v>39395.814097255883</v>
      </c>
      <c r="J87" s="33">
        <v>39576.175312890766</v>
      </c>
      <c r="K87" s="33">
        <v>38583.92535350805</v>
      </c>
      <c r="L87" s="33">
        <v>39288.338475846846</v>
      </c>
      <c r="M87" s="33">
        <v>38352.146299103006</v>
      </c>
      <c r="N87" s="33">
        <v>38571.838574457841</v>
      </c>
      <c r="U87"/>
    </row>
    <row r="88" spans="2:21" x14ac:dyDescent="0.2">
      <c r="B88" s="53" t="s">
        <v>57</v>
      </c>
      <c r="C88" s="33">
        <v>595.45000000000005</v>
      </c>
      <c r="D88" s="33">
        <v>604.60068996782627</v>
      </c>
      <c r="E88" s="33">
        <v>609.14001197491996</v>
      </c>
      <c r="F88" s="33">
        <v>613.98777498720847</v>
      </c>
      <c r="G88" s="33">
        <v>610.3241668160174</v>
      </c>
      <c r="H88" s="33">
        <v>603.62520422535874</v>
      </c>
      <c r="I88" s="33">
        <v>606.08944765009051</v>
      </c>
      <c r="J88" s="33">
        <v>608.86423558293495</v>
      </c>
      <c r="K88" s="33">
        <v>593.59885159243163</v>
      </c>
      <c r="L88" s="33">
        <v>604.43597655148994</v>
      </c>
      <c r="M88" s="33">
        <v>590.0330199862002</v>
      </c>
      <c r="N88" s="33">
        <v>593.41290114550532</v>
      </c>
      <c r="U88"/>
    </row>
    <row r="89" spans="2:21" x14ac:dyDescent="0.2">
      <c r="B89" s="53" t="s">
        <v>58</v>
      </c>
      <c r="C89" s="33">
        <v>38704.25</v>
      </c>
      <c r="D89" s="33">
        <v>39299.044847908706</v>
      </c>
      <c r="E89" s="33">
        <v>39594.100778369793</v>
      </c>
      <c r="F89" s="33">
        <v>39909.205374168552</v>
      </c>
      <c r="G89" s="33">
        <v>39671.070843041132</v>
      </c>
      <c r="H89" s="33">
        <v>39235.638274648314</v>
      </c>
      <c r="I89" s="33">
        <v>39395.814097255883</v>
      </c>
      <c r="J89" s="33">
        <v>39576.175312890766</v>
      </c>
      <c r="K89" s="33">
        <v>38583.92535350805</v>
      </c>
      <c r="L89" s="33">
        <v>39288.338475846846</v>
      </c>
      <c r="M89" s="33">
        <v>38352.146299103006</v>
      </c>
      <c r="N89" s="33">
        <v>38571.838574457841</v>
      </c>
      <c r="U89"/>
    </row>
    <row r="90" spans="2:21" x14ac:dyDescent="0.2">
      <c r="B90" s="53" t="s">
        <v>59</v>
      </c>
      <c r="C90" s="33">
        <v>74431.25</v>
      </c>
      <c r="D90" s="33">
        <v>75575.086245978295</v>
      </c>
      <c r="E90" s="33">
        <v>76142.501496864992</v>
      </c>
      <c r="F90" s="33">
        <v>76748.471873401068</v>
      </c>
      <c r="G90" s="33">
        <v>76290.520852002184</v>
      </c>
      <c r="H90" s="33">
        <v>75453.150528169848</v>
      </c>
      <c r="I90" s="33">
        <v>75761.18095626132</v>
      </c>
      <c r="J90" s="33">
        <v>76108.029447866866</v>
      </c>
      <c r="K90" s="33">
        <v>74199.856449053957</v>
      </c>
      <c r="L90" s="33">
        <v>75554.497068936238</v>
      </c>
      <c r="M90" s="33">
        <v>73754.127498275018</v>
      </c>
      <c r="N90" s="33">
        <v>74176.612643188157</v>
      </c>
      <c r="U90"/>
    </row>
    <row r="91" spans="2:21" x14ac:dyDescent="0.2">
      <c r="B91" s="30" t="s">
        <v>60</v>
      </c>
      <c r="C91" s="32">
        <v>59545</v>
      </c>
      <c r="D91" s="32">
        <v>60460.068996782633</v>
      </c>
      <c r="E91" s="32">
        <v>60914.001197491998</v>
      </c>
      <c r="F91" s="32">
        <v>61398.777498720847</v>
      </c>
      <c r="G91" s="32">
        <v>61032.416681601739</v>
      </c>
      <c r="H91" s="32">
        <v>60362.520422535876</v>
      </c>
      <c r="I91" s="32">
        <v>60608.944765009051</v>
      </c>
      <c r="J91" s="32">
        <v>60886.423558293493</v>
      </c>
      <c r="K91" s="32">
        <v>59359.88515924316</v>
      </c>
      <c r="L91" s="32">
        <v>60443.597655148995</v>
      </c>
      <c r="M91" s="32">
        <v>59003.301998620016</v>
      </c>
      <c r="N91" s="32">
        <v>59341.290114550524</v>
      </c>
      <c r="U91"/>
    </row>
    <row r="92" spans="2:21" x14ac:dyDescent="0.2">
      <c r="B92" s="52" t="s">
        <v>61</v>
      </c>
      <c r="C92" s="54">
        <v>243658.14</v>
      </c>
      <c r="D92" s="54">
        <v>247402.60233483452</v>
      </c>
      <c r="E92" s="54">
        <v>249260.09290013724</v>
      </c>
      <c r="F92" s="54">
        <v>251243.79752476572</v>
      </c>
      <c r="G92" s="54">
        <v>249744.64906111435</v>
      </c>
      <c r="H92" s="54">
        <v>247003.43356901681</v>
      </c>
      <c r="I92" s="54">
        <v>248011.80197841703</v>
      </c>
      <c r="J92" s="54">
        <v>249147.24520053697</v>
      </c>
      <c r="K92" s="54">
        <v>242900.65007162301</v>
      </c>
      <c r="L92" s="54">
        <v>247335.20160486968</v>
      </c>
      <c r="M92" s="54">
        <v>241441.5117783531</v>
      </c>
      <c r="N92" s="54">
        <v>242824.55914874075</v>
      </c>
      <c r="U92"/>
    </row>
    <row r="93" spans="2:21" x14ac:dyDescent="0.2">
      <c r="B93" s="51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42">
        <v>2700608.3250482599</v>
      </c>
      <c r="D94" s="42">
        <v>2745209.3055672226</v>
      </c>
      <c r="E94" s="42">
        <v>2740531.9924160996</v>
      </c>
      <c r="F94" s="42">
        <v>2777723.5488294037</v>
      </c>
      <c r="G94" s="42">
        <v>2739753.9393396522</v>
      </c>
      <c r="H94" s="42">
        <v>2704124.8060509404</v>
      </c>
      <c r="I94" s="42">
        <v>2726656.1347382157</v>
      </c>
      <c r="J94" s="42">
        <v>2726956.0492563136</v>
      </c>
      <c r="K94" s="42">
        <v>2659214.0423709974</v>
      </c>
      <c r="L94" s="42">
        <v>2705250.711879822</v>
      </c>
      <c r="M94" s="42">
        <v>2635546.2767114942</v>
      </c>
      <c r="N94" s="42">
        <v>2645750.1761212149</v>
      </c>
    </row>
    <row r="95" spans="2:21" x14ac:dyDescent="0.2">
      <c r="B95" s="23" t="s">
        <v>34</v>
      </c>
      <c r="C95" s="71">
        <v>0.45354073810534218</v>
      </c>
      <c r="D95" s="71">
        <v>0.4540532869245168</v>
      </c>
      <c r="E95" s="71">
        <v>0.44990181871831059</v>
      </c>
      <c r="F95" s="71">
        <v>0.45240697974601751</v>
      </c>
      <c r="G95" s="71">
        <v>0.44890143440208108</v>
      </c>
      <c r="H95" s="71">
        <v>0.44798076473979981</v>
      </c>
      <c r="I95" s="71">
        <v>0.44987685321199944</v>
      </c>
      <c r="J95" s="71">
        <v>0.44787587936504247</v>
      </c>
      <c r="K95" s="71">
        <v>0.44798166897344827</v>
      </c>
      <c r="L95" s="71">
        <v>0.44756613054606464</v>
      </c>
      <c r="M95" s="71">
        <v>0.44667775996216874</v>
      </c>
      <c r="N95" s="71">
        <v>0.44585316076107268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5F98F-0821-424C-8C16-1B37C7035C7E}">
  <dimension ref="B2:V95"/>
  <sheetViews>
    <sheetView showGridLines="0" workbookViewId="0"/>
  </sheetViews>
  <sheetFormatPr defaultRowHeight="12.75" x14ac:dyDescent="0.2"/>
  <cols>
    <col min="1" max="1" width="5.7109375" customWidth="1"/>
    <col min="2" max="2" width="20.7109375" customWidth="1"/>
    <col min="3" max="14" width="10.7109375" customWidth="1"/>
    <col min="15" max="15" width="12.85546875" customWidth="1"/>
    <col min="16" max="16" width="10.85546875" style="39" customWidth="1"/>
    <col min="21" max="21" width="10.7109375" style="9" customWidth="1"/>
  </cols>
  <sheetData>
    <row r="2" spans="2:22" ht="21" customHeight="1" x14ac:dyDescent="0.2">
      <c r="B2" s="113" t="s">
        <v>109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5"/>
      <c r="Q2" s="114"/>
      <c r="R2" s="114"/>
      <c r="S2" s="114"/>
      <c r="T2" s="114"/>
      <c r="U2" s="116"/>
      <c r="V2" s="114"/>
    </row>
    <row r="3" spans="2:22" x14ac:dyDescent="0.2">
      <c r="B3" s="1"/>
    </row>
    <row r="4" spans="2:22" x14ac:dyDescent="0.2">
      <c r="B4" s="1" t="s">
        <v>16</v>
      </c>
      <c r="C4" s="3">
        <v>44927</v>
      </c>
      <c r="D4" s="3">
        <v>44958</v>
      </c>
      <c r="E4" s="3">
        <v>44986</v>
      </c>
      <c r="F4" s="3">
        <v>45017</v>
      </c>
      <c r="G4" s="3">
        <v>45047</v>
      </c>
      <c r="H4" s="3">
        <v>45078</v>
      </c>
      <c r="I4" s="3">
        <v>45108</v>
      </c>
      <c r="J4" s="3">
        <v>45139</v>
      </c>
      <c r="K4" s="3">
        <v>45170</v>
      </c>
      <c r="L4" s="3">
        <v>45200</v>
      </c>
      <c r="M4" s="3">
        <v>45231</v>
      </c>
      <c r="N4" s="3">
        <v>45261</v>
      </c>
      <c r="P4" s="72" t="s">
        <v>37</v>
      </c>
      <c r="Q4" s="61"/>
      <c r="U4" s="7" t="s">
        <v>7</v>
      </c>
    </row>
    <row r="5" spans="2:22" x14ac:dyDescent="0.2">
      <c r="B5" t="s">
        <v>9</v>
      </c>
      <c r="C5" s="4">
        <v>918241.81085671578</v>
      </c>
      <c r="D5" s="4">
        <v>1098822.1071652398</v>
      </c>
      <c r="E5" s="4">
        <v>1389108.8186953156</v>
      </c>
      <c r="F5" s="4">
        <v>1060457.1162919106</v>
      </c>
      <c r="G5" s="4">
        <v>1080187.977512805</v>
      </c>
      <c r="H5" s="4">
        <v>1449758.253748731</v>
      </c>
      <c r="I5" s="4">
        <v>1270033.6214879407</v>
      </c>
      <c r="J5" s="4">
        <v>1137642.609668985</v>
      </c>
      <c r="K5" s="4">
        <v>1505986.0966062024</v>
      </c>
      <c r="L5" s="4">
        <v>825220.26826456212</v>
      </c>
      <c r="M5" s="4">
        <v>1232003.1532279779</v>
      </c>
      <c r="N5" s="4">
        <v>1753899.7673868714</v>
      </c>
      <c r="P5" s="75">
        <v>0.09</v>
      </c>
      <c r="Q5" t="s">
        <v>35</v>
      </c>
      <c r="U5" s="8">
        <v>44928</v>
      </c>
    </row>
    <row r="6" spans="2:22" s="12" customFormat="1" x14ac:dyDescent="0.2">
      <c r="B6" s="10" t="s">
        <v>10</v>
      </c>
      <c r="C6" s="11">
        <v>622514.35130164481</v>
      </c>
      <c r="D6" s="11">
        <v>935097.23442405579</v>
      </c>
      <c r="E6" s="11">
        <v>1179236.180272124</v>
      </c>
      <c r="F6" s="11">
        <v>777579.95049804996</v>
      </c>
      <c r="G6" s="11">
        <v>753453.09429011669</v>
      </c>
      <c r="H6" s="11">
        <v>1159929.2819288557</v>
      </c>
      <c r="I6" s="11">
        <v>1011896.7065513673</v>
      </c>
      <c r="J6" s="11">
        <v>874189.60777134181</v>
      </c>
      <c r="K6" s="11">
        <v>1000548.9055383139</v>
      </c>
      <c r="L6" s="11">
        <v>766538.84680967382</v>
      </c>
      <c r="M6" s="11">
        <v>1069760.2684737833</v>
      </c>
      <c r="N6" s="11">
        <v>1248360.343877424</v>
      </c>
      <c r="P6" s="75">
        <v>0.13</v>
      </c>
      <c r="Q6" t="s">
        <v>36</v>
      </c>
      <c r="R6"/>
      <c r="S6"/>
      <c r="T6"/>
      <c r="U6" s="8">
        <v>44942</v>
      </c>
    </row>
    <row r="7" spans="2:22" s="12" customFormat="1" x14ac:dyDescent="0.2">
      <c r="B7" s="10" t="s">
        <v>11</v>
      </c>
      <c r="C7" s="11">
        <v>295727.45955507096</v>
      </c>
      <c r="D7" s="11">
        <v>163724.87274118402</v>
      </c>
      <c r="E7" s="11">
        <v>209872.6384231917</v>
      </c>
      <c r="F7" s="11">
        <v>282877.16579386062</v>
      </c>
      <c r="G7" s="11">
        <v>326734.8832226884</v>
      </c>
      <c r="H7" s="11">
        <v>289828.97181987535</v>
      </c>
      <c r="I7" s="11">
        <v>258136.91493657327</v>
      </c>
      <c r="J7" s="11">
        <v>263453.00189764332</v>
      </c>
      <c r="K7" s="11">
        <v>505437.1910678884</v>
      </c>
      <c r="L7" s="11">
        <v>58681.421454888339</v>
      </c>
      <c r="M7" s="11">
        <v>162242.88475419473</v>
      </c>
      <c r="N7" s="11">
        <v>505539.42350944749</v>
      </c>
      <c r="P7" s="75">
        <v>1.2500000000000001E-2</v>
      </c>
      <c r="Q7" t="s">
        <v>27</v>
      </c>
      <c r="U7" s="8">
        <v>44977</v>
      </c>
    </row>
    <row r="8" spans="2:22" x14ac:dyDescent="0.2">
      <c r="B8" t="s">
        <v>12</v>
      </c>
      <c r="C8" s="4">
        <v>721374.25132581848</v>
      </c>
      <c r="D8" s="4">
        <v>595242.65474325209</v>
      </c>
      <c r="E8" s="4">
        <v>1249710.3438458135</v>
      </c>
      <c r="F8" s="4">
        <v>708675.28488725773</v>
      </c>
      <c r="G8" s="4">
        <v>903837.01582346321</v>
      </c>
      <c r="H8" s="4">
        <v>1378195.5446574034</v>
      </c>
      <c r="I8" s="4">
        <v>1037250.3520580088</v>
      </c>
      <c r="J8" s="4">
        <v>767663.40366682317</v>
      </c>
      <c r="K8" s="4">
        <v>1064955.3437205083</v>
      </c>
      <c r="L8" s="4">
        <v>978466.69816156151</v>
      </c>
      <c r="M8" s="4">
        <v>1432889.9008914893</v>
      </c>
      <c r="N8" s="4">
        <v>944729.99244707869</v>
      </c>
      <c r="P8" s="76"/>
      <c r="Q8" s="44" t="s">
        <v>38</v>
      </c>
      <c r="R8" s="12"/>
      <c r="S8" s="12"/>
      <c r="T8" s="12"/>
      <c r="U8" s="8">
        <v>45026</v>
      </c>
    </row>
    <row r="9" spans="2:22" s="12" customFormat="1" x14ac:dyDescent="0.2">
      <c r="B9" s="10" t="s">
        <v>10</v>
      </c>
      <c r="C9" s="11">
        <v>280387.13024097512</v>
      </c>
      <c r="D9" s="11">
        <v>371671.55899892846</v>
      </c>
      <c r="E9" s="11">
        <v>506998.66365879396</v>
      </c>
      <c r="F9" s="11">
        <v>513002.39174325723</v>
      </c>
      <c r="G9" s="11">
        <v>588858.86338006426</v>
      </c>
      <c r="H9" s="11">
        <v>1062092.8353568551</v>
      </c>
      <c r="I9" s="11">
        <v>792710.35184878763</v>
      </c>
      <c r="J9" s="11">
        <v>683730.56914685224</v>
      </c>
      <c r="K9" s="11">
        <v>798742.06590077106</v>
      </c>
      <c r="L9" s="11">
        <v>699678.83003006235</v>
      </c>
      <c r="M9" s="11">
        <v>1139585.0260586068</v>
      </c>
      <c r="N9" s="11">
        <v>650505.02564016473</v>
      </c>
      <c r="P9" s="39"/>
      <c r="Q9"/>
      <c r="R9"/>
      <c r="S9"/>
      <c r="T9"/>
      <c r="U9" s="8">
        <v>45075</v>
      </c>
    </row>
    <row r="10" spans="2:22" s="12" customFormat="1" x14ac:dyDescent="0.2">
      <c r="B10" s="10" t="s">
        <v>11</v>
      </c>
      <c r="C10" s="11">
        <v>440987.1210848433</v>
      </c>
      <c r="D10" s="11">
        <v>223571.0957443236</v>
      </c>
      <c r="E10" s="11">
        <v>742711.68018701964</v>
      </c>
      <c r="F10" s="11">
        <v>195672.89314400047</v>
      </c>
      <c r="G10" s="11">
        <v>314978.1524433989</v>
      </c>
      <c r="H10" s="11">
        <v>316102.7093005483</v>
      </c>
      <c r="I10" s="11">
        <v>244540.00020922109</v>
      </c>
      <c r="J10" s="11">
        <v>83932.834519970944</v>
      </c>
      <c r="K10" s="11">
        <v>266213.27781973733</v>
      </c>
      <c r="L10" s="11">
        <v>278787.8681314991</v>
      </c>
      <c r="M10" s="11">
        <v>293304.87483288266</v>
      </c>
      <c r="N10" s="11">
        <v>294224.96680691402</v>
      </c>
      <c r="P10" s="74">
        <v>36.5625</v>
      </c>
      <c r="Q10" t="s">
        <v>31</v>
      </c>
      <c r="U10" s="8">
        <v>45096</v>
      </c>
    </row>
    <row r="11" spans="2:22" x14ac:dyDescent="0.2">
      <c r="B11" s="15" t="s">
        <v>13</v>
      </c>
      <c r="C11" s="14">
        <v>198666.7339566247</v>
      </c>
      <c r="D11" s="14">
        <v>335025.21674858825</v>
      </c>
      <c r="E11" s="14">
        <v>544202.91708709358</v>
      </c>
      <c r="F11" s="14">
        <v>191992.52524787508</v>
      </c>
      <c r="G11" s="14">
        <v>275618.66244316887</v>
      </c>
      <c r="H11" s="14">
        <v>502574.68270423537</v>
      </c>
      <c r="I11" s="14">
        <v>521998.84660045261</v>
      </c>
      <c r="J11" s="14">
        <v>551237.32488633774</v>
      </c>
      <c r="K11" s="14">
        <v>705812.77652360452</v>
      </c>
      <c r="L11" s="14">
        <v>533039.95028882893</v>
      </c>
      <c r="M11" s="14">
        <v>230840.85304030988</v>
      </c>
      <c r="N11" s="14">
        <v>401875.72776858194</v>
      </c>
      <c r="P11" s="74">
        <v>51.1875</v>
      </c>
      <c r="Q11" t="s">
        <v>30</v>
      </c>
      <c r="R11" s="12"/>
      <c r="S11" s="12"/>
      <c r="T11" s="12"/>
      <c r="U11" s="8">
        <v>45110</v>
      </c>
    </row>
    <row r="12" spans="2:22" x14ac:dyDescent="0.2">
      <c r="B12" s="1" t="s">
        <v>14</v>
      </c>
      <c r="C12" s="13">
        <v>1838282.796139159</v>
      </c>
      <c r="D12" s="13">
        <v>2029089.9786570801</v>
      </c>
      <c r="E12" s="13">
        <v>3183022.0796282226</v>
      </c>
      <c r="F12" s="13">
        <v>1961124.9264270435</v>
      </c>
      <c r="G12" s="13">
        <v>2259643.6557794372</v>
      </c>
      <c r="H12" s="13">
        <v>3330528.4811103698</v>
      </c>
      <c r="I12" s="13">
        <v>2829282.8201464019</v>
      </c>
      <c r="J12" s="13">
        <v>2456543.338222146</v>
      </c>
      <c r="K12" s="13">
        <v>3276754.2168503152</v>
      </c>
      <c r="L12" s="13">
        <v>2336726.9167149523</v>
      </c>
      <c r="M12" s="13">
        <v>2895733.9071597774</v>
      </c>
      <c r="N12" s="13">
        <v>3100505.4876025319</v>
      </c>
      <c r="P12" s="75">
        <v>4.1666666666666664E-2</v>
      </c>
      <c r="Q12" t="s">
        <v>32</v>
      </c>
      <c r="U12" s="8">
        <v>45111</v>
      </c>
    </row>
    <row r="13" spans="2:22" x14ac:dyDescent="0.2">
      <c r="P13" s="76"/>
      <c r="Q13" s="44" t="s">
        <v>39</v>
      </c>
      <c r="U13" s="8">
        <v>45149</v>
      </c>
    </row>
    <row r="14" spans="2:22" x14ac:dyDescent="0.2">
      <c r="B14" s="1" t="s">
        <v>15</v>
      </c>
      <c r="U14" s="8">
        <v>45173</v>
      </c>
    </row>
    <row r="15" spans="2:22" x14ac:dyDescent="0.2">
      <c r="B15" s="16" t="s">
        <v>9</v>
      </c>
      <c r="C15" s="6">
        <v>6.7393931455971043E-2</v>
      </c>
      <c r="D15" s="6">
        <v>0.14484668328968767</v>
      </c>
      <c r="E15" s="6">
        <v>0.11567215284129743</v>
      </c>
      <c r="F15" s="6">
        <v>0.1462793629016185</v>
      </c>
      <c r="G15" s="6">
        <v>0.11740251602634331</v>
      </c>
      <c r="H15" s="6">
        <v>0.20384898186803421</v>
      </c>
      <c r="I15" s="6">
        <v>0.12675550059165933</v>
      </c>
      <c r="J15" s="6">
        <v>0.17077228679600875</v>
      </c>
      <c r="K15" s="6">
        <v>0.19781124572277028</v>
      </c>
      <c r="L15" s="6">
        <v>0.33258751868872005</v>
      </c>
      <c r="M15" s="6">
        <v>0.17732830917255957</v>
      </c>
      <c r="N15" s="6">
        <v>0.20561240301531233</v>
      </c>
      <c r="P15" s="75">
        <v>0.9</v>
      </c>
      <c r="Q15" s="9" t="s">
        <v>78</v>
      </c>
      <c r="U15" s="8">
        <v>45208</v>
      </c>
    </row>
    <row r="16" spans="2:22" x14ac:dyDescent="0.2">
      <c r="B16" s="17" t="s">
        <v>10</v>
      </c>
      <c r="C16" s="21">
        <v>8.269779157262673E-2</v>
      </c>
      <c r="D16" s="21">
        <v>0.14520413222718045</v>
      </c>
      <c r="E16" s="21">
        <v>0.13561154879632886</v>
      </c>
      <c r="F16" s="21">
        <v>0.17832635139258812</v>
      </c>
      <c r="G16" s="21">
        <v>0.13885500252245264</v>
      </c>
      <c r="H16" s="21">
        <v>0.18952940132167459</v>
      </c>
      <c r="I16" s="21">
        <v>0.13185705933438946</v>
      </c>
      <c r="J16" s="21">
        <v>0.17459490622063628</v>
      </c>
      <c r="K16" s="21">
        <v>0.25025408643068464</v>
      </c>
      <c r="L16" s="21">
        <v>0.25312276989029103</v>
      </c>
      <c r="M16" s="21">
        <v>0.17053504999123692</v>
      </c>
      <c r="N16" s="21">
        <v>0.23583693040225787</v>
      </c>
      <c r="P16" s="75">
        <v>8.3333333333333329E-2</v>
      </c>
      <c r="Q16" t="s">
        <v>79</v>
      </c>
      <c r="U16" s="8">
        <v>45253</v>
      </c>
    </row>
    <row r="17" spans="2:21" x14ac:dyDescent="0.2">
      <c r="B17" s="17" t="s">
        <v>11</v>
      </c>
      <c r="C17" s="21">
        <v>3.5178889378835419E-2</v>
      </c>
      <c r="D17" s="21">
        <v>0.14280515161950749</v>
      </c>
      <c r="E17" s="21">
        <v>4.5604790246004716E-2</v>
      </c>
      <c r="F17" s="21">
        <v>5.8187785575158441E-2</v>
      </c>
      <c r="G17" s="21">
        <v>6.7932921071297683E-2</v>
      </c>
      <c r="H17" s="21">
        <v>0.26115761004404708</v>
      </c>
      <c r="I17" s="21">
        <v>0.10675739032015726</v>
      </c>
      <c r="J17" s="21">
        <v>0.15808807309791401</v>
      </c>
      <c r="K17" s="21">
        <v>9.3996908746969907E-2</v>
      </c>
      <c r="L17" s="21">
        <v>1.3706131049093142</v>
      </c>
      <c r="M17" s="21">
        <v>0.22212015799005139</v>
      </c>
      <c r="N17" s="21">
        <v>0.13097707360742727</v>
      </c>
      <c r="U17" s="8">
        <v>45254</v>
      </c>
    </row>
    <row r="18" spans="2:21" x14ac:dyDescent="0.2">
      <c r="B18" s="16" t="s">
        <v>12</v>
      </c>
      <c r="C18" s="6">
        <v>0.17841142091049092</v>
      </c>
      <c r="D18" s="6">
        <v>0.16576614011777902</v>
      </c>
      <c r="E18" s="6">
        <v>8.7735600019642646E-2</v>
      </c>
      <c r="F18" s="6">
        <v>0.19496123355955849</v>
      </c>
      <c r="G18" s="6">
        <v>0.12927223517600184</v>
      </c>
      <c r="H18" s="6">
        <v>0.12033628224965125</v>
      </c>
      <c r="I18" s="6">
        <v>0.12118049769423624</v>
      </c>
      <c r="J18" s="6">
        <v>9.4538332549951906E-2</v>
      </c>
      <c r="K18" s="6">
        <v>0.16041499448777996</v>
      </c>
      <c r="L18" s="6">
        <v>0.11049149223598738</v>
      </c>
      <c r="M18" s="6">
        <v>9.8512058859721238E-2</v>
      </c>
      <c r="N18" s="6">
        <v>0.16380225226010331</v>
      </c>
      <c r="P18" s="75">
        <v>0.45</v>
      </c>
      <c r="Q18" s="58" t="s">
        <v>70</v>
      </c>
      <c r="U18" s="8">
        <v>45285</v>
      </c>
    </row>
    <row r="19" spans="2:21" x14ac:dyDescent="0.2">
      <c r="B19" s="17" t="s">
        <v>10</v>
      </c>
      <c r="C19" s="21">
        <v>0.25513485939404251</v>
      </c>
      <c r="D19" s="21">
        <v>0.13216248357945287</v>
      </c>
      <c r="E19" s="21">
        <v>0.1076882767868082</v>
      </c>
      <c r="F19" s="21">
        <v>0.15435124114687773</v>
      </c>
      <c r="G19" s="21">
        <v>0.11540937166472348</v>
      </c>
      <c r="H19" s="21">
        <v>9.0990282613901921E-2</v>
      </c>
      <c r="I19" s="21">
        <v>0.10240525647455437</v>
      </c>
      <c r="J19" s="21">
        <v>4.614145810641769E-2</v>
      </c>
      <c r="K19" s="21">
        <v>0.1553360702956525</v>
      </c>
      <c r="L19" s="21">
        <v>0.10728859254871663</v>
      </c>
      <c r="M19" s="21">
        <v>9.4760413813254091E-2</v>
      </c>
      <c r="N19" s="21">
        <v>0.16792263506510405</v>
      </c>
      <c r="P19" s="75">
        <v>0.4</v>
      </c>
      <c r="Q19" s="58" t="s">
        <v>71</v>
      </c>
    </row>
    <row r="20" spans="2:21" x14ac:dyDescent="0.2">
      <c r="B20" s="17" t="s">
        <v>11</v>
      </c>
      <c r="C20" s="21">
        <v>0.12962935061850114</v>
      </c>
      <c r="D20" s="21">
        <v>0.22162990628166296</v>
      </c>
      <c r="E20" s="21">
        <v>7.1151099980620497E-2</v>
      </c>
      <c r="F20" s="21">
        <v>0.30142985525591814</v>
      </c>
      <c r="G20" s="21">
        <v>0.15518917572289023</v>
      </c>
      <c r="H20" s="21">
        <v>0.21893770211245839</v>
      </c>
      <c r="I20" s="21">
        <v>0.18204304803596411</v>
      </c>
      <c r="J20" s="21">
        <v>0.48878717089143386</v>
      </c>
      <c r="K20" s="21">
        <v>0.17565371749587982</v>
      </c>
      <c r="L20" s="21">
        <v>0.11852986607525422</v>
      </c>
      <c r="M20" s="21">
        <v>0.11308842251708248</v>
      </c>
      <c r="N20" s="21">
        <v>0.15469245525238268</v>
      </c>
      <c r="P20" s="75">
        <v>0.1</v>
      </c>
      <c r="Q20" s="58" t="s">
        <v>72</v>
      </c>
    </row>
    <row r="21" spans="2:21" x14ac:dyDescent="0.2">
      <c r="B21" s="19" t="s">
        <v>13</v>
      </c>
      <c r="C21" s="22">
        <v>0.15169917201438265</v>
      </c>
      <c r="D21" s="22">
        <v>3.1052479234059648E-2</v>
      </c>
      <c r="E21" s="22">
        <v>0.13756140402794095</v>
      </c>
      <c r="F21" s="22">
        <v>0.19289808628569899</v>
      </c>
      <c r="G21" s="22">
        <v>0.29362421360352814</v>
      </c>
      <c r="H21" s="22">
        <v>0.20370342944125933</v>
      </c>
      <c r="I21" s="22">
        <v>6.3543024716316024E-2</v>
      </c>
      <c r="J21" s="22">
        <v>0.11695201728276121</v>
      </c>
      <c r="K21" s="22">
        <v>0.10441280328015808</v>
      </c>
      <c r="L21" s="22">
        <v>0.1948682263338565</v>
      </c>
      <c r="M21" s="22">
        <v>0.23822191395150702</v>
      </c>
      <c r="N21" s="22">
        <v>0.15173049442597039</v>
      </c>
      <c r="P21" s="75">
        <v>0.05</v>
      </c>
      <c r="Q21" s="58" t="s">
        <v>73</v>
      </c>
    </row>
    <row r="22" spans="2:21" x14ac:dyDescent="0.2">
      <c r="B22" s="18" t="s">
        <v>14</v>
      </c>
      <c r="C22" s="20">
        <v>9.9549306149495281E-2</v>
      </c>
      <c r="D22" s="20">
        <v>0.10960177195157539</v>
      </c>
      <c r="E22" s="20">
        <v>8.7049858779637571E-2</v>
      </c>
      <c r="F22" s="20">
        <v>0.13964829458312192</v>
      </c>
      <c r="G22" s="20">
        <v>0.11909489594017039</v>
      </c>
      <c r="H22" s="20">
        <v>0.1403396189289258</v>
      </c>
      <c r="I22" s="20">
        <v>9.3728128359109347E-2</v>
      </c>
      <c r="J22" s="20">
        <v>0.11182169263736468</v>
      </c>
      <c r="K22" s="20">
        <v>0.13724746376650401</v>
      </c>
      <c r="L22" s="20">
        <v>0.17259448997409876</v>
      </c>
      <c r="M22" s="20">
        <v>0.11871126583876601</v>
      </c>
      <c r="N22" s="20">
        <v>0.15411906819048526</v>
      </c>
    </row>
    <row r="23" spans="2:21" x14ac:dyDescent="0.2">
      <c r="P23" s="75">
        <v>0.04</v>
      </c>
      <c r="Q23" s="58" t="s">
        <v>44</v>
      </c>
    </row>
    <row r="24" spans="2:21" x14ac:dyDescent="0.2">
      <c r="B24" s="1" t="s">
        <v>17</v>
      </c>
      <c r="P24" s="75">
        <v>2.1000000000000001E-2</v>
      </c>
      <c r="Q24" t="s">
        <v>45</v>
      </c>
    </row>
    <row r="25" spans="2:21" x14ac:dyDescent="0.2">
      <c r="B25" t="s">
        <v>9</v>
      </c>
      <c r="C25" s="4">
        <v>61883.925660884226</v>
      </c>
      <c r="D25" s="4">
        <v>159160.73774827071</v>
      </c>
      <c r="E25" s="4">
        <v>169489.24245703485</v>
      </c>
      <c r="F25" s="4">
        <v>155122.99135566823</v>
      </c>
      <c r="G25" s="4">
        <v>126816.78634141046</v>
      </c>
      <c r="H25" s="4">
        <v>295531.74398145801</v>
      </c>
      <c r="I25" s="4">
        <v>160983.74745994189</v>
      </c>
      <c r="J25" s="4">
        <v>194277.83000975178</v>
      </c>
      <c r="K25" s="4">
        <v>297900.98581084522</v>
      </c>
      <c r="L25" s="4">
        <v>274457.96139375068</v>
      </c>
      <c r="M25" s="4">
        <v>218469.0360571791</v>
      </c>
      <c r="N25" s="4">
        <v>360623.54582041199</v>
      </c>
      <c r="P25" s="75">
        <v>2.1999999999999999E-2</v>
      </c>
      <c r="Q25" t="s">
        <v>74</v>
      </c>
    </row>
    <row r="26" spans="2:21" x14ac:dyDescent="0.2">
      <c r="B26" s="10" t="s">
        <v>10</v>
      </c>
      <c r="C26" s="11">
        <v>51480.562074912355</v>
      </c>
      <c r="D26" s="11">
        <v>135779.98247258135</v>
      </c>
      <c r="E26" s="11">
        <v>159918.04480336962</v>
      </c>
      <c r="F26" s="11">
        <v>138662.99548834653</v>
      </c>
      <c r="G26" s="11">
        <v>104620.7313082039</v>
      </c>
      <c r="H26" s="11">
        <v>219840.70237945591</v>
      </c>
      <c r="I26" s="11">
        <v>133425.72407601692</v>
      </c>
      <c r="J26" s="11">
        <v>152629.05258789225</v>
      </c>
      <c r="K26" s="11">
        <v>250391.45228471214</v>
      </c>
      <c r="L26" s="11">
        <v>194028.43613297411</v>
      </c>
      <c r="M26" s="11">
        <v>182431.62086281565</v>
      </c>
      <c r="N26" s="11">
        <v>294409.47153595876</v>
      </c>
      <c r="P26" s="75">
        <v>2.3E-2</v>
      </c>
      <c r="Q26" t="s">
        <v>75</v>
      </c>
    </row>
    <row r="27" spans="2:21" x14ac:dyDescent="0.2">
      <c r="B27" s="10" t="s">
        <v>11</v>
      </c>
      <c r="C27" s="11">
        <v>10403.363585971867</v>
      </c>
      <c r="D27" s="11">
        <v>23380.755275689353</v>
      </c>
      <c r="E27" s="11">
        <v>9571.1976536652473</v>
      </c>
      <c r="F27" s="11">
        <v>16459.995867321704</v>
      </c>
      <c r="G27" s="11">
        <v>22196.055033206558</v>
      </c>
      <c r="H27" s="11">
        <v>75691.041602002122</v>
      </c>
      <c r="I27" s="11">
        <v>27558.023383924985</v>
      </c>
      <c r="J27" s="11">
        <v>41648.777421859515</v>
      </c>
      <c r="K27" s="11">
        <v>47509.533526133098</v>
      </c>
      <c r="L27" s="11">
        <v>80429.525260776558</v>
      </c>
      <c r="M27" s="11">
        <v>36037.415194363435</v>
      </c>
      <c r="N27" s="11">
        <v>66214.074284453251</v>
      </c>
    </row>
    <row r="28" spans="2:21" x14ac:dyDescent="0.2">
      <c r="B28" t="s">
        <v>12</v>
      </c>
      <c r="C28" s="4">
        <v>128701.40518728085</v>
      </c>
      <c r="D28" s="4">
        <v>98671.077310248656</v>
      </c>
      <c r="E28" s="4">
        <v>107442.56543639135</v>
      </c>
      <c r="F28" s="4">
        <v>138164.20773479133</v>
      </c>
      <c r="G28" s="4">
        <v>116841.03127030641</v>
      </c>
      <c r="H28" s="4">
        <v>165846.92805710511</v>
      </c>
      <c r="I28" s="4">
        <v>125694.51389591125</v>
      </c>
      <c r="J28" s="4">
        <v>72573.618142282081</v>
      </c>
      <c r="K28" s="4">
        <v>170834.80559265718</v>
      </c>
      <c r="L28" s="4">
        <v>108112.24558309035</v>
      </c>
      <c r="M28" s="4">
        <v>141156.93425612256</v>
      </c>
      <c r="N28" s="4">
        <v>154748.90054050187</v>
      </c>
      <c r="P28" s="75">
        <v>0.15</v>
      </c>
      <c r="Q28" t="s">
        <v>47</v>
      </c>
    </row>
    <row r="29" spans="2:21" x14ac:dyDescent="0.2">
      <c r="B29" s="10" t="s">
        <v>10</v>
      </c>
      <c r="C29" s="11">
        <v>71536.531049930272</v>
      </c>
      <c r="D29" s="11">
        <v>49121.036313145531</v>
      </c>
      <c r="E29" s="11">
        <v>54597.812422630079</v>
      </c>
      <c r="F29" s="11">
        <v>79182.555876888538</v>
      </c>
      <c r="G29" s="11">
        <v>67959.831421896466</v>
      </c>
      <c r="H29" s="11">
        <v>96640.12725132065</v>
      </c>
      <c r="I29" s="11">
        <v>81177.706891109337</v>
      </c>
      <c r="J29" s="11">
        <v>31548.325412366608</v>
      </c>
      <c r="K29" s="11">
        <v>124073.45369685687</v>
      </c>
      <c r="L29" s="11">
        <v>75067.55691005812</v>
      </c>
      <c r="M29" s="11">
        <v>107987.54864470153</v>
      </c>
      <c r="N29" s="11">
        <v>109234.51802858953</v>
      </c>
      <c r="P29" s="75">
        <v>0.08</v>
      </c>
      <c r="Q29" t="s">
        <v>48</v>
      </c>
    </row>
    <row r="30" spans="2:21" x14ac:dyDescent="0.2">
      <c r="B30" s="10" t="s">
        <v>11</v>
      </c>
      <c r="C30" s="11">
        <v>57164.874137350569</v>
      </c>
      <c r="D30" s="11">
        <v>49550.040997103133</v>
      </c>
      <c r="E30" s="11">
        <v>52844.75301376127</v>
      </c>
      <c r="F30" s="11">
        <v>58981.651857902798</v>
      </c>
      <c r="G30" s="11">
        <v>48881.199848409939</v>
      </c>
      <c r="H30" s="11">
        <v>69206.800805784471</v>
      </c>
      <c r="I30" s="11">
        <v>44516.807004801907</v>
      </c>
      <c r="J30" s="11">
        <v>41025.292729915476</v>
      </c>
      <c r="K30" s="11">
        <v>46761.351895800311</v>
      </c>
      <c r="L30" s="11">
        <v>33044.688673032222</v>
      </c>
      <c r="M30" s="11">
        <v>33169.385611421028</v>
      </c>
      <c r="N30" s="11">
        <v>45514.382511912328</v>
      </c>
      <c r="P30" s="75">
        <v>0.03</v>
      </c>
      <c r="Q30" t="s">
        <v>49</v>
      </c>
    </row>
    <row r="31" spans="2:21" x14ac:dyDescent="0.2">
      <c r="B31" s="15" t="s">
        <v>13</v>
      </c>
      <c r="C31" s="14">
        <v>30137.579048021606</v>
      </c>
      <c r="D31" s="14">
        <v>10403.363585971869</v>
      </c>
      <c r="E31" s="14">
        <v>74861.317350601734</v>
      </c>
      <c r="F31" s="14">
        <v>37034.990701473849</v>
      </c>
      <c r="G31" s="14">
        <v>80928.313014331739</v>
      </c>
      <c r="H31" s="14">
        <v>102376.18641720551</v>
      </c>
      <c r="I31" s="14">
        <v>33169.385611421014</v>
      </c>
      <c r="J31" s="14">
        <v>64468.317147010028</v>
      </c>
      <c r="K31" s="14">
        <v>73695.890587781294</v>
      </c>
      <c r="L31" s="14">
        <v>103872.54967787114</v>
      </c>
      <c r="M31" s="14">
        <v>54991.349829461178</v>
      </c>
      <c r="N31" s="14">
        <v>60976.802872123619</v>
      </c>
      <c r="P31" s="75">
        <v>0.01</v>
      </c>
      <c r="Q31" t="s">
        <v>50</v>
      </c>
    </row>
    <row r="32" spans="2:21" x14ac:dyDescent="0.2">
      <c r="B32" s="1" t="s">
        <v>14</v>
      </c>
      <c r="C32" s="13">
        <v>220722.9098961867</v>
      </c>
      <c r="D32" s="13">
        <v>268235.17864449124</v>
      </c>
      <c r="E32" s="13">
        <v>351793.12524402793</v>
      </c>
      <c r="F32" s="13">
        <v>330322.1897919334</v>
      </c>
      <c r="G32" s="13">
        <v>324586.1306260486</v>
      </c>
      <c r="H32" s="13">
        <v>563754.85845576867</v>
      </c>
      <c r="I32" s="13">
        <v>319847.6469672742</v>
      </c>
      <c r="J32" s="13">
        <v>331319.76529904385</v>
      </c>
      <c r="K32" s="13">
        <v>542431.68199128367</v>
      </c>
      <c r="L32" s="13">
        <v>486442.75665471214</v>
      </c>
      <c r="M32" s="13">
        <v>414617.32014276285</v>
      </c>
      <c r="N32" s="13">
        <v>576349.24923303747</v>
      </c>
    </row>
    <row r="33" spans="2:17" x14ac:dyDescent="0.2">
      <c r="P33" s="77">
        <v>1E-4</v>
      </c>
      <c r="Q33" t="s">
        <v>52</v>
      </c>
    </row>
    <row r="34" spans="2:17" x14ac:dyDescent="0.2">
      <c r="B34" t="s">
        <v>8</v>
      </c>
      <c r="C34" s="2">
        <v>168</v>
      </c>
      <c r="D34" s="2">
        <v>160</v>
      </c>
      <c r="E34" s="2">
        <v>184</v>
      </c>
      <c r="F34" s="2">
        <v>160</v>
      </c>
      <c r="G34" s="2">
        <v>184</v>
      </c>
      <c r="H34" s="2">
        <v>168</v>
      </c>
      <c r="I34" s="2">
        <v>160</v>
      </c>
      <c r="J34" s="2">
        <v>184</v>
      </c>
      <c r="K34" s="2">
        <v>160</v>
      </c>
      <c r="L34" s="2">
        <v>176</v>
      </c>
      <c r="M34" s="2">
        <v>168</v>
      </c>
      <c r="N34" s="2">
        <v>168</v>
      </c>
      <c r="P34" s="77">
        <v>1.7000000000000001E-4</v>
      </c>
      <c r="Q34" t="s">
        <v>53</v>
      </c>
    </row>
    <row r="35" spans="2:17" x14ac:dyDescent="0.2">
      <c r="B35" s="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P35" s="77">
        <v>5.0000000000000002E-5</v>
      </c>
      <c r="Q35" t="s">
        <v>54</v>
      </c>
    </row>
    <row r="36" spans="2:17" x14ac:dyDescent="0.2">
      <c r="B36" t="s">
        <v>0</v>
      </c>
      <c r="C36" s="2">
        <v>16</v>
      </c>
      <c r="D36" s="2">
        <v>16</v>
      </c>
      <c r="E36" s="2">
        <v>16</v>
      </c>
      <c r="F36" s="2">
        <v>17</v>
      </c>
      <c r="G36" s="2">
        <v>18</v>
      </c>
      <c r="H36" s="2">
        <v>18</v>
      </c>
      <c r="I36" s="2">
        <v>18</v>
      </c>
      <c r="J36" s="2">
        <v>19</v>
      </c>
      <c r="K36" s="2">
        <v>19</v>
      </c>
      <c r="L36" s="2">
        <v>19</v>
      </c>
      <c r="M36" s="2">
        <v>19</v>
      </c>
      <c r="N36" s="2">
        <v>20</v>
      </c>
      <c r="P36" s="77">
        <v>2.5000000000000001E-3</v>
      </c>
      <c r="Q36" t="s">
        <v>55</v>
      </c>
    </row>
    <row r="37" spans="2:17" x14ac:dyDescent="0.2">
      <c r="B37" t="s">
        <v>1</v>
      </c>
      <c r="C37" s="5">
        <v>225</v>
      </c>
      <c r="D37" s="5">
        <v>225</v>
      </c>
      <c r="E37" s="5">
        <v>225</v>
      </c>
      <c r="F37" s="5">
        <v>235</v>
      </c>
      <c r="G37" s="5">
        <v>235</v>
      </c>
      <c r="H37" s="5">
        <v>235</v>
      </c>
      <c r="I37" s="5">
        <v>235</v>
      </c>
      <c r="J37" s="5">
        <v>235</v>
      </c>
      <c r="K37" s="5">
        <v>235</v>
      </c>
      <c r="L37" s="5">
        <v>235</v>
      </c>
      <c r="M37" s="5">
        <v>235</v>
      </c>
      <c r="N37" s="5">
        <v>235</v>
      </c>
      <c r="P37" s="77">
        <v>5.0000000000000001E-3</v>
      </c>
      <c r="Q37" t="s">
        <v>56</v>
      </c>
    </row>
    <row r="38" spans="2:17" x14ac:dyDescent="0.2">
      <c r="B38" t="s">
        <v>2</v>
      </c>
      <c r="C38" s="2">
        <v>128</v>
      </c>
      <c r="D38" s="2">
        <v>128</v>
      </c>
      <c r="E38" s="2">
        <v>128</v>
      </c>
      <c r="F38" s="2">
        <v>136</v>
      </c>
      <c r="G38" s="2">
        <v>144</v>
      </c>
      <c r="H38" s="2">
        <v>144</v>
      </c>
      <c r="I38" s="2">
        <v>144</v>
      </c>
      <c r="J38" s="2">
        <v>152</v>
      </c>
      <c r="K38" s="2">
        <v>152</v>
      </c>
      <c r="L38" s="2">
        <v>152</v>
      </c>
      <c r="M38" s="2">
        <v>152</v>
      </c>
      <c r="N38" s="2">
        <v>160</v>
      </c>
      <c r="P38" s="77">
        <v>5.0000000000000002E-5</v>
      </c>
      <c r="Q38" t="s">
        <v>57</v>
      </c>
    </row>
    <row r="39" spans="2:17" x14ac:dyDescent="0.2">
      <c r="B39" t="s">
        <v>3</v>
      </c>
      <c r="C39" s="6">
        <v>0.75</v>
      </c>
      <c r="D39" s="6">
        <v>0.75</v>
      </c>
      <c r="E39" s="6">
        <v>0.75</v>
      </c>
      <c r="F39" s="6">
        <v>0.75</v>
      </c>
      <c r="G39" s="6">
        <v>0.75</v>
      </c>
      <c r="H39" s="6">
        <v>0.75</v>
      </c>
      <c r="I39" s="6">
        <v>0.75</v>
      </c>
      <c r="J39" s="6">
        <v>0.75</v>
      </c>
      <c r="K39" s="6">
        <v>0.75</v>
      </c>
      <c r="L39" s="6">
        <v>0.75</v>
      </c>
      <c r="M39" s="6">
        <v>0.75</v>
      </c>
      <c r="N39" s="6">
        <v>0.75</v>
      </c>
      <c r="P39" s="77">
        <v>5.4999999999999997E-3</v>
      </c>
      <c r="Q39" t="s">
        <v>58</v>
      </c>
    </row>
    <row r="40" spans="2:17" x14ac:dyDescent="0.2">
      <c r="B40" s="41" t="s">
        <v>6</v>
      </c>
      <c r="C40" s="22">
        <v>0.625</v>
      </c>
      <c r="D40" s="22">
        <v>0.625</v>
      </c>
      <c r="E40" s="22">
        <v>0.625</v>
      </c>
      <c r="F40" s="22">
        <v>0.625</v>
      </c>
      <c r="G40" s="22">
        <v>0.625</v>
      </c>
      <c r="H40" s="22">
        <v>0.625</v>
      </c>
      <c r="I40" s="22">
        <v>0.625</v>
      </c>
      <c r="J40" s="22">
        <v>0.625</v>
      </c>
      <c r="K40" s="22">
        <v>0.625</v>
      </c>
      <c r="L40" s="22">
        <v>0.625</v>
      </c>
      <c r="M40" s="22">
        <v>0.625</v>
      </c>
      <c r="N40" s="22">
        <v>0.625</v>
      </c>
      <c r="P40" s="77">
        <v>0.01</v>
      </c>
      <c r="Q40" t="s">
        <v>59</v>
      </c>
    </row>
    <row r="41" spans="2:17" x14ac:dyDescent="0.2">
      <c r="B41" s="1" t="s">
        <v>25</v>
      </c>
      <c r="C41" s="13">
        <v>360000</v>
      </c>
      <c r="D41" s="13">
        <v>342000</v>
      </c>
      <c r="E41" s="13">
        <v>396000</v>
      </c>
      <c r="F41" s="13">
        <v>379525</v>
      </c>
      <c r="G41" s="13">
        <v>465300</v>
      </c>
      <c r="H41" s="13">
        <v>423000</v>
      </c>
      <c r="I41" s="13">
        <v>401850</v>
      </c>
      <c r="J41" s="13">
        <v>491150</v>
      </c>
      <c r="K41" s="13">
        <v>424175</v>
      </c>
      <c r="L41" s="13">
        <v>468825</v>
      </c>
      <c r="M41" s="13">
        <v>446500</v>
      </c>
      <c r="N41" s="13">
        <v>470000</v>
      </c>
      <c r="P41" s="77">
        <v>7.4999999999999997E-3</v>
      </c>
      <c r="Q41" t="s">
        <v>60</v>
      </c>
    </row>
    <row r="43" spans="2:17" x14ac:dyDescent="0.2">
      <c r="B43" t="s">
        <v>4</v>
      </c>
      <c r="C43" s="2">
        <v>5</v>
      </c>
      <c r="D43" s="2">
        <v>5</v>
      </c>
      <c r="E43" s="2">
        <v>5</v>
      </c>
      <c r="F43" s="2">
        <v>6</v>
      </c>
      <c r="G43" s="2">
        <v>6</v>
      </c>
      <c r="H43" s="2">
        <v>6</v>
      </c>
      <c r="I43" s="2">
        <v>6</v>
      </c>
      <c r="J43" s="2">
        <v>6</v>
      </c>
      <c r="K43" s="2">
        <v>6</v>
      </c>
      <c r="L43" s="2">
        <v>7</v>
      </c>
      <c r="M43" s="2">
        <v>7</v>
      </c>
      <c r="N43" s="2">
        <v>7</v>
      </c>
    </row>
    <row r="44" spans="2:17" x14ac:dyDescent="0.2">
      <c r="B44" t="s">
        <v>5</v>
      </c>
      <c r="C44" s="5">
        <v>315</v>
      </c>
      <c r="D44" s="5">
        <v>315</v>
      </c>
      <c r="E44" s="5">
        <v>315</v>
      </c>
      <c r="F44" s="5">
        <v>325</v>
      </c>
      <c r="G44" s="5">
        <v>325</v>
      </c>
      <c r="H44" s="5">
        <v>325</v>
      </c>
      <c r="I44" s="5">
        <v>325</v>
      </c>
      <c r="J44" s="5">
        <v>325</v>
      </c>
      <c r="K44" s="5">
        <v>325</v>
      </c>
      <c r="L44" s="5">
        <v>325</v>
      </c>
      <c r="M44" s="5">
        <v>325</v>
      </c>
      <c r="N44" s="5">
        <v>325</v>
      </c>
    </row>
    <row r="45" spans="2:17" x14ac:dyDescent="0.2">
      <c r="B45" t="s">
        <v>2</v>
      </c>
      <c r="C45" s="2">
        <v>40</v>
      </c>
      <c r="D45" s="2">
        <v>40</v>
      </c>
      <c r="E45" s="2">
        <v>40</v>
      </c>
      <c r="F45" s="2">
        <v>48</v>
      </c>
      <c r="G45" s="2">
        <v>48</v>
      </c>
      <c r="H45" s="2">
        <v>48</v>
      </c>
      <c r="I45" s="2">
        <v>48</v>
      </c>
      <c r="J45" s="2">
        <v>48</v>
      </c>
      <c r="K45" s="2">
        <v>48</v>
      </c>
      <c r="L45" s="2">
        <v>56</v>
      </c>
      <c r="M45" s="2">
        <v>56</v>
      </c>
      <c r="N45" s="2">
        <v>56</v>
      </c>
    </row>
    <row r="46" spans="2:17" x14ac:dyDescent="0.2">
      <c r="B46" s="41" t="s">
        <v>6</v>
      </c>
      <c r="C46" s="22">
        <v>0.375</v>
      </c>
      <c r="D46" s="22">
        <v>0.375</v>
      </c>
      <c r="E46" s="22">
        <v>0.375</v>
      </c>
      <c r="F46" s="22">
        <v>0.375</v>
      </c>
      <c r="G46" s="22">
        <v>0.375</v>
      </c>
      <c r="H46" s="22">
        <v>0.375</v>
      </c>
      <c r="I46" s="22">
        <v>0.375</v>
      </c>
      <c r="J46" s="22">
        <v>0.375</v>
      </c>
      <c r="K46" s="22">
        <v>0.375</v>
      </c>
      <c r="L46" s="22">
        <v>0.375</v>
      </c>
      <c r="M46" s="22">
        <v>0.375</v>
      </c>
      <c r="N46" s="22">
        <v>0.375</v>
      </c>
    </row>
    <row r="47" spans="2:17" x14ac:dyDescent="0.2">
      <c r="B47" s="1" t="s">
        <v>25</v>
      </c>
      <c r="C47" s="13">
        <v>94500</v>
      </c>
      <c r="D47" s="13">
        <v>89775</v>
      </c>
      <c r="E47" s="13">
        <v>103950</v>
      </c>
      <c r="F47" s="13">
        <v>111150</v>
      </c>
      <c r="G47" s="13">
        <v>128700</v>
      </c>
      <c r="H47" s="13">
        <v>117000</v>
      </c>
      <c r="I47" s="13">
        <v>111150</v>
      </c>
      <c r="J47" s="13">
        <v>128700</v>
      </c>
      <c r="K47" s="13">
        <v>111150</v>
      </c>
      <c r="L47" s="13">
        <v>143325</v>
      </c>
      <c r="M47" s="13">
        <v>136500</v>
      </c>
      <c r="N47" s="13">
        <v>136500</v>
      </c>
    </row>
    <row r="49" spans="2:14" x14ac:dyDescent="0.2">
      <c r="B49" s="23" t="s">
        <v>66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2:14" x14ac:dyDescent="0.2">
      <c r="B50" s="58" t="s">
        <v>65</v>
      </c>
      <c r="C50" s="26">
        <v>0</v>
      </c>
      <c r="D50" s="26">
        <v>153190.23301159657</v>
      </c>
      <c r="E50" s="26">
        <v>169090.83155475667</v>
      </c>
      <c r="F50" s="26">
        <v>265251.83996901853</v>
      </c>
      <c r="G50" s="26">
        <v>163427.07720225363</v>
      </c>
      <c r="H50" s="26">
        <v>188303.63798161977</v>
      </c>
      <c r="I50" s="26">
        <v>277544.04009253083</v>
      </c>
      <c r="J50" s="26">
        <v>235773.56834553348</v>
      </c>
      <c r="K50" s="26">
        <v>204711.9448518455</v>
      </c>
      <c r="L50" s="26">
        <v>273062.85140419292</v>
      </c>
      <c r="M50" s="26">
        <v>194727.24305957937</v>
      </c>
      <c r="N50" s="26">
        <v>241311.15892998144</v>
      </c>
    </row>
    <row r="51" spans="2:14" x14ac:dyDescent="0.2">
      <c r="B51" s="58" t="s">
        <v>67</v>
      </c>
      <c r="C51" s="26">
        <v>5500000</v>
      </c>
      <c r="D51" s="26">
        <v>5454166.666666666</v>
      </c>
      <c r="E51" s="26">
        <v>5408715.2777777771</v>
      </c>
      <c r="F51" s="26">
        <v>5363642.6504629618</v>
      </c>
      <c r="G51" s="26">
        <v>5318945.6283757705</v>
      </c>
      <c r="H51" s="26">
        <v>5274621.081472639</v>
      </c>
      <c r="I51" s="26">
        <v>5230665.9057936994</v>
      </c>
      <c r="J51" s="26">
        <v>5187077.0232454184</v>
      </c>
      <c r="K51" s="26">
        <v>5143851.3813850395</v>
      </c>
      <c r="L51" s="26">
        <v>5100985.9532068307</v>
      </c>
      <c r="M51" s="26">
        <v>5058477.7369301068</v>
      </c>
      <c r="N51" s="26">
        <v>5016323.755789022</v>
      </c>
    </row>
    <row r="52" spans="2:14" x14ac:dyDescent="0.2">
      <c r="B52" s="67" t="s">
        <v>70</v>
      </c>
      <c r="C52" s="68">
        <v>2475000</v>
      </c>
      <c r="D52" s="68">
        <v>2454375</v>
      </c>
      <c r="E52" s="68">
        <v>2433921.8749999995</v>
      </c>
      <c r="F52" s="68">
        <v>2413639.192708333</v>
      </c>
      <c r="G52" s="68">
        <v>2393525.532769097</v>
      </c>
      <c r="H52" s="68">
        <v>2373579.4866626877</v>
      </c>
      <c r="I52" s="68">
        <v>2353799.6576071647</v>
      </c>
      <c r="J52" s="68">
        <v>2334184.6604604386</v>
      </c>
      <c r="K52" s="68">
        <v>2314733.1216232679</v>
      </c>
      <c r="L52" s="68">
        <v>2295443.6789430738</v>
      </c>
      <c r="M52" s="68">
        <v>2276314.9816185483</v>
      </c>
      <c r="N52" s="68">
        <v>2257345.6901050601</v>
      </c>
    </row>
    <row r="53" spans="2:14" x14ac:dyDescent="0.2">
      <c r="B53" s="67" t="s">
        <v>71</v>
      </c>
      <c r="C53" s="68">
        <v>2200000</v>
      </c>
      <c r="D53" s="68">
        <v>2181666.6666666665</v>
      </c>
      <c r="E53" s="68">
        <v>2163486.111111111</v>
      </c>
      <c r="F53" s="68">
        <v>2145457.0601851847</v>
      </c>
      <c r="G53" s="68">
        <v>2127578.2513503083</v>
      </c>
      <c r="H53" s="68">
        <v>2109848.4325890555</v>
      </c>
      <c r="I53" s="68">
        <v>2092266.3623174799</v>
      </c>
      <c r="J53" s="68">
        <v>2074830.8092981675</v>
      </c>
      <c r="K53" s="68">
        <v>2057540.552554016</v>
      </c>
      <c r="L53" s="68">
        <v>2040394.3812827324</v>
      </c>
      <c r="M53" s="68">
        <v>2023391.0947720427</v>
      </c>
      <c r="N53" s="68">
        <v>2006529.5023156088</v>
      </c>
    </row>
    <row r="54" spans="2:14" x14ac:dyDescent="0.2">
      <c r="B54" s="67" t="s">
        <v>72</v>
      </c>
      <c r="C54" s="68">
        <v>550000</v>
      </c>
      <c r="D54" s="68">
        <v>545416.66666666663</v>
      </c>
      <c r="E54" s="68">
        <v>540871.52777777775</v>
      </c>
      <c r="F54" s="68">
        <v>536364.26504629618</v>
      </c>
      <c r="G54" s="68">
        <v>531894.56283757708</v>
      </c>
      <c r="H54" s="68">
        <v>527462.10814726388</v>
      </c>
      <c r="I54" s="68">
        <v>523066.59057936998</v>
      </c>
      <c r="J54" s="68">
        <v>518707.70232454187</v>
      </c>
      <c r="K54" s="68">
        <v>514385.138138504</v>
      </c>
      <c r="L54" s="68">
        <v>510098.59532068309</v>
      </c>
      <c r="M54" s="68">
        <v>505847.77369301068</v>
      </c>
      <c r="N54" s="68">
        <v>501632.3755789022</v>
      </c>
    </row>
    <row r="55" spans="2:14" x14ac:dyDescent="0.2">
      <c r="B55" s="67" t="s">
        <v>73</v>
      </c>
      <c r="C55" s="68">
        <v>275000</v>
      </c>
      <c r="D55" s="68">
        <v>272708.33333333331</v>
      </c>
      <c r="E55" s="68">
        <v>270435.76388888888</v>
      </c>
      <c r="F55" s="68">
        <v>268182.13252314809</v>
      </c>
      <c r="G55" s="68">
        <v>265947.28141878854</v>
      </c>
      <c r="H55" s="68">
        <v>263731.05407363194</v>
      </c>
      <c r="I55" s="68">
        <v>261533.29528968499</v>
      </c>
      <c r="J55" s="68">
        <v>259353.85116227093</v>
      </c>
      <c r="K55" s="68">
        <v>257192.569069252</v>
      </c>
      <c r="L55" s="68">
        <v>255049.29766034154</v>
      </c>
      <c r="M55" s="68">
        <v>252923.88684650534</v>
      </c>
      <c r="N55" s="68">
        <v>250816.1877894511</v>
      </c>
    </row>
    <row r="56" spans="2:14" x14ac:dyDescent="0.2">
      <c r="B56" s="58" t="s">
        <v>68</v>
      </c>
      <c r="C56" s="26">
        <v>454500</v>
      </c>
      <c r="D56" s="26">
        <v>431775</v>
      </c>
      <c r="E56" s="26">
        <v>499950</v>
      </c>
      <c r="F56" s="26">
        <v>490675</v>
      </c>
      <c r="G56" s="26">
        <v>594000</v>
      </c>
      <c r="H56" s="26">
        <v>540000</v>
      </c>
      <c r="I56" s="26">
        <v>513000</v>
      </c>
      <c r="J56" s="26">
        <v>619850</v>
      </c>
      <c r="K56" s="26">
        <v>535325</v>
      </c>
      <c r="L56" s="26">
        <v>612150</v>
      </c>
      <c r="M56" s="26">
        <v>583000</v>
      </c>
      <c r="N56" s="26">
        <v>606500</v>
      </c>
    </row>
    <row r="57" spans="2:14" x14ac:dyDescent="0.2">
      <c r="B57" s="67" t="s">
        <v>22</v>
      </c>
      <c r="C57" s="68">
        <v>360000</v>
      </c>
      <c r="D57" s="68">
        <v>342000</v>
      </c>
      <c r="E57" s="68">
        <v>396000</v>
      </c>
      <c r="F57" s="68">
        <v>379525</v>
      </c>
      <c r="G57" s="68">
        <v>465300</v>
      </c>
      <c r="H57" s="68">
        <v>423000</v>
      </c>
      <c r="I57" s="68">
        <v>401850</v>
      </c>
      <c r="J57" s="68">
        <v>491150</v>
      </c>
      <c r="K57" s="68">
        <v>424175</v>
      </c>
      <c r="L57" s="68">
        <v>468825</v>
      </c>
      <c r="M57" s="68">
        <v>446500</v>
      </c>
      <c r="N57" s="68">
        <v>470000</v>
      </c>
    </row>
    <row r="58" spans="2:14" x14ac:dyDescent="0.2">
      <c r="B58" s="69" t="s">
        <v>23</v>
      </c>
      <c r="C58" s="70">
        <v>94500</v>
      </c>
      <c r="D58" s="70">
        <v>89775</v>
      </c>
      <c r="E58" s="70">
        <v>103950</v>
      </c>
      <c r="F58" s="70">
        <v>111150</v>
      </c>
      <c r="G58" s="70">
        <v>128700</v>
      </c>
      <c r="H58" s="70">
        <v>117000</v>
      </c>
      <c r="I58" s="70">
        <v>111150</v>
      </c>
      <c r="J58" s="70">
        <v>128700</v>
      </c>
      <c r="K58" s="70">
        <v>111150</v>
      </c>
      <c r="L58" s="70">
        <v>143325</v>
      </c>
      <c r="M58" s="70">
        <v>136500</v>
      </c>
      <c r="N58" s="70">
        <v>136500</v>
      </c>
    </row>
    <row r="59" spans="2:14" x14ac:dyDescent="0.2">
      <c r="B59" s="23" t="s">
        <v>69</v>
      </c>
      <c r="C59" s="28">
        <v>5954500</v>
      </c>
      <c r="D59" s="28">
        <v>6039131.8996782629</v>
      </c>
      <c r="E59" s="28">
        <v>6077756.1093325336</v>
      </c>
      <c r="F59" s="28">
        <v>6119569.4904319802</v>
      </c>
      <c r="G59" s="28">
        <v>6076372.7055780245</v>
      </c>
      <c r="H59" s="28">
        <v>6002924.7194542587</v>
      </c>
      <c r="I59" s="28">
        <v>6021209.9458862301</v>
      </c>
      <c r="J59" s="28">
        <v>6042700.5915909521</v>
      </c>
      <c r="K59" s="28">
        <v>5883888.326236885</v>
      </c>
      <c r="L59" s="28">
        <v>5986198.8046110235</v>
      </c>
      <c r="M59" s="28">
        <v>5836204.979989686</v>
      </c>
      <c r="N59" s="28">
        <v>5864134.9147190033</v>
      </c>
    </row>
    <row r="60" spans="2:14" x14ac:dyDescent="0.2">
      <c r="B60" s="58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2:14" x14ac:dyDescent="0.2">
      <c r="B61" s="66" t="s">
        <v>26</v>
      </c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2:14" x14ac:dyDescent="0.2">
      <c r="B62" s="64" t="s">
        <v>44</v>
      </c>
      <c r="C62" s="26">
        <v>238180</v>
      </c>
      <c r="D62" s="26">
        <v>241565.27598713053</v>
      </c>
      <c r="E62" s="26">
        <v>243110.24437330134</v>
      </c>
      <c r="F62" s="26">
        <v>244782.77961727922</v>
      </c>
      <c r="G62" s="26">
        <v>243054.90822312099</v>
      </c>
      <c r="H62" s="26">
        <v>240116.98877817034</v>
      </c>
      <c r="I62" s="26">
        <v>240848.3978354492</v>
      </c>
      <c r="J62" s="26">
        <v>241708.0236636381</v>
      </c>
      <c r="K62" s="26">
        <v>235355.5330494754</v>
      </c>
      <c r="L62" s="26">
        <v>239447.95218444095</v>
      </c>
      <c r="M62" s="26">
        <v>233448.19919958746</v>
      </c>
      <c r="N62" s="26">
        <v>234565.39658876014</v>
      </c>
    </row>
    <row r="63" spans="2:14" x14ac:dyDescent="0.2">
      <c r="B63" s="64" t="s">
        <v>45</v>
      </c>
      <c r="C63" s="26">
        <v>125044.50000000001</v>
      </c>
      <c r="D63" s="26">
        <v>126821.76989324353</v>
      </c>
      <c r="E63" s="26">
        <v>127632.87829598322</v>
      </c>
      <c r="F63" s="26">
        <v>128510.95929907159</v>
      </c>
      <c r="G63" s="26">
        <v>127603.82681713853</v>
      </c>
      <c r="H63" s="26">
        <v>126061.41910853944</v>
      </c>
      <c r="I63" s="26">
        <v>126445.40886361084</v>
      </c>
      <c r="J63" s="26">
        <v>126896.71242341</v>
      </c>
      <c r="K63" s="26">
        <v>123561.65485097459</v>
      </c>
      <c r="L63" s="26">
        <v>125710.17489683151</v>
      </c>
      <c r="M63" s="26">
        <v>122560.30457978342</v>
      </c>
      <c r="N63" s="26">
        <v>123146.83320909907</v>
      </c>
    </row>
    <row r="64" spans="2:14" x14ac:dyDescent="0.2">
      <c r="B64" s="64" t="s">
        <v>74</v>
      </c>
      <c r="C64" s="26">
        <v>130998.99999999999</v>
      </c>
      <c r="D64" s="26">
        <v>132860.90179292177</v>
      </c>
      <c r="E64" s="26">
        <v>133710.63440531574</v>
      </c>
      <c r="F64" s="26">
        <v>134630.52878950356</v>
      </c>
      <c r="G64" s="26">
        <v>133680.19952271652</v>
      </c>
      <c r="H64" s="26">
        <v>132064.3438279937</v>
      </c>
      <c r="I64" s="26">
        <v>132466.61880949704</v>
      </c>
      <c r="J64" s="26">
        <v>132939.41301500093</v>
      </c>
      <c r="K64" s="26">
        <v>129445.54317721147</v>
      </c>
      <c r="L64" s="26">
        <v>131696.3737014425</v>
      </c>
      <c r="M64" s="26">
        <v>128396.50955977308</v>
      </c>
      <c r="N64" s="26">
        <v>129010.96812381806</v>
      </c>
    </row>
    <row r="65" spans="2:14" x14ac:dyDescent="0.2">
      <c r="B65" s="65" t="s">
        <v>75</v>
      </c>
      <c r="C65" s="32">
        <v>136953.5</v>
      </c>
      <c r="D65" s="32">
        <v>138900.03369260003</v>
      </c>
      <c r="E65" s="32">
        <v>139788.39051464826</v>
      </c>
      <c r="F65" s="32">
        <v>140750.09827993554</v>
      </c>
      <c r="G65" s="32">
        <v>139756.57222829456</v>
      </c>
      <c r="H65" s="32">
        <v>138067.26854744795</v>
      </c>
      <c r="I65" s="32">
        <v>138487.82875538329</v>
      </c>
      <c r="J65" s="32">
        <v>138982.11360659188</v>
      </c>
      <c r="K65" s="32">
        <v>135329.43150344834</v>
      </c>
      <c r="L65" s="32">
        <v>137682.57250605355</v>
      </c>
      <c r="M65" s="32">
        <v>134232.71453976279</v>
      </c>
      <c r="N65" s="32">
        <v>134875.10303853708</v>
      </c>
    </row>
    <row r="66" spans="2:14" x14ac:dyDescent="0.2">
      <c r="B66" s="23" t="s">
        <v>46</v>
      </c>
      <c r="C66" s="42">
        <v>631177</v>
      </c>
      <c r="D66" s="42">
        <v>640147.98136589583</v>
      </c>
      <c r="E66" s="42">
        <v>644242.14758924861</v>
      </c>
      <c r="F66" s="42">
        <v>648674.36598578992</v>
      </c>
      <c r="G66" s="42">
        <v>644095.50679127057</v>
      </c>
      <c r="H66" s="42">
        <v>636310.02026215149</v>
      </c>
      <c r="I66" s="42">
        <v>638248.25426394038</v>
      </c>
      <c r="J66" s="42">
        <v>640526.26270864089</v>
      </c>
      <c r="K66" s="42">
        <v>623692.16258110979</v>
      </c>
      <c r="L66" s="42">
        <v>634537.07328876853</v>
      </c>
      <c r="M66" s="42">
        <v>618637.72787890676</v>
      </c>
      <c r="N66" s="42">
        <v>621598.30096021434</v>
      </c>
    </row>
    <row r="67" spans="2:14" x14ac:dyDescent="0.2">
      <c r="B67" s="58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2:14" x14ac:dyDescent="0.2">
      <c r="B68" s="64" t="s">
        <v>76</v>
      </c>
      <c r="C68" s="26">
        <v>54432</v>
      </c>
      <c r="D68" s="26">
        <v>51840</v>
      </c>
      <c r="E68" s="26">
        <v>59616</v>
      </c>
      <c r="F68" s="26">
        <v>57527.999999999993</v>
      </c>
      <c r="G68" s="26">
        <v>70048.799999999988</v>
      </c>
      <c r="H68" s="26">
        <v>63957.599999999999</v>
      </c>
      <c r="I68" s="26">
        <v>60911.999999999993</v>
      </c>
      <c r="J68" s="26">
        <v>73940.399999999994</v>
      </c>
      <c r="K68" s="26">
        <v>64295.999999999993</v>
      </c>
      <c r="L68" s="26">
        <v>70725.599999999991</v>
      </c>
      <c r="M68" s="26">
        <v>67510.799999999988</v>
      </c>
      <c r="N68" s="26">
        <v>71064</v>
      </c>
    </row>
    <row r="69" spans="2:14" x14ac:dyDescent="0.2">
      <c r="B69" s="64" t="s">
        <v>77</v>
      </c>
      <c r="C69" s="26">
        <v>34398</v>
      </c>
      <c r="D69" s="26">
        <v>32760.000000000004</v>
      </c>
      <c r="E69" s="26">
        <v>37674</v>
      </c>
      <c r="F69" s="26">
        <v>40560</v>
      </c>
      <c r="G69" s="26">
        <v>46644</v>
      </c>
      <c r="H69" s="26">
        <v>42588</v>
      </c>
      <c r="I69" s="26">
        <v>40560</v>
      </c>
      <c r="J69" s="26">
        <v>46644</v>
      </c>
      <c r="K69" s="26">
        <v>40560</v>
      </c>
      <c r="L69" s="26">
        <v>52052</v>
      </c>
      <c r="M69" s="26">
        <v>49686</v>
      </c>
      <c r="N69" s="26">
        <v>49686</v>
      </c>
    </row>
    <row r="70" spans="2:14" x14ac:dyDescent="0.2">
      <c r="B70" s="65" t="s">
        <v>27</v>
      </c>
      <c r="C70" s="32">
        <v>22978.53495173949</v>
      </c>
      <c r="D70" s="32">
        <v>25363.624733213503</v>
      </c>
      <c r="E70" s="32">
        <v>39787.775995352786</v>
      </c>
      <c r="F70" s="32">
        <v>24514.061580338046</v>
      </c>
      <c r="G70" s="32">
        <v>28245.545697242967</v>
      </c>
      <c r="H70" s="32">
        <v>41631.606013879624</v>
      </c>
      <c r="I70" s="32">
        <v>35366.035251830028</v>
      </c>
      <c r="J70" s="32">
        <v>30706.791727776828</v>
      </c>
      <c r="K70" s="32">
        <v>40959.427710628945</v>
      </c>
      <c r="L70" s="32">
        <v>29209.086458936905</v>
      </c>
      <c r="M70" s="32">
        <v>36196.67383949722</v>
      </c>
      <c r="N70" s="32">
        <v>38756.318595031647</v>
      </c>
    </row>
    <row r="71" spans="2:14" x14ac:dyDescent="0.2">
      <c r="B71" s="23" t="s">
        <v>24</v>
      </c>
      <c r="C71" s="42">
        <v>111808.53495173949</v>
      </c>
      <c r="D71" s="42">
        <v>109963.62473321351</v>
      </c>
      <c r="E71" s="42">
        <v>137077.77599535277</v>
      </c>
      <c r="F71" s="42">
        <v>122602.06158033805</v>
      </c>
      <c r="G71" s="42">
        <v>144938.34569724294</v>
      </c>
      <c r="H71" s="42">
        <v>148177.20601387962</v>
      </c>
      <c r="I71" s="42">
        <v>136838.03525183004</v>
      </c>
      <c r="J71" s="42">
        <v>151291.19172777684</v>
      </c>
      <c r="K71" s="42">
        <v>145815.42771062895</v>
      </c>
      <c r="L71" s="42">
        <v>151986.68645893689</v>
      </c>
      <c r="M71" s="42">
        <v>153393.47383949719</v>
      </c>
      <c r="N71" s="42">
        <v>159506.31859503165</v>
      </c>
    </row>
    <row r="72" spans="2:14" x14ac:dyDescent="0.2"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2:14" x14ac:dyDescent="0.2">
      <c r="B73" s="23" t="s">
        <v>28</v>
      </c>
      <c r="C73" s="42">
        <v>5211514.4650482601</v>
      </c>
      <c r="D73" s="42">
        <v>5289020.2935791537</v>
      </c>
      <c r="E73" s="42">
        <v>5296436.1857479326</v>
      </c>
      <c r="F73" s="42">
        <v>5348293.0628658514</v>
      </c>
      <c r="G73" s="42">
        <v>5287338.8530895114</v>
      </c>
      <c r="H73" s="42">
        <v>5218437.493178227</v>
      </c>
      <c r="I73" s="42">
        <v>5246123.6563704601</v>
      </c>
      <c r="J73" s="42">
        <v>5250883.1371545345</v>
      </c>
      <c r="K73" s="42">
        <v>5114380.7359451465</v>
      </c>
      <c r="L73" s="42">
        <v>5199675.0448633181</v>
      </c>
      <c r="M73" s="42">
        <v>5064173.7782712821</v>
      </c>
      <c r="N73" s="42">
        <v>5083030.2951637581</v>
      </c>
    </row>
    <row r="74" spans="2:14" x14ac:dyDescent="0.2">
      <c r="B74" s="23" t="s">
        <v>29</v>
      </c>
      <c r="C74" s="71">
        <v>0.87522285079322526</v>
      </c>
      <c r="D74" s="71">
        <v>0.87579148484253644</v>
      </c>
      <c r="E74" s="71">
        <v>0.87144598935372442</v>
      </c>
      <c r="F74" s="71">
        <v>0.87396557408621167</v>
      </c>
      <c r="G74" s="71">
        <v>0.8701472258664793</v>
      </c>
      <c r="H74" s="71">
        <v>0.86931583137571788</v>
      </c>
      <c r="I74" s="71">
        <v>0.87127399700697716</v>
      </c>
      <c r="J74" s="71">
        <v>0.86896298394490801</v>
      </c>
      <c r="K74" s="71">
        <v>0.86921784581457429</v>
      </c>
      <c r="L74" s="71">
        <v>0.86861048464647295</v>
      </c>
      <c r="M74" s="71">
        <v>0.86771691461053368</v>
      </c>
      <c r="N74" s="71">
        <v>0.86679968470802582</v>
      </c>
    </row>
    <row r="75" spans="2:14" x14ac:dyDescent="0.2">
      <c r="B75" s="24"/>
      <c r="C75" s="4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2:14" x14ac:dyDescent="0.2">
      <c r="B76" s="23" t="s">
        <v>26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</row>
    <row r="77" spans="2:14" x14ac:dyDescent="0.2">
      <c r="B77" s="29" t="s">
        <v>47</v>
      </c>
      <c r="C77" s="33">
        <v>893175</v>
      </c>
      <c r="D77" s="33">
        <v>905869.78495173936</v>
      </c>
      <c r="E77" s="33">
        <v>911663.41639987996</v>
      </c>
      <c r="F77" s="33">
        <v>917935.42356479703</v>
      </c>
      <c r="G77" s="33">
        <v>911455.90583670361</v>
      </c>
      <c r="H77" s="33">
        <v>900438.70791813883</v>
      </c>
      <c r="I77" s="33">
        <v>903181.49188293447</v>
      </c>
      <c r="J77" s="33">
        <v>906405.08873864275</v>
      </c>
      <c r="K77" s="33">
        <v>882583.24893553276</v>
      </c>
      <c r="L77" s="33">
        <v>897929.82069165353</v>
      </c>
      <c r="M77" s="33">
        <v>875430.74699845293</v>
      </c>
      <c r="N77" s="33">
        <v>879620.23720785044</v>
      </c>
    </row>
    <row r="78" spans="2:14" x14ac:dyDescent="0.2">
      <c r="B78" s="29" t="s">
        <v>48</v>
      </c>
      <c r="C78" s="33">
        <v>476360</v>
      </c>
      <c r="D78" s="33">
        <v>483130.55197426106</v>
      </c>
      <c r="E78" s="33">
        <v>486220.48874660267</v>
      </c>
      <c r="F78" s="33">
        <v>489565.55923455843</v>
      </c>
      <c r="G78" s="33">
        <v>486109.81644624198</v>
      </c>
      <c r="H78" s="33">
        <v>480233.97755634069</v>
      </c>
      <c r="I78" s="33">
        <v>481696.7956708984</v>
      </c>
      <c r="J78" s="33">
        <v>483416.0473272762</v>
      </c>
      <c r="K78" s="33">
        <v>470711.0660989508</v>
      </c>
      <c r="L78" s="33">
        <v>478895.90436888189</v>
      </c>
      <c r="M78" s="33">
        <v>466896.39839917491</v>
      </c>
      <c r="N78" s="33">
        <v>469130.79317752027</v>
      </c>
    </row>
    <row r="79" spans="2:14" x14ac:dyDescent="0.2">
      <c r="B79" s="29" t="s">
        <v>49</v>
      </c>
      <c r="C79" s="33">
        <v>178635</v>
      </c>
      <c r="D79" s="33">
        <v>181173.95699034788</v>
      </c>
      <c r="E79" s="33">
        <v>182332.68327997599</v>
      </c>
      <c r="F79" s="33">
        <v>183587.08471295939</v>
      </c>
      <c r="G79" s="33">
        <v>182291.18116734072</v>
      </c>
      <c r="H79" s="33">
        <v>180087.74158362777</v>
      </c>
      <c r="I79" s="33">
        <v>180636.2983765869</v>
      </c>
      <c r="J79" s="33">
        <v>181281.01774772856</v>
      </c>
      <c r="K79" s="33">
        <v>176516.64978710655</v>
      </c>
      <c r="L79" s="33">
        <v>179585.96413833069</v>
      </c>
      <c r="M79" s="33">
        <v>175086.14939969056</v>
      </c>
      <c r="N79" s="33">
        <v>175924.04744157009</v>
      </c>
    </row>
    <row r="80" spans="2:14" x14ac:dyDescent="0.2">
      <c r="B80" s="30" t="s">
        <v>50</v>
      </c>
      <c r="C80" s="32">
        <v>59545</v>
      </c>
      <c r="D80" s="32">
        <v>60391.318996782633</v>
      </c>
      <c r="E80" s="32">
        <v>60777.561093325334</v>
      </c>
      <c r="F80" s="32">
        <v>61195.694904319804</v>
      </c>
      <c r="G80" s="32">
        <v>60763.727055780248</v>
      </c>
      <c r="H80" s="32">
        <v>60029.247194542586</v>
      </c>
      <c r="I80" s="32">
        <v>60212.0994588623</v>
      </c>
      <c r="J80" s="32">
        <v>60427.005915909525</v>
      </c>
      <c r="K80" s="32">
        <v>58838.88326236885</v>
      </c>
      <c r="L80" s="32">
        <v>59861.988046110237</v>
      </c>
      <c r="M80" s="32">
        <v>58362.049799896864</v>
      </c>
      <c r="N80" s="32">
        <v>58641.349147190034</v>
      </c>
    </row>
    <row r="81" spans="2:21" x14ac:dyDescent="0.2">
      <c r="B81" s="23" t="s">
        <v>51</v>
      </c>
      <c r="C81" s="54">
        <v>1607715</v>
      </c>
      <c r="D81" s="54">
        <v>1630565.612913131</v>
      </c>
      <c r="E81" s="54">
        <v>1640994.1495197839</v>
      </c>
      <c r="F81" s="54">
        <v>1652283.7624166345</v>
      </c>
      <c r="G81" s="54">
        <v>1640620.6305060668</v>
      </c>
      <c r="H81" s="54">
        <v>1620789.6742526498</v>
      </c>
      <c r="I81" s="54">
        <v>1625726.6853892822</v>
      </c>
      <c r="J81" s="54">
        <v>1631529.1597295571</v>
      </c>
      <c r="K81" s="54">
        <v>1588649.848083959</v>
      </c>
      <c r="L81" s="54">
        <v>1616273.6772449762</v>
      </c>
      <c r="M81" s="54">
        <v>1575775.3445972151</v>
      </c>
      <c r="N81" s="54">
        <v>1583316.426974131</v>
      </c>
    </row>
    <row r="82" spans="2:21" x14ac:dyDescent="0.2">
      <c r="B82" s="24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</row>
    <row r="83" spans="2:21" x14ac:dyDescent="0.2">
      <c r="B83" s="53" t="s">
        <v>52</v>
      </c>
      <c r="C83" s="33">
        <v>595.45000000000005</v>
      </c>
      <c r="D83" s="33">
        <v>603.91318996782627</v>
      </c>
      <c r="E83" s="33">
        <v>607.77561093325335</v>
      </c>
      <c r="F83" s="33">
        <v>611.95694904319805</v>
      </c>
      <c r="G83" s="33">
        <v>607.63727055780248</v>
      </c>
      <c r="H83" s="33">
        <v>600.29247194542586</v>
      </c>
      <c r="I83" s="33">
        <v>602.12099458862303</v>
      </c>
      <c r="J83" s="33">
        <v>604.27005915909524</v>
      </c>
      <c r="K83" s="33">
        <v>588.38883262368859</v>
      </c>
      <c r="L83" s="33">
        <v>598.61988046110241</v>
      </c>
      <c r="M83" s="33">
        <v>583.62049799896863</v>
      </c>
      <c r="N83" s="33">
        <v>586.41349147190033</v>
      </c>
      <c r="U83"/>
    </row>
    <row r="84" spans="2:21" x14ac:dyDescent="0.2">
      <c r="B84" s="53" t="s">
        <v>53</v>
      </c>
      <c r="C84" s="33">
        <v>1012.2650000000001</v>
      </c>
      <c r="D84" s="33">
        <v>1026.6524229453048</v>
      </c>
      <c r="E84" s="33">
        <v>1033.2185385865307</v>
      </c>
      <c r="F84" s="33">
        <v>1040.3268133734366</v>
      </c>
      <c r="G84" s="33">
        <v>1032.9833599482643</v>
      </c>
      <c r="H84" s="33">
        <v>1020.497202307224</v>
      </c>
      <c r="I84" s="33">
        <v>1023.6056908006592</v>
      </c>
      <c r="J84" s="33">
        <v>1027.2591005704619</v>
      </c>
      <c r="K84" s="33">
        <v>1000.2610154602705</v>
      </c>
      <c r="L84" s="33">
        <v>1017.6537967838741</v>
      </c>
      <c r="M84" s="33">
        <v>992.15484659824665</v>
      </c>
      <c r="N84" s="33">
        <v>996.90293550223066</v>
      </c>
      <c r="U84"/>
    </row>
    <row r="85" spans="2:21" x14ac:dyDescent="0.2">
      <c r="B85" s="53" t="s">
        <v>54</v>
      </c>
      <c r="C85" s="33">
        <v>297.72500000000002</v>
      </c>
      <c r="D85" s="33">
        <v>301.95659498391313</v>
      </c>
      <c r="E85" s="33">
        <v>303.88780546662667</v>
      </c>
      <c r="F85" s="33">
        <v>305.97847452159903</v>
      </c>
      <c r="G85" s="33">
        <v>303.81863527890124</v>
      </c>
      <c r="H85" s="33">
        <v>300.14623597271293</v>
      </c>
      <c r="I85" s="33">
        <v>301.06049729431152</v>
      </c>
      <c r="J85" s="33">
        <v>302.13502957954762</v>
      </c>
      <c r="K85" s="33">
        <v>294.19441631184429</v>
      </c>
      <c r="L85" s="33">
        <v>299.30994023055121</v>
      </c>
      <c r="M85" s="33">
        <v>291.81024899948432</v>
      </c>
      <c r="N85" s="33">
        <v>293.20674573595016</v>
      </c>
      <c r="U85"/>
    </row>
    <row r="86" spans="2:21" x14ac:dyDescent="0.2">
      <c r="B86" s="53" t="s">
        <v>55</v>
      </c>
      <c r="C86" s="33">
        <v>14886.25</v>
      </c>
      <c r="D86" s="33">
        <v>15097.829749195658</v>
      </c>
      <c r="E86" s="33">
        <v>15194.390273331333</v>
      </c>
      <c r="F86" s="33">
        <v>15298.923726079951</v>
      </c>
      <c r="G86" s="33">
        <v>15190.931763945062</v>
      </c>
      <c r="H86" s="33">
        <v>15007.311798635646</v>
      </c>
      <c r="I86" s="33">
        <v>15053.024864715575</v>
      </c>
      <c r="J86" s="33">
        <v>15106.751478977381</v>
      </c>
      <c r="K86" s="33">
        <v>14709.720815592213</v>
      </c>
      <c r="L86" s="33">
        <v>14965.497011527559</v>
      </c>
      <c r="M86" s="33">
        <v>14590.512449974216</v>
      </c>
      <c r="N86" s="33">
        <v>14660.337286797509</v>
      </c>
      <c r="U86"/>
    </row>
    <row r="87" spans="2:21" x14ac:dyDescent="0.2">
      <c r="B87" s="53" t="s">
        <v>56</v>
      </c>
      <c r="C87" s="33">
        <v>29772.5</v>
      </c>
      <c r="D87" s="33">
        <v>30195.659498391316</v>
      </c>
      <c r="E87" s="33">
        <v>30388.780546662667</v>
      </c>
      <c r="F87" s="33">
        <v>30597.847452159902</v>
      </c>
      <c r="G87" s="33">
        <v>30381.863527890124</v>
      </c>
      <c r="H87" s="33">
        <v>30014.623597271293</v>
      </c>
      <c r="I87" s="33">
        <v>30106.04972943115</v>
      </c>
      <c r="J87" s="33">
        <v>30213.502957954763</v>
      </c>
      <c r="K87" s="33">
        <v>29419.441631184425</v>
      </c>
      <c r="L87" s="33">
        <v>29930.994023055118</v>
      </c>
      <c r="M87" s="33">
        <v>29181.024899948432</v>
      </c>
      <c r="N87" s="33">
        <v>29320.674573595017</v>
      </c>
      <c r="U87"/>
    </row>
    <row r="88" spans="2:21" x14ac:dyDescent="0.2">
      <c r="B88" s="53" t="s">
        <v>57</v>
      </c>
      <c r="C88" s="33">
        <v>297.72500000000002</v>
      </c>
      <c r="D88" s="33">
        <v>301.95659498391313</v>
      </c>
      <c r="E88" s="33">
        <v>303.88780546662667</v>
      </c>
      <c r="F88" s="33">
        <v>305.97847452159903</v>
      </c>
      <c r="G88" s="33">
        <v>303.81863527890124</v>
      </c>
      <c r="H88" s="33">
        <v>300.14623597271293</v>
      </c>
      <c r="I88" s="33">
        <v>301.06049729431152</v>
      </c>
      <c r="J88" s="33">
        <v>302.13502957954762</v>
      </c>
      <c r="K88" s="33">
        <v>294.19441631184429</v>
      </c>
      <c r="L88" s="33">
        <v>299.30994023055121</v>
      </c>
      <c r="M88" s="33">
        <v>291.81024899948432</v>
      </c>
      <c r="N88" s="33">
        <v>293.20674573595016</v>
      </c>
      <c r="U88"/>
    </row>
    <row r="89" spans="2:21" x14ac:dyDescent="0.2">
      <c r="B89" s="53" t="s">
        <v>58</v>
      </c>
      <c r="C89" s="33">
        <v>32749.749999999996</v>
      </c>
      <c r="D89" s="33">
        <v>33215.225448230442</v>
      </c>
      <c r="E89" s="33">
        <v>33427.658601328934</v>
      </c>
      <c r="F89" s="33">
        <v>33657.63219737589</v>
      </c>
      <c r="G89" s="33">
        <v>33420.049880679129</v>
      </c>
      <c r="H89" s="33">
        <v>33016.085956998424</v>
      </c>
      <c r="I89" s="33">
        <v>33116.654702374261</v>
      </c>
      <c r="J89" s="33">
        <v>33234.853253750232</v>
      </c>
      <c r="K89" s="33">
        <v>32361.385794302867</v>
      </c>
      <c r="L89" s="33">
        <v>32924.093425360625</v>
      </c>
      <c r="M89" s="33">
        <v>32099.127389943271</v>
      </c>
      <c r="N89" s="33">
        <v>32252.742030954516</v>
      </c>
      <c r="U89"/>
    </row>
    <row r="90" spans="2:21" x14ac:dyDescent="0.2">
      <c r="B90" s="53" t="s">
        <v>59</v>
      </c>
      <c r="C90" s="33">
        <v>59545</v>
      </c>
      <c r="D90" s="33">
        <v>60391.318996782633</v>
      </c>
      <c r="E90" s="33">
        <v>60777.561093325334</v>
      </c>
      <c r="F90" s="33">
        <v>61195.694904319804</v>
      </c>
      <c r="G90" s="33">
        <v>60763.727055780248</v>
      </c>
      <c r="H90" s="33">
        <v>60029.247194542586</v>
      </c>
      <c r="I90" s="33">
        <v>60212.0994588623</v>
      </c>
      <c r="J90" s="33">
        <v>60427.005915909525</v>
      </c>
      <c r="K90" s="33">
        <v>58838.88326236885</v>
      </c>
      <c r="L90" s="33">
        <v>59861.988046110237</v>
      </c>
      <c r="M90" s="33">
        <v>58362.049799896864</v>
      </c>
      <c r="N90" s="33">
        <v>58641.349147190034</v>
      </c>
      <c r="U90"/>
    </row>
    <row r="91" spans="2:21" x14ac:dyDescent="0.2">
      <c r="B91" s="30" t="s">
        <v>60</v>
      </c>
      <c r="C91" s="32">
        <v>44658.75</v>
      </c>
      <c r="D91" s="32">
        <v>45293.489247586971</v>
      </c>
      <c r="E91" s="32">
        <v>45583.170819993997</v>
      </c>
      <c r="F91" s="32">
        <v>45896.771178239847</v>
      </c>
      <c r="G91" s="32">
        <v>45572.79529183518</v>
      </c>
      <c r="H91" s="32">
        <v>45021.935395906941</v>
      </c>
      <c r="I91" s="32">
        <v>45159.074594146725</v>
      </c>
      <c r="J91" s="32">
        <v>45320.25443693214</v>
      </c>
      <c r="K91" s="32">
        <v>44129.162446776638</v>
      </c>
      <c r="L91" s="32">
        <v>44896.491034582672</v>
      </c>
      <c r="M91" s="32">
        <v>43771.537349922641</v>
      </c>
      <c r="N91" s="32">
        <v>43981.011860392522</v>
      </c>
      <c r="U91"/>
    </row>
    <row r="92" spans="2:21" x14ac:dyDescent="0.2">
      <c r="B92" s="52" t="s">
        <v>61</v>
      </c>
      <c r="C92" s="54">
        <v>183815.41499999998</v>
      </c>
      <c r="D92" s="54">
        <v>186428.00174306799</v>
      </c>
      <c r="E92" s="54">
        <v>187620.33109509532</v>
      </c>
      <c r="F92" s="54">
        <v>188911.11016963521</v>
      </c>
      <c r="G92" s="54">
        <v>187577.6254211936</v>
      </c>
      <c r="H92" s="54">
        <v>185310.28608955297</v>
      </c>
      <c r="I92" s="54">
        <v>185874.75102950793</v>
      </c>
      <c r="J92" s="54">
        <v>186538.16726241272</v>
      </c>
      <c r="K92" s="54">
        <v>181635.63263093264</v>
      </c>
      <c r="L92" s="54">
        <v>184793.95709834227</v>
      </c>
      <c r="M92" s="54">
        <v>180163.64773228162</v>
      </c>
      <c r="N92" s="54">
        <v>181025.84481737565</v>
      </c>
      <c r="U92"/>
    </row>
    <row r="93" spans="2:21" x14ac:dyDescent="0.2">
      <c r="B93" s="51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U93"/>
    </row>
    <row r="94" spans="2:21" x14ac:dyDescent="0.2">
      <c r="B94" s="23" t="s">
        <v>33</v>
      </c>
      <c r="C94" s="42">
        <v>3419984.05004826</v>
      </c>
      <c r="D94" s="42">
        <v>3472026.6789229549</v>
      </c>
      <c r="E94" s="42">
        <v>3467821.7051330535</v>
      </c>
      <c r="F94" s="42">
        <v>3507098.1902795816</v>
      </c>
      <c r="G94" s="42">
        <v>3459140.5971622514</v>
      </c>
      <c r="H94" s="42">
        <v>3412337.5328360242</v>
      </c>
      <c r="I94" s="42">
        <v>3434522.2199516702</v>
      </c>
      <c r="J94" s="42">
        <v>3432815.8101625647</v>
      </c>
      <c r="K94" s="42">
        <v>3344095.255230255</v>
      </c>
      <c r="L94" s="42">
        <v>3398607.4105199995</v>
      </c>
      <c r="M94" s="42">
        <v>3308234.7859417857</v>
      </c>
      <c r="N94" s="42">
        <v>3318688.0233722515</v>
      </c>
    </row>
    <row r="95" spans="2:21" x14ac:dyDescent="0.2">
      <c r="B95" s="23" t="s">
        <v>34</v>
      </c>
      <c r="C95" s="71">
        <v>0.57435285079322529</v>
      </c>
      <c r="D95" s="71">
        <v>0.57492148484253647</v>
      </c>
      <c r="E95" s="71">
        <v>0.57057598935372444</v>
      </c>
      <c r="F95" s="71">
        <v>0.5730955740862117</v>
      </c>
      <c r="G95" s="71">
        <v>0.56927722586647933</v>
      </c>
      <c r="H95" s="71">
        <v>0.56844583137571791</v>
      </c>
      <c r="I95" s="71">
        <v>0.57040399700697708</v>
      </c>
      <c r="J95" s="71">
        <v>0.56809298394490804</v>
      </c>
      <c r="K95" s="71">
        <v>0.56834784581457432</v>
      </c>
      <c r="L95" s="71">
        <v>0.56774048464647298</v>
      </c>
      <c r="M95" s="71">
        <v>0.56684691461053383</v>
      </c>
      <c r="N95" s="71">
        <v>0.56592968470802585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DA9DF-DA37-4C9A-A6E3-877B18DB5D13}">
  <dimension ref="B2:S89"/>
  <sheetViews>
    <sheetView showGridLines="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W97" sqref="W97"/>
    </sheetView>
  </sheetViews>
  <sheetFormatPr defaultRowHeight="12.75" outlineLevelRow="3" outlineLevelCol="1" x14ac:dyDescent="0.2"/>
  <cols>
    <col min="1" max="1" width="3.7109375" customWidth="1"/>
    <col min="2" max="2" width="20.7109375" customWidth="1"/>
    <col min="3" max="3" width="13.7109375" customWidth="1"/>
    <col min="4" max="5" width="13.7109375" hidden="1" customWidth="1" outlineLevel="1"/>
    <col min="6" max="6" width="13.7109375" customWidth="1" collapsed="1"/>
    <col min="7" max="7" width="13.7109375" customWidth="1"/>
    <col min="8" max="8" width="5.7109375" style="61" customWidth="1"/>
    <col min="9" max="9" width="13.7109375" customWidth="1"/>
    <col min="10" max="11" width="13.7109375" hidden="1" customWidth="1" outlineLevel="1"/>
    <col min="12" max="12" width="13.7109375" customWidth="1" collapsed="1"/>
    <col min="13" max="13" width="13.7109375" customWidth="1"/>
    <col min="14" max="14" width="5.7109375" customWidth="1"/>
    <col min="15" max="15" width="13.7109375" customWidth="1"/>
    <col min="16" max="17" width="13.7109375" hidden="1" customWidth="1" outlineLevel="1"/>
    <col min="18" max="18" width="13.7109375" customWidth="1" collapsed="1"/>
    <col min="19" max="19" width="13.7109375" customWidth="1"/>
  </cols>
  <sheetData>
    <row r="2" spans="2:19" x14ac:dyDescent="0.2">
      <c r="B2" s="52" t="s">
        <v>128</v>
      </c>
      <c r="C2" s="3">
        <f>'DB Vars'!$B$5</f>
        <v>45017</v>
      </c>
      <c r="D2" s="3" t="s">
        <v>63</v>
      </c>
      <c r="E2" s="3" t="s">
        <v>40</v>
      </c>
      <c r="F2" s="3" t="s">
        <v>124</v>
      </c>
      <c r="G2" s="3" t="s">
        <v>125</v>
      </c>
      <c r="H2" s="60"/>
      <c r="I2" s="3" t="str">
        <f>'DB Vars'!$B$20</f>
        <v>Q2 2023</v>
      </c>
      <c r="J2" s="3" t="s">
        <v>63</v>
      </c>
      <c r="K2" s="3" t="s">
        <v>40</v>
      </c>
      <c r="L2" s="3" t="s">
        <v>124</v>
      </c>
      <c r="M2" s="3" t="s">
        <v>125</v>
      </c>
      <c r="O2" s="3" t="s">
        <v>103</v>
      </c>
      <c r="P2" s="3" t="s">
        <v>63</v>
      </c>
      <c r="Q2" s="3" t="s">
        <v>40</v>
      </c>
      <c r="R2" s="3" t="s">
        <v>124</v>
      </c>
      <c r="S2" s="3" t="s">
        <v>125</v>
      </c>
    </row>
    <row r="3" spans="2:19" outlineLevel="1" x14ac:dyDescent="0.2">
      <c r="B3" s="51" t="s">
        <v>9</v>
      </c>
      <c r="C3" s="107">
        <f>FuncEndView!$F5</f>
        <v>1061517.5734082023</v>
      </c>
      <c r="D3" s="48">
        <f>$C3-FuncPriorFcst!$F5</f>
        <v>1060.4571162916254</v>
      </c>
      <c r="E3" s="48">
        <f>$C3-FuncBudget!$F5</f>
        <v>1060.4571162916254</v>
      </c>
      <c r="F3" s="171">
        <f>D3/$C3</f>
        <v>9.9900099900073055E-4</v>
      </c>
      <c r="G3" s="171">
        <f>E3/$C3</f>
        <v>9.9900099900073055E-4</v>
      </c>
      <c r="H3" s="34"/>
      <c r="I3" s="107">
        <f>FuncEndView!$Q5</f>
        <v>3593993.7509009996</v>
      </c>
      <c r="J3" s="48">
        <f>$I3-FuncPriorFcst!$Q5</f>
        <v>3590.403347552754</v>
      </c>
      <c r="K3" s="48">
        <f>$I3-FuncBudget!$Q5</f>
        <v>3590.403347552754</v>
      </c>
      <c r="L3" s="171">
        <f>J3/$I3</f>
        <v>9.9900099900080645E-4</v>
      </c>
      <c r="M3" s="171">
        <f>K3/$I3</f>
        <v>9.9900099900080645E-4</v>
      </c>
      <c r="O3" s="107">
        <f>FuncEndView!$U5</f>
        <v>14732676.789777454</v>
      </c>
      <c r="P3" s="48">
        <f>$O3-FuncPriorFcst!$U5</f>
        <v>11315.188864197582</v>
      </c>
      <c r="Q3" s="48">
        <f>$O3-FuncBudget!$U5</f>
        <v>11315.188864197582</v>
      </c>
      <c r="R3" s="171">
        <f>P3/$O3</f>
        <v>7.6803346911464448E-4</v>
      </c>
      <c r="S3" s="171">
        <f>Q3/$O3</f>
        <v>7.6803346911464448E-4</v>
      </c>
    </row>
    <row r="4" spans="2:19" hidden="1" outlineLevel="2" x14ac:dyDescent="0.2">
      <c r="B4" s="78" t="s">
        <v>10</v>
      </c>
      <c r="C4" s="27">
        <f>FuncEndView!$F6</f>
        <v>778357.53044854791</v>
      </c>
      <c r="D4" s="49">
        <f>$C4-FuncPriorFcst!$F6</f>
        <v>777.57995049795136</v>
      </c>
      <c r="E4" s="49">
        <f>$C4-FuncBudget!$F6</f>
        <v>777.57995049795136</v>
      </c>
      <c r="F4" s="172">
        <f t="shared" ref="F4:G10" si="0">D4/$C4</f>
        <v>9.9900099900087237E-4</v>
      </c>
      <c r="G4" s="172">
        <f t="shared" si="0"/>
        <v>9.9900099900087237E-4</v>
      </c>
      <c r="H4" s="34"/>
      <c r="I4" s="27">
        <f>FuncEndView!$Q6</f>
        <v>2693653.289043739</v>
      </c>
      <c r="J4" s="49">
        <f>$I4-FuncPriorFcst!$Q6</f>
        <v>2690.9623267166317</v>
      </c>
      <c r="K4" s="49">
        <f>$I4-FuncBudget!$Q6</f>
        <v>2690.9623267166317</v>
      </c>
      <c r="L4" s="172">
        <f>J4/$I4</f>
        <v>9.9900099900085415E-4</v>
      </c>
      <c r="M4" s="172">
        <f>K4/$I4</f>
        <v>9.9900099900085415E-4</v>
      </c>
      <c r="O4" s="27">
        <f>FuncEndView!$U6</f>
        <v>11407767.028742488</v>
      </c>
      <c r="P4" s="49">
        <f>$O4-FuncPriorFcst!$U6</f>
        <v>8662.2570057380944</v>
      </c>
      <c r="Q4" s="49">
        <f>$O4-FuncBudget!$U6</f>
        <v>8662.2570057380944</v>
      </c>
      <c r="R4" s="172">
        <f>P4/$O4</f>
        <v>7.5932976049677969E-4</v>
      </c>
      <c r="S4" s="172">
        <f>Q4/$O4</f>
        <v>7.5932976049677969E-4</v>
      </c>
    </row>
    <row r="5" spans="2:19" hidden="1" outlineLevel="2" x14ac:dyDescent="0.2">
      <c r="B5" s="78" t="s">
        <v>11</v>
      </c>
      <c r="C5" s="27">
        <f>FuncEndView!$F7</f>
        <v>283160.04295965447</v>
      </c>
      <c r="D5" s="49">
        <f>$C5-FuncPriorFcst!$F7</f>
        <v>282.87716579384869</v>
      </c>
      <c r="E5" s="49">
        <f>$C5-FuncBudget!$F7</f>
        <v>282.87716579384869</v>
      </c>
      <c r="F5" s="172">
        <f t="shared" si="0"/>
        <v>9.9900099900095693E-4</v>
      </c>
      <c r="G5" s="172">
        <f t="shared" si="0"/>
        <v>9.9900099900095693E-4</v>
      </c>
      <c r="H5" s="33"/>
      <c r="I5" s="27">
        <f>FuncEndView!$Q7</f>
        <v>900340.46185726067</v>
      </c>
      <c r="J5" s="49">
        <f>$I5-FuncPriorFcst!$Q7</f>
        <v>899.44102083635516</v>
      </c>
      <c r="K5" s="49">
        <f>$I5-FuncBudget!$Q7</f>
        <v>899.44102083635516</v>
      </c>
      <c r="L5" s="172">
        <f>J5/$I5</f>
        <v>9.9900099900092224E-4</v>
      </c>
      <c r="M5" s="172">
        <f>K5/$I5</f>
        <v>9.9900099900092224E-4</v>
      </c>
      <c r="O5" s="27">
        <f>FuncEndView!$U7</f>
        <v>3324909.7610349637</v>
      </c>
      <c r="P5" s="49">
        <f>$O5-FuncPriorFcst!$U7</f>
        <v>2652.9318584571593</v>
      </c>
      <c r="Q5" s="49">
        <f>$O5-FuncBudget!$U7</f>
        <v>2652.9318584571593</v>
      </c>
      <c r="R5" s="172">
        <f>P5/$O5</f>
        <v>7.9789589767132992E-4</v>
      </c>
      <c r="S5" s="172">
        <f>Q5/$O5</f>
        <v>7.9789589767132992E-4</v>
      </c>
    </row>
    <row r="6" spans="2:19" outlineLevel="1" collapsed="1" x14ac:dyDescent="0.2">
      <c r="B6" s="51" t="s">
        <v>12</v>
      </c>
      <c r="C6" s="107">
        <f>FuncEndView!$F8</f>
        <v>709383.96017214493</v>
      </c>
      <c r="D6" s="48">
        <f>$C6-FuncPriorFcst!$F8</f>
        <v>708.67528488719836</v>
      </c>
      <c r="E6" s="48">
        <f>$C6-FuncBudget!$F8</f>
        <v>708.67528488719836</v>
      </c>
      <c r="F6" s="171">
        <f t="shared" si="0"/>
        <v>9.990009990009153E-4</v>
      </c>
      <c r="G6" s="171">
        <f t="shared" si="0"/>
        <v>9.990009990009153E-4</v>
      </c>
      <c r="H6" s="34"/>
      <c r="I6" s="107">
        <f>FuncEndView!$Q8</f>
        <v>2993698.553213492</v>
      </c>
      <c r="J6" s="48">
        <f>$I6-FuncPriorFcst!$Q8</f>
        <v>2990.7078453674912</v>
      </c>
      <c r="K6" s="48">
        <f>$I6-FuncBudget!$Q8</f>
        <v>2990.7078453674912</v>
      </c>
      <c r="L6" s="171">
        <f>J6/$I6</f>
        <v>9.9900099900078758E-4</v>
      </c>
      <c r="M6" s="171">
        <f>K6/$I6</f>
        <v>9.9900099900078758E-4</v>
      </c>
      <c r="O6" s="107">
        <f>FuncEndView!$U8</f>
        <v>11792207.449764792</v>
      </c>
      <c r="P6" s="48">
        <f>$O6-FuncPriorFcst!$U8</f>
        <v>9216.6635363139212</v>
      </c>
      <c r="Q6" s="48">
        <f>$O6-FuncBudget!$U8</f>
        <v>9216.6635363139212</v>
      </c>
      <c r="R6" s="171">
        <f>P6/$O6</f>
        <v>7.815893313933989E-4</v>
      </c>
      <c r="S6" s="171">
        <f>Q6/$O6</f>
        <v>7.815893313933989E-4</v>
      </c>
    </row>
    <row r="7" spans="2:19" hidden="1" outlineLevel="2" x14ac:dyDescent="0.2">
      <c r="B7" s="78" t="s">
        <v>10</v>
      </c>
      <c r="C7" s="27">
        <f>FuncEndView!$F9</f>
        <v>513515.39413500042</v>
      </c>
      <c r="D7" s="49">
        <f>$C7-FuncPriorFcst!$F9</f>
        <v>513.00239174318267</v>
      </c>
      <c r="E7" s="49">
        <f>$C7-FuncBudget!$F9</f>
        <v>513.00239174318267</v>
      </c>
      <c r="F7" s="172">
        <f t="shared" si="0"/>
        <v>9.9900099900085393E-4</v>
      </c>
      <c r="G7" s="172">
        <f t="shared" si="0"/>
        <v>9.9900099900085393E-4</v>
      </c>
      <c r="H7" s="34"/>
      <c r="I7" s="27">
        <f>FuncEndView!$Q9</f>
        <v>2166118.0445706565</v>
      </c>
      <c r="J7" s="49">
        <f>$I7-FuncPriorFcst!$Q9</f>
        <v>2163.9540904797614</v>
      </c>
      <c r="K7" s="49">
        <f>$I7-FuncBudget!$Q9</f>
        <v>2163.9540904797614</v>
      </c>
      <c r="L7" s="172">
        <f>J7/$I7</f>
        <v>9.9900099900080753E-4</v>
      </c>
      <c r="M7" s="172">
        <f>K7/$I7</f>
        <v>9.9900099900080753E-4</v>
      </c>
      <c r="O7" s="27">
        <f>FuncEndView!$U9</f>
        <v>8094892.2179632233</v>
      </c>
      <c r="P7" s="49">
        <f>$O7-FuncPriorFcst!$U9</f>
        <v>6928.9059591041878</v>
      </c>
      <c r="Q7" s="49">
        <f>$O7-FuncBudget!$U9</f>
        <v>6928.9059591041878</v>
      </c>
      <c r="R7" s="172">
        <f>P7/$O7</f>
        <v>8.5596024907266615E-4</v>
      </c>
      <c r="S7" s="172">
        <f>Q7/$O7</f>
        <v>8.5596024907266615E-4</v>
      </c>
    </row>
    <row r="8" spans="2:19" hidden="1" outlineLevel="2" x14ac:dyDescent="0.2">
      <c r="B8" s="78" t="s">
        <v>11</v>
      </c>
      <c r="C8" s="34">
        <f>FuncEndView!$F10</f>
        <v>195868.56603714445</v>
      </c>
      <c r="D8" s="159">
        <f>$C8-FuncPriorFcst!$F10</f>
        <v>195.67289314398658</v>
      </c>
      <c r="E8" s="159">
        <f>$C8-FuncBudget!$F10</f>
        <v>195.67289314398658</v>
      </c>
      <c r="F8" s="173">
        <f t="shared" si="0"/>
        <v>9.9900099900092809E-4</v>
      </c>
      <c r="G8" s="173">
        <f t="shared" si="0"/>
        <v>9.9900099900092809E-4</v>
      </c>
      <c r="H8" s="33"/>
      <c r="I8" s="34">
        <f>FuncEndView!$Q10</f>
        <v>827580.50864283554</v>
      </c>
      <c r="J8" s="159">
        <f>$I8-FuncPriorFcst!$Q10</f>
        <v>826.7537548878463</v>
      </c>
      <c r="K8" s="159">
        <f>$I8-FuncBudget!$Q10</f>
        <v>826.7537548878463</v>
      </c>
      <c r="L8" s="173">
        <f>J8/$I8</f>
        <v>9.990009990008767E-4</v>
      </c>
      <c r="M8" s="173">
        <f>K8/$I8</f>
        <v>9.990009990008767E-4</v>
      </c>
      <c r="O8" s="34">
        <f>FuncEndView!$U10</f>
        <v>3697315.2318015671</v>
      </c>
      <c r="P8" s="159">
        <f>$O8-FuncPriorFcst!$U10</f>
        <v>2287.7575772074051</v>
      </c>
      <c r="Q8" s="159">
        <f>$O8-FuncBudget!$U10</f>
        <v>2287.7575772074051</v>
      </c>
      <c r="R8" s="173">
        <f>P8/$O8</f>
        <v>6.187618403564318E-4</v>
      </c>
      <c r="S8" s="173">
        <f>Q8/$O8</f>
        <v>6.187618403564318E-4</v>
      </c>
    </row>
    <row r="9" spans="2:19" outlineLevel="1" collapsed="1" x14ac:dyDescent="0.2">
      <c r="B9" s="31" t="s">
        <v>13</v>
      </c>
      <c r="C9" s="151">
        <f>FuncEndView!$F11</f>
        <v>192184.51777312293</v>
      </c>
      <c r="D9" s="50">
        <f>$C9-FuncPriorFcst!$F11</f>
        <v>191.99252524785697</v>
      </c>
      <c r="E9" s="50">
        <f>$C9-FuncBudget!$F11</f>
        <v>191.99252524785697</v>
      </c>
      <c r="F9" s="174">
        <f t="shared" si="0"/>
        <v>9.9900099900090489E-4</v>
      </c>
      <c r="G9" s="174">
        <f t="shared" si="0"/>
        <v>9.9900099900090489E-4</v>
      </c>
      <c r="H9" s="54"/>
      <c r="I9" s="151">
        <f>FuncEndView!$Q11</f>
        <v>971156.05626567453</v>
      </c>
      <c r="J9" s="50">
        <f>$I9-FuncPriorFcst!$Q11</f>
        <v>970.18587039527483</v>
      </c>
      <c r="K9" s="50">
        <f>$I9-FuncBudget!$Q11</f>
        <v>970.18587039527483</v>
      </c>
      <c r="L9" s="174">
        <f>J9/$I9</f>
        <v>9.9900099900099445E-4</v>
      </c>
      <c r="M9" s="174">
        <f>K9/$I9</f>
        <v>9.9900099900099445E-4</v>
      </c>
      <c r="O9" s="151">
        <f>FuncEndView!$U11</f>
        <v>4996801.2086452041</v>
      </c>
      <c r="P9" s="50">
        <f>$O9-FuncPriorFcst!$U11</f>
        <v>3914.9913495033979</v>
      </c>
      <c r="Q9" s="50">
        <f>$O9-FuncBudget!$U11</f>
        <v>3914.9913495033979</v>
      </c>
      <c r="R9" s="174">
        <f>P9/$O9</f>
        <v>7.8349952019901949E-4</v>
      </c>
      <c r="S9" s="174">
        <f>Q9/$O9</f>
        <v>7.8349952019901949E-4</v>
      </c>
    </row>
    <row r="10" spans="2:19" outlineLevel="1" x14ac:dyDescent="0.2">
      <c r="B10" s="52" t="s">
        <v>64</v>
      </c>
      <c r="C10" s="28">
        <f>FuncEndView!$F12</f>
        <v>1963086.0513534702</v>
      </c>
      <c r="D10" s="38">
        <f>$C10-FuncPriorFcst!$F12</f>
        <v>1961.1249264266808</v>
      </c>
      <c r="E10" s="38">
        <f>$C10-FuncBudget!$F12</f>
        <v>1961.1249264266808</v>
      </c>
      <c r="F10" s="175">
        <f t="shared" si="0"/>
        <v>9.9900099900081447E-4</v>
      </c>
      <c r="G10" s="175">
        <f t="shared" si="0"/>
        <v>9.9900099900081447E-4</v>
      </c>
      <c r="I10" s="28">
        <f>FuncEndView!$Q12</f>
        <v>7558848.3603801662</v>
      </c>
      <c r="J10" s="38">
        <f>$I10-FuncPriorFcst!$Q12</f>
        <v>7551.2970633162186</v>
      </c>
      <c r="K10" s="38">
        <f>$I10-FuncBudget!$Q12</f>
        <v>7551.2970633162186</v>
      </c>
      <c r="L10" s="175">
        <f>J10/$I10</f>
        <v>9.9900099900091552E-4</v>
      </c>
      <c r="M10" s="175">
        <f>K10/$I10</f>
        <v>9.9900099900091552E-4</v>
      </c>
      <c r="O10" s="28">
        <f>FuncEndView!$U12</f>
        <v>31521685.448187448</v>
      </c>
      <c r="P10" s="38">
        <f>$O10-FuncPriorFcst!$U12</f>
        <v>24446.843750011176</v>
      </c>
      <c r="Q10" s="38">
        <f>$O10-FuncBudget!$U12</f>
        <v>24446.843750011176</v>
      </c>
      <c r="R10" s="175">
        <f>P10/$O10</f>
        <v>7.7555636389414295E-4</v>
      </c>
      <c r="S10" s="175">
        <f>Q10/$O10</f>
        <v>7.7555636389414295E-4</v>
      </c>
    </row>
    <row r="11" spans="2:19" hidden="1" outlineLevel="2" x14ac:dyDescent="0.2">
      <c r="B11" s="51"/>
    </row>
    <row r="12" spans="2:19" hidden="1" outlineLevel="2" x14ac:dyDescent="0.2">
      <c r="B12" s="52" t="s">
        <v>15</v>
      </c>
    </row>
    <row r="13" spans="2:19" hidden="1" outlineLevel="2" x14ac:dyDescent="0.2">
      <c r="B13" s="93" t="s">
        <v>9</v>
      </c>
      <c r="C13" s="101">
        <f>FuncEndView!$F15</f>
        <v>0.14609651369799148</v>
      </c>
      <c r="D13" s="165">
        <f>$C13-FuncPriorFcst!$F15</f>
        <v>-1.8284920362701684E-4</v>
      </c>
      <c r="E13" s="165">
        <f>$C13-FuncBudget!$F15</f>
        <v>-1.8284920362701684E-4</v>
      </c>
      <c r="F13" s="171">
        <f>D13/$C13</f>
        <v>-1.2515644555694187E-3</v>
      </c>
      <c r="G13" s="171">
        <f>E13/$C13</f>
        <v>-1.2515644555694187E-3</v>
      </c>
      <c r="I13" s="101">
        <f>FuncEndView!$Q15</f>
        <v>0.16063645959706568</v>
      </c>
      <c r="J13" s="165">
        <f>$I13-FuncPriorFcst!$Q15</f>
        <v>-2.0104688310015884E-4</v>
      </c>
      <c r="K13" s="165">
        <f>$I13-FuncBudget!$Q15</f>
        <v>-2.0104688310015884E-4</v>
      </c>
      <c r="L13" s="171">
        <f>J13/$I13</f>
        <v>-1.2515644555691598E-3</v>
      </c>
      <c r="M13" s="171">
        <f>K13/$I13</f>
        <v>-1.2515644555691598E-3</v>
      </c>
      <c r="O13" s="101">
        <f>FuncEndView!$U15</f>
        <v>0.16793926304183437</v>
      </c>
      <c r="P13" s="165">
        <f>$O13-FuncPriorFcst!$U15</f>
        <v>-1.6465296706830168E-4</v>
      </c>
      <c r="Q13" s="165">
        <f>$O13-FuncBudget!$U15</f>
        <v>-1.6465296706830168E-4</v>
      </c>
      <c r="R13" s="171">
        <f>P13/$O13</f>
        <v>-9.8043163990356409E-4</v>
      </c>
      <c r="S13" s="171">
        <f>Q13/$O13</f>
        <v>-9.8043163990356409E-4</v>
      </c>
    </row>
    <row r="14" spans="2:19" hidden="1" outlineLevel="3" x14ac:dyDescent="0.2">
      <c r="B14" s="94" t="s">
        <v>10</v>
      </c>
      <c r="C14" s="99">
        <f>FuncEndView!$F16</f>
        <v>0.17810344345334739</v>
      </c>
      <c r="D14" s="166">
        <f>$C14-FuncPriorFcst!$F16</f>
        <v>-2.2290793924073515E-4</v>
      </c>
      <c r="E14" s="166">
        <f>$C14-FuncBudget!$F16</f>
        <v>-2.2290793924073515E-4</v>
      </c>
      <c r="F14" s="172">
        <f t="shared" ref="F14:G20" si="1">D14/$C14</f>
        <v>-1.2515644555694619E-3</v>
      </c>
      <c r="G14" s="172">
        <f t="shared" si="1"/>
        <v>-1.2515644555694619E-3</v>
      </c>
      <c r="I14" s="99">
        <f>FuncEndView!$Q16</f>
        <v>0.17188851699898844</v>
      </c>
      <c r="J14" s="166">
        <f>$I14-FuncPriorFcst!$Q16</f>
        <v>-2.1512955819646962E-4</v>
      </c>
      <c r="K14" s="166">
        <f>$I14-FuncBudget!$Q16</f>
        <v>-2.1512955819646962E-4</v>
      </c>
      <c r="L14" s="172">
        <f>J14/$I14</f>
        <v>-1.2515644555693946E-3</v>
      </c>
      <c r="M14" s="172">
        <f>K14/$I14</f>
        <v>-1.2515644555693946E-3</v>
      </c>
      <c r="O14" s="99">
        <f>FuncEndView!$U16</f>
        <v>0.17682681219101859</v>
      </c>
      <c r="P14" s="166">
        <f>$O14-FuncPriorFcst!$U16</f>
        <v>-1.711904073765369E-4</v>
      </c>
      <c r="Q14" s="166">
        <f>$O14-FuncBudget!$U16</f>
        <v>-1.711904073765369E-4</v>
      </c>
      <c r="R14" s="172">
        <f>P14/$O14</f>
        <v>-9.6812471624273299E-4</v>
      </c>
      <c r="S14" s="172">
        <f>Q14/$O14</f>
        <v>-9.6812471624273299E-4</v>
      </c>
    </row>
    <row r="15" spans="2:19" hidden="1" outlineLevel="3" x14ac:dyDescent="0.2">
      <c r="B15" s="94" t="s">
        <v>11</v>
      </c>
      <c r="C15" s="100">
        <f>FuncEndView!$F17</f>
        <v>5.8115050843189492E-2</v>
      </c>
      <c r="D15" s="167">
        <f>$C15-FuncPriorFcst!$F17</f>
        <v>-7.273473196894864E-5</v>
      </c>
      <c r="E15" s="167">
        <f>$C15-FuncBudget!$F17</f>
        <v>-7.273473196894864E-5</v>
      </c>
      <c r="F15" s="172">
        <f t="shared" si="1"/>
        <v>-1.2515644555694721E-3</v>
      </c>
      <c r="G15" s="172">
        <f t="shared" si="1"/>
        <v>-1.2515644555694721E-3</v>
      </c>
      <c r="I15" s="100">
        <f>FuncEndView!$Q17</f>
        <v>0.1269723706071349</v>
      </c>
      <c r="J15" s="167">
        <f>$I15-FuncPriorFcst!$Q17</f>
        <v>-1.5891410589130572E-4</v>
      </c>
      <c r="K15" s="167">
        <f>$I15-FuncBudget!$Q17</f>
        <v>-1.5891410589130572E-4</v>
      </c>
      <c r="L15" s="172">
        <f>J15/$I15</f>
        <v>-1.2515644555696429E-3</v>
      </c>
      <c r="M15" s="172">
        <f>K15/$I15</f>
        <v>-1.2515644555696429E-3</v>
      </c>
      <c r="O15" s="100">
        <f>FuncEndView!$U17</f>
        <v>0.13744607753088928</v>
      </c>
      <c r="P15" s="167">
        <f>$O15-FuncPriorFcst!$U17</f>
        <v>-1.4104519696733764E-4</v>
      </c>
      <c r="Q15" s="167">
        <f>$O15-FuncBudget!$U17</f>
        <v>-1.4104519696733764E-4</v>
      </c>
      <c r="R15" s="172">
        <f>P15/$O15</f>
        <v>-1.0261856831501031E-3</v>
      </c>
      <c r="S15" s="172">
        <f>Q15/$O15</f>
        <v>-1.0261856831501031E-3</v>
      </c>
    </row>
    <row r="16" spans="2:19" hidden="1" outlineLevel="2" collapsed="1" x14ac:dyDescent="0.2">
      <c r="B16" s="93" t="s">
        <v>12</v>
      </c>
      <c r="C16" s="101">
        <f>FuncEndView!$F18</f>
        <v>0.19471753201760905</v>
      </c>
      <c r="D16" s="165">
        <f>$C16-FuncPriorFcst!$F18</f>
        <v>-2.437015419494426E-4</v>
      </c>
      <c r="E16" s="165">
        <f>$C16-FuncBudget!$F18</f>
        <v>-2.437015419494426E-4</v>
      </c>
      <c r="F16" s="171">
        <f t="shared" si="1"/>
        <v>-1.2515644555694335E-3</v>
      </c>
      <c r="G16" s="171">
        <f t="shared" si="1"/>
        <v>-1.2515644555694335E-3</v>
      </c>
      <c r="I16" s="101">
        <f>FuncEndView!$Q18</f>
        <v>0.14054401953850409</v>
      </c>
      <c r="J16" s="165">
        <f>$I16-FuncPriorFcst!$Q18</f>
        <v>-1.7589989929722716E-4</v>
      </c>
      <c r="K16" s="165">
        <f>$I16-FuncBudget!$Q18</f>
        <v>-1.7589989929722716E-4</v>
      </c>
      <c r="L16" s="171">
        <f>J16/$I16</f>
        <v>-1.2515644555692873E-3</v>
      </c>
      <c r="M16" s="171">
        <f>K16/$I16</f>
        <v>-1.2515644555692873E-3</v>
      </c>
      <c r="O16" s="101">
        <f>FuncEndView!$U18</f>
        <v>0.12961850050173826</v>
      </c>
      <c r="P16" s="165">
        <f>$O16-FuncPriorFcst!$U18</f>
        <v>-1.2684690135739141E-4</v>
      </c>
      <c r="Q16" s="165">
        <f>$O16-FuncBudget!$U18</f>
        <v>-1.2684690135739141E-4</v>
      </c>
      <c r="R16" s="171">
        <f>P16/$O16</f>
        <v>-9.7861725653654134E-4</v>
      </c>
      <c r="S16" s="171">
        <f>Q16/$O16</f>
        <v>-9.7861725653654134E-4</v>
      </c>
    </row>
    <row r="17" spans="2:19" hidden="1" outlineLevel="3" x14ac:dyDescent="0.2">
      <c r="B17" s="94" t="s">
        <v>10</v>
      </c>
      <c r="C17" s="99">
        <f>FuncEndView!$F19</f>
        <v>0.15415830209544415</v>
      </c>
      <c r="D17" s="166">
        <f>$C17-FuncPriorFcst!$F19</f>
        <v>-1.929390514335827E-4</v>
      </c>
      <c r="E17" s="166">
        <f>$C17-FuncBudget!$F19</f>
        <v>-1.929390514335827E-4</v>
      </c>
      <c r="F17" s="172">
        <f t="shared" si="1"/>
        <v>-1.251564455569368E-3</v>
      </c>
      <c r="G17" s="172">
        <f t="shared" si="1"/>
        <v>-1.251564455569368E-3</v>
      </c>
      <c r="I17" s="99">
        <f>FuncEndView!$Q19</f>
        <v>0.11251522732300241</v>
      </c>
      <c r="J17" s="166">
        <f>$I17-FuncPriorFcst!$Q19</f>
        <v>-1.4082005922780305E-4</v>
      </c>
      <c r="K17" s="166">
        <f>$I17-FuncBudget!$Q19</f>
        <v>-1.4082005922780305E-4</v>
      </c>
      <c r="L17" s="172">
        <f>J17/$I17</f>
        <v>-1.2515644555695978E-3</v>
      </c>
      <c r="M17" s="172">
        <f>K17/$I17</f>
        <v>-1.2515644555695978E-3</v>
      </c>
      <c r="O17" s="99">
        <f>FuncEndView!$U19</f>
        <v>0.11710258696470226</v>
      </c>
      <c r="P17" s="166">
        <f>$O17-FuncPriorFcst!$U19</f>
        <v>-1.2433004075543264E-4</v>
      </c>
      <c r="Q17" s="166">
        <f>$O17-FuncBudget!$U19</f>
        <v>-1.2433004075543264E-4</v>
      </c>
      <c r="R17" s="172">
        <f>P17/$O17</f>
        <v>-1.0617189933891803E-3</v>
      </c>
      <c r="S17" s="172">
        <f>Q17/$O17</f>
        <v>-1.0617189933891803E-3</v>
      </c>
    </row>
    <row r="18" spans="2:19" hidden="1" outlineLevel="3" x14ac:dyDescent="0.2">
      <c r="B18" s="94" t="s">
        <v>11</v>
      </c>
      <c r="C18" s="99">
        <f>FuncEndView!$F20</f>
        <v>0.30105306793684827</v>
      </c>
      <c r="D18" s="166">
        <f>$C18-FuncPriorFcst!$F20</f>
        <v>-3.7678731906987117E-4</v>
      </c>
      <c r="E18" s="166">
        <f>$C18-FuncBudget!$F20</f>
        <v>-3.7678731906987117E-4</v>
      </c>
      <c r="F18" s="173">
        <f t="shared" si="1"/>
        <v>-1.2515644555693736E-3</v>
      </c>
      <c r="G18" s="173">
        <f t="shared" si="1"/>
        <v>-1.2515644555693736E-3</v>
      </c>
      <c r="I18" s="99">
        <f>FuncEndView!$Q20</f>
        <v>0.21390687904456612</v>
      </c>
      <c r="J18" s="166">
        <f>$I18-FuncPriorFcst!$Q20</f>
        <v>-2.677182466139516E-4</v>
      </c>
      <c r="K18" s="166">
        <f>$I18-FuncBudget!$Q20</f>
        <v>-2.677182466139516E-4</v>
      </c>
      <c r="L18" s="173">
        <f>J18/$I18</f>
        <v>-1.2515644555693519E-3</v>
      </c>
      <c r="M18" s="173">
        <f>K18/$I18</f>
        <v>-1.2515644555693519E-3</v>
      </c>
      <c r="O18" s="99">
        <f>FuncEndView!$U20</f>
        <v>0.157020808592814</v>
      </c>
      <c r="P18" s="166">
        <f>$O18-FuncPriorFcst!$U20</f>
        <v>-1.2585219326979868E-4</v>
      </c>
      <c r="Q18" s="166">
        <f>$O18-FuncBudget!$U20</f>
        <v>-1.2585219326979868E-4</v>
      </c>
      <c r="R18" s="173">
        <f>P18/$O18</f>
        <v>-8.0150009669201422E-4</v>
      </c>
      <c r="S18" s="173">
        <f>Q18/$O18</f>
        <v>-8.0150009669201422E-4</v>
      </c>
    </row>
    <row r="19" spans="2:19" hidden="1" outlineLevel="2" collapsed="1" x14ac:dyDescent="0.2">
      <c r="B19" s="19" t="s">
        <v>13</v>
      </c>
      <c r="C19" s="102">
        <f>FuncEndView!$F21</f>
        <v>0.19265696367784188</v>
      </c>
      <c r="D19" s="168">
        <f>$C19-FuncPriorFcst!$F21</f>
        <v>-2.4112260785710826E-4</v>
      </c>
      <c r="E19" s="168">
        <f>$C19-FuncBudget!$F21</f>
        <v>-2.4112260785710826E-4</v>
      </c>
      <c r="F19" s="174">
        <f t="shared" si="1"/>
        <v>-1.2515644555693814E-3</v>
      </c>
      <c r="G19" s="174">
        <f t="shared" si="1"/>
        <v>-1.2515644555693814E-3</v>
      </c>
      <c r="I19" s="102">
        <f>FuncEndView!$Q21</f>
        <v>0.22682670659869014</v>
      </c>
      <c r="J19" s="168">
        <f>$I19-FuncPriorFcst!$Q21</f>
        <v>-2.838882435527712E-4</v>
      </c>
      <c r="K19" s="168">
        <f>$I19-FuncBudget!$Q21</f>
        <v>-2.838882435527712E-4</v>
      </c>
      <c r="L19" s="174">
        <f>J19/$I19</f>
        <v>-1.2515644555693185E-3</v>
      </c>
      <c r="M19" s="174">
        <f>K19/$I19</f>
        <v>-1.2515644555693185E-3</v>
      </c>
      <c r="O19" s="102">
        <f>FuncEndView!$U21</f>
        <v>0.14544553058207946</v>
      </c>
      <c r="P19" s="168">
        <f>$O19-FuncPriorFcst!$U21</f>
        <v>-1.4481820760203767E-4</v>
      </c>
      <c r="Q19" s="168">
        <f>$O19-FuncBudget!$U21</f>
        <v>-1.4481820760203767E-4</v>
      </c>
      <c r="R19" s="174">
        <f>P19/$O19</f>
        <v>-9.9568688719735006E-4</v>
      </c>
      <c r="S19" s="174">
        <f>Q19/$O19</f>
        <v>-9.9568688719735006E-4</v>
      </c>
    </row>
    <row r="20" spans="2:19" hidden="1" outlineLevel="2" x14ac:dyDescent="0.2">
      <c r="B20" s="95" t="s">
        <v>127</v>
      </c>
      <c r="C20" s="98">
        <f>FuncEndView!$F22</f>
        <v>0.13947373421489301</v>
      </c>
      <c r="D20" s="169">
        <f>$C20-FuncPriorFcst!$F22</f>
        <v>-1.7456036822890986E-4</v>
      </c>
      <c r="E20" s="169">
        <f>$C20-FuncBudget!$F22</f>
        <v>-1.7456036822890986E-4</v>
      </c>
      <c r="F20" s="175">
        <f t="shared" si="1"/>
        <v>-1.2515644555695154E-3</v>
      </c>
      <c r="G20" s="175">
        <f t="shared" si="1"/>
        <v>-1.2515644555695154E-3</v>
      </c>
      <c r="I20" s="98">
        <f>FuncEndView!$Q22</f>
        <v>0.1611828854956395</v>
      </c>
      <c r="J20" s="169">
        <f>$I20-FuncPriorFcst!$Q22</f>
        <v>-2.0173077033247555E-4</v>
      </c>
      <c r="K20" s="169">
        <f>$I20-FuncBudget!$Q22</f>
        <v>-2.0173077033247555E-4</v>
      </c>
      <c r="L20" s="175">
        <f>J20/$I20</f>
        <v>-1.2515644555695276E-3</v>
      </c>
      <c r="M20" s="175">
        <f>K20/$I20</f>
        <v>-1.2515644555695276E-3</v>
      </c>
      <c r="O20" s="98">
        <f>FuncEndView!$U22</f>
        <v>0.15003783794274336</v>
      </c>
      <c r="P20" s="169">
        <f>$O20-FuncPriorFcst!$U22</f>
        <v>-1.4748059753441622E-4</v>
      </c>
      <c r="Q20" s="169">
        <f>$O20-FuncBudget!$U22</f>
        <v>-1.4748059753441622E-4</v>
      </c>
      <c r="R20" s="175">
        <f>P20/$O20</f>
        <v>-9.8295603000289155E-4</v>
      </c>
      <c r="S20" s="175">
        <f>Q20/$O20</f>
        <v>-9.8295603000289155E-4</v>
      </c>
    </row>
    <row r="21" spans="2:19" hidden="1" outlineLevel="2" x14ac:dyDescent="0.2">
      <c r="B21" s="51"/>
      <c r="C21" s="79"/>
      <c r="D21" s="79"/>
      <c r="E21" s="79"/>
      <c r="F21" s="79"/>
      <c r="G21" s="79"/>
      <c r="I21" s="79"/>
      <c r="J21" s="79"/>
      <c r="K21" s="79"/>
      <c r="L21" s="79"/>
      <c r="M21" s="79"/>
      <c r="O21" s="79"/>
      <c r="P21" s="79"/>
      <c r="Q21" s="79"/>
      <c r="R21" s="79"/>
      <c r="S21" s="79"/>
    </row>
    <row r="22" spans="2:19" hidden="1" outlineLevel="2" x14ac:dyDescent="0.2">
      <c r="B22" s="52" t="s">
        <v>17</v>
      </c>
      <c r="C22" s="83"/>
      <c r="D22" s="83"/>
      <c r="E22" s="83"/>
      <c r="F22" s="83"/>
      <c r="G22" s="83"/>
      <c r="I22" s="83"/>
      <c r="J22" s="83"/>
      <c r="K22" s="83"/>
      <c r="L22" s="83"/>
      <c r="M22" s="83"/>
      <c r="O22" s="83"/>
      <c r="P22" s="83"/>
      <c r="Q22" s="83"/>
      <c r="R22" s="83"/>
      <c r="S22" s="83"/>
    </row>
    <row r="23" spans="2:19" hidden="1" outlineLevel="2" x14ac:dyDescent="0.2">
      <c r="B23" s="51" t="s">
        <v>9</v>
      </c>
      <c r="C23" s="96">
        <f>FuncEndView!$F25</f>
        <v>155084.01670409011</v>
      </c>
      <c r="D23" s="157">
        <f>$C23-FuncPriorFcst!$F25</f>
        <v>-38.974651578115299</v>
      </c>
      <c r="E23" s="157">
        <f>$C23-FuncBudget!$F25</f>
        <v>-38.974651578115299</v>
      </c>
      <c r="F23" s="171">
        <f>D23/$C23</f>
        <v>-2.513131424270584E-4</v>
      </c>
      <c r="G23" s="171">
        <f>E23/$C23</f>
        <v>-2.513131424270584E-4</v>
      </c>
      <c r="I23" s="96">
        <f>FuncEndView!$Q25</f>
        <v>577326.43195871497</v>
      </c>
      <c r="J23" s="157">
        <f>$I23-FuncPriorFcst!$Q25</f>
        <v>-145.08971982169896</v>
      </c>
      <c r="K23" s="157">
        <f>$I23-FuncBudget!$Q25</f>
        <v>-145.08971982169896</v>
      </c>
      <c r="L23" s="171">
        <f>J23/$I23</f>
        <v>-2.5131314242697698E-4</v>
      </c>
      <c r="M23" s="171">
        <f>K23/$I23</f>
        <v>-2.5131314242697698E-4</v>
      </c>
      <c r="O23" s="96">
        <f>FuncEndView!$U25</f>
        <v>2474194.8827087637</v>
      </c>
      <c r="P23" s="157">
        <f>$O23-FuncPriorFcst!$U25</f>
        <v>-523.65138784330338</v>
      </c>
      <c r="Q23" s="157">
        <f>$O23-FuncBudget!$U25</f>
        <v>-523.65138784330338</v>
      </c>
      <c r="R23" s="171">
        <f>P23/$O23</f>
        <v>-2.1164516647532899E-4</v>
      </c>
      <c r="S23" s="171">
        <f>Q23/$O23</f>
        <v>-2.1164516647532899E-4</v>
      </c>
    </row>
    <row r="24" spans="2:19" hidden="1" outlineLevel="3" x14ac:dyDescent="0.2">
      <c r="B24" s="78" t="s">
        <v>10</v>
      </c>
      <c r="C24" s="81">
        <f>FuncEndView!$F26</f>
        <v>138628.15641073007</v>
      </c>
      <c r="D24" s="158">
        <f>$C24-FuncPriorFcst!$F26</f>
        <v>-34.83907761645969</v>
      </c>
      <c r="E24" s="158">
        <f>$C24-FuncBudget!$F26</f>
        <v>-34.83907761645969</v>
      </c>
      <c r="F24" s="172">
        <f t="shared" ref="F24:G30" si="2">D24/$C24</f>
        <v>-2.5131314242712589E-4</v>
      </c>
      <c r="G24" s="172">
        <f t="shared" si="2"/>
        <v>-2.5131314242712589E-4</v>
      </c>
      <c r="I24" s="81">
        <f>FuncEndView!$Q26</f>
        <v>463008.06916317588</v>
      </c>
      <c r="J24" s="158">
        <f>$I24-FuncPriorFcst!$Q26</f>
        <v>-116.36001283046789</v>
      </c>
      <c r="K24" s="158">
        <f>$I24-FuncBudget!$Q26</f>
        <v>-116.36001283046789</v>
      </c>
      <c r="L24" s="172">
        <f>J24/$I24</f>
        <v>-2.5131314242702679E-4</v>
      </c>
      <c r="M24" s="172">
        <f>K24/$I24</f>
        <v>-2.5131314242702679E-4</v>
      </c>
      <c r="O24" s="81">
        <f>FuncEndView!$U26</f>
        <v>2017199.077910342</v>
      </c>
      <c r="P24" s="158">
        <f>$O24-FuncPriorFcst!$U26</f>
        <v>-419.69809689745307</v>
      </c>
      <c r="Q24" s="158">
        <f>$O24-FuncBudget!$U26</f>
        <v>-419.69809689745307</v>
      </c>
      <c r="R24" s="172">
        <f>P24/$O24</f>
        <v>-2.0805982983703667E-4</v>
      </c>
      <c r="S24" s="172">
        <f>Q24/$O24</f>
        <v>-2.0805982983703667E-4</v>
      </c>
    </row>
    <row r="25" spans="2:19" hidden="1" outlineLevel="3" x14ac:dyDescent="0.2">
      <c r="B25" s="78" t="s">
        <v>11</v>
      </c>
      <c r="C25" s="81">
        <f>FuncEndView!$F27</f>
        <v>16455.860293360041</v>
      </c>
      <c r="D25" s="158">
        <f>$C25-FuncPriorFcst!$F27</f>
        <v>-4.1355739616628853</v>
      </c>
      <c r="E25" s="158">
        <f>$C25-FuncBudget!$F27</f>
        <v>-4.1355739616628853</v>
      </c>
      <c r="F25" s="172">
        <f t="shared" si="2"/>
        <v>-2.5131314242693187E-4</v>
      </c>
      <c r="G25" s="172">
        <f t="shared" si="2"/>
        <v>-2.5131314242693187E-4</v>
      </c>
      <c r="I25" s="81">
        <f>FuncEndView!$Q27</f>
        <v>114318.3627955391</v>
      </c>
      <c r="J25" s="158">
        <f>$I25-FuncPriorFcst!$Q27</f>
        <v>-28.729706991289277</v>
      </c>
      <c r="K25" s="158">
        <f>$I25-FuncBudget!$Q27</f>
        <v>-28.729706991289277</v>
      </c>
      <c r="L25" s="172">
        <f>J25/$I25</f>
        <v>-2.5131314242728429E-4</v>
      </c>
      <c r="M25" s="172">
        <f>K25/$I25</f>
        <v>-2.5131314242728429E-4</v>
      </c>
      <c r="O25" s="81">
        <f>FuncEndView!$U27</f>
        <v>456995.80479842215</v>
      </c>
      <c r="P25" s="158">
        <f>$O25-FuncPriorFcst!$U27</f>
        <v>-103.95329094561748</v>
      </c>
      <c r="Q25" s="158">
        <f>$O25-FuncBudget!$U27</f>
        <v>-103.95329094561748</v>
      </c>
      <c r="R25" s="172">
        <f>P25/$O25</f>
        <v>-2.274709961319461E-4</v>
      </c>
      <c r="S25" s="172">
        <f>Q25/$O25</f>
        <v>-2.274709961319461E-4</v>
      </c>
    </row>
    <row r="26" spans="2:19" hidden="1" outlineLevel="2" collapsed="1" x14ac:dyDescent="0.2">
      <c r="B26" s="51" t="s">
        <v>12</v>
      </c>
      <c r="C26" s="96">
        <f>FuncEndView!$F28</f>
        <v>138129.49397759797</v>
      </c>
      <c r="D26" s="157">
        <f>$C26-FuncPriorFcst!$F28</f>
        <v>-34.713757193356287</v>
      </c>
      <c r="E26" s="157">
        <f>$C26-FuncBudget!$F28</f>
        <v>-34.713757193356287</v>
      </c>
      <c r="F26" s="171">
        <f t="shared" si="2"/>
        <v>-2.5131314242696212E-4</v>
      </c>
      <c r="G26" s="171">
        <f t="shared" si="2"/>
        <v>-2.5131314242696212E-4</v>
      </c>
      <c r="I26" s="96">
        <f>FuncEndView!$Q28</f>
        <v>420746.42795522849</v>
      </c>
      <c r="J26" s="157">
        <f>$I26-FuncPriorFcst!$Q28</f>
        <v>-105.73910697433166</v>
      </c>
      <c r="K26" s="157">
        <f>$I26-FuncBudget!$Q28</f>
        <v>-105.73910697433166</v>
      </c>
      <c r="L26" s="171">
        <f>J26/$I26</f>
        <v>-2.5131314242692352E-4</v>
      </c>
      <c r="M26" s="171">
        <f>K26/$I26</f>
        <v>-2.5131314242692352E-4</v>
      </c>
      <c r="O26" s="96">
        <f>FuncEndView!$U28</f>
        <v>1528488.2472439392</v>
      </c>
      <c r="P26" s="157">
        <f>$O26-FuncPriorFcst!$U28</f>
        <v>-299.9857627497986</v>
      </c>
      <c r="Q26" s="157">
        <f>$O26-FuncBudget!$U28</f>
        <v>-299.9857627497986</v>
      </c>
      <c r="R26" s="171">
        <f>P26/$O26</f>
        <v>-1.9626304833596955E-4</v>
      </c>
      <c r="S26" s="171">
        <f>Q26/$O26</f>
        <v>-1.9626304833596955E-4</v>
      </c>
    </row>
    <row r="27" spans="2:19" hidden="1" outlineLevel="3" x14ac:dyDescent="0.2">
      <c r="B27" s="78" t="s">
        <v>10</v>
      </c>
      <c r="C27" s="81">
        <f>FuncEndView!$F29</f>
        <v>79162.661259724468</v>
      </c>
      <c r="D27" s="158">
        <f>$C27-FuncPriorFcst!$F29</f>
        <v>-19.894617164070951</v>
      </c>
      <c r="E27" s="158">
        <f>$C27-FuncBudget!$F29</f>
        <v>-19.894617164070951</v>
      </c>
      <c r="F27" s="172">
        <f t="shared" si="2"/>
        <v>-2.5131314242706897E-4</v>
      </c>
      <c r="G27" s="172">
        <f t="shared" si="2"/>
        <v>-2.5131314242706897E-4</v>
      </c>
      <c r="H27" s="60"/>
      <c r="I27" s="81">
        <f>FuncEndView!$Q29</f>
        <v>243721.2641933249</v>
      </c>
      <c r="J27" s="158">
        <f>$I27-FuncPriorFcst!$Q29</f>
        <v>-61.250356780772563</v>
      </c>
      <c r="K27" s="158">
        <f>$I27-FuncBudget!$Q29</f>
        <v>-61.250356780772563</v>
      </c>
      <c r="L27" s="172">
        <f>J27/$I27</f>
        <v>-2.5131314242727491E-4</v>
      </c>
      <c r="M27" s="172">
        <f>K27/$I27</f>
        <v>-2.5131314242727491E-4</v>
      </c>
      <c r="O27" s="81">
        <f>FuncEndView!$U29</f>
        <v>947932.81992392987</v>
      </c>
      <c r="P27" s="158">
        <f>$O27-FuncPriorFcst!$U29</f>
        <v>-194.1839955636533</v>
      </c>
      <c r="Q27" s="158">
        <f>$O27-FuncBudget!$U29</f>
        <v>-194.1839955636533</v>
      </c>
      <c r="R27" s="172">
        <f>P27/$O27</f>
        <v>-2.0484995506246556E-4</v>
      </c>
      <c r="S27" s="172">
        <f>Q27/$O27</f>
        <v>-2.0484995506246556E-4</v>
      </c>
    </row>
    <row r="28" spans="2:19" s="62" customFormat="1" hidden="1" outlineLevel="3" x14ac:dyDescent="0.2">
      <c r="B28" s="78" t="s">
        <v>11</v>
      </c>
      <c r="C28" s="81">
        <f>FuncEndView!$F30</f>
        <v>58966.832717873498</v>
      </c>
      <c r="D28" s="158">
        <f>$C28-FuncPriorFcst!$F30</f>
        <v>-14.819140029299888</v>
      </c>
      <c r="E28" s="158">
        <f>$C28-FuncBudget!$F30</f>
        <v>-14.819140029299888</v>
      </c>
      <c r="F28" s="173">
        <f t="shared" si="2"/>
        <v>-2.513131424270655E-4</v>
      </c>
      <c r="G28" s="173">
        <f t="shared" si="2"/>
        <v>-2.513131424270655E-4</v>
      </c>
      <c r="H28" s="63"/>
      <c r="I28" s="81">
        <f>FuncEndView!$Q30</f>
        <v>177025.16376190353</v>
      </c>
      <c r="J28" s="158">
        <f>$I28-FuncPriorFcst!$Q30</f>
        <v>-44.488750193675514</v>
      </c>
      <c r="K28" s="158">
        <f>$I28-FuncBudget!$Q30</f>
        <v>-44.488750193675514</v>
      </c>
      <c r="L28" s="173">
        <f>J28/$I28</f>
        <v>-2.5131314242709748E-4</v>
      </c>
      <c r="M28" s="173">
        <f>K28/$I28</f>
        <v>-2.5131314242709748E-4</v>
      </c>
      <c r="O28" s="81">
        <f>FuncEndView!$U30</f>
        <v>580555.42732000956</v>
      </c>
      <c r="P28" s="158">
        <f>$O28-FuncPriorFcst!$U30</f>
        <v>-105.80176718591247</v>
      </c>
      <c r="Q28" s="158">
        <f>$O28-FuncBudget!$U30</f>
        <v>-105.80176718591247</v>
      </c>
      <c r="R28" s="173">
        <f>P28/$O28</f>
        <v>-1.8224231866080409E-4</v>
      </c>
      <c r="S28" s="173">
        <f>Q28/$O28</f>
        <v>-1.8224231866080409E-4</v>
      </c>
    </row>
    <row r="29" spans="2:19" s="62" customFormat="1" hidden="1" outlineLevel="2" collapsed="1" x14ac:dyDescent="0.2">
      <c r="B29" s="31" t="s">
        <v>13</v>
      </c>
      <c r="C29" s="97">
        <f>FuncEndView!$F31</f>
        <v>37025.685660060102</v>
      </c>
      <c r="D29" s="161">
        <f>$C29-FuncPriorFcst!$F31</f>
        <v>-9.3050414137469488</v>
      </c>
      <c r="E29" s="161">
        <f>$C29-FuncBudget!$F31</f>
        <v>-9.3050414137469488</v>
      </c>
      <c r="F29" s="174">
        <f t="shared" si="2"/>
        <v>-2.5131314242707922E-4</v>
      </c>
      <c r="G29" s="174">
        <f t="shared" si="2"/>
        <v>-2.5131314242707922E-4</v>
      </c>
      <c r="H29" s="63"/>
      <c r="I29" s="97">
        <f>FuncEndView!$Q31</f>
        <v>220284.12983611517</v>
      </c>
      <c r="J29" s="161">
        <f>$I29-FuncPriorFcst!$Q31</f>
        <v>-55.360296895902138</v>
      </c>
      <c r="K29" s="161">
        <f>$I29-FuncBudget!$Q31</f>
        <v>-55.360296895902138</v>
      </c>
      <c r="L29" s="174">
        <f>J29/$I29</f>
        <v>-2.5131314242695806E-4</v>
      </c>
      <c r="M29" s="174">
        <f>K29/$I29</f>
        <v>-2.5131314242695806E-4</v>
      </c>
      <c r="O29" s="97">
        <f>FuncEndView!$U31</f>
        <v>726762.40300457762</v>
      </c>
      <c r="P29" s="161">
        <f>$O29-FuncPriorFcst!$U31</f>
        <v>-153.64283869694918</v>
      </c>
      <c r="Q29" s="161">
        <f>$O29-FuncBudget!$U31</f>
        <v>-153.64283869694918</v>
      </c>
      <c r="R29" s="174">
        <f>P29/$O29</f>
        <v>-2.1140724679999916E-4</v>
      </c>
      <c r="S29" s="174">
        <f>Q29/$O29</f>
        <v>-2.1140724679999916E-4</v>
      </c>
    </row>
    <row r="30" spans="2:19" s="62" customFormat="1" outlineLevel="1" collapsed="1" x14ac:dyDescent="0.2">
      <c r="B30" s="52" t="s">
        <v>126</v>
      </c>
      <c r="C30" s="82">
        <f>FuncEndView!$F32</f>
        <v>330239.19634174817</v>
      </c>
      <c r="D30" s="86">
        <f>$C30-FuncPriorFcst!$F32</f>
        <v>-82.993450185225811</v>
      </c>
      <c r="E30" s="86">
        <f>$C30-FuncBudget!$F32</f>
        <v>-82.993450185225811</v>
      </c>
      <c r="F30" s="175">
        <f t="shared" si="2"/>
        <v>-2.5131314242704252E-4</v>
      </c>
      <c r="G30" s="175">
        <f t="shared" si="2"/>
        <v>-2.5131314242704252E-4</v>
      </c>
      <c r="H30" s="63"/>
      <c r="I30" s="82">
        <f>FuncEndView!$Q32</f>
        <v>1218356.9897500586</v>
      </c>
      <c r="J30" s="86">
        <f>$I30-FuncPriorFcst!$Q32</f>
        <v>-306.1891236922238</v>
      </c>
      <c r="K30" s="86">
        <f>$I30-FuncBudget!$Q32</f>
        <v>-306.1891236922238</v>
      </c>
      <c r="L30" s="175">
        <f>J30/$I30</f>
        <v>-2.5131314242719398E-4</v>
      </c>
      <c r="M30" s="175">
        <f>K30/$I30</f>
        <v>-2.5131314242719398E-4</v>
      </c>
      <c r="O30" s="82">
        <f>FuncEndView!$U32</f>
        <v>4729445.5329572801</v>
      </c>
      <c r="P30" s="86">
        <f>$O30-FuncPriorFcst!$U32</f>
        <v>-977.27998929098248</v>
      </c>
      <c r="Q30" s="86">
        <f>$O30-FuncBudget!$U32</f>
        <v>-977.27998929098248</v>
      </c>
      <c r="R30" s="175">
        <f>P30/$O30</f>
        <v>-2.0663732830429661E-4</v>
      </c>
      <c r="S30" s="175">
        <f>Q30/$O30</f>
        <v>-2.0663732830429661E-4</v>
      </c>
    </row>
    <row r="31" spans="2:19" s="62" customFormat="1" outlineLevel="1" x14ac:dyDescent="0.2">
      <c r="B31" s="51"/>
      <c r="C31" s="79"/>
      <c r="D31" s="79"/>
      <c r="E31" s="79"/>
      <c r="F31" s="79"/>
      <c r="G31" s="79"/>
      <c r="H31" s="63"/>
      <c r="I31" s="79"/>
      <c r="J31" s="79"/>
      <c r="K31" s="79"/>
      <c r="L31" s="79"/>
      <c r="M31" s="79"/>
      <c r="O31" s="79"/>
      <c r="P31" s="79"/>
      <c r="Q31" s="79"/>
      <c r="R31" s="79"/>
      <c r="S31" s="79"/>
    </row>
    <row r="32" spans="2:19" s="62" customFormat="1" hidden="1" outlineLevel="2" x14ac:dyDescent="0.2">
      <c r="B32" s="51" t="s">
        <v>8</v>
      </c>
      <c r="C32" s="86">
        <f>FuncEndView!$F34</f>
        <v>160</v>
      </c>
      <c r="D32" s="86">
        <f>$C32-FuncPriorFcst!$F34</f>
        <v>0</v>
      </c>
      <c r="E32" s="86">
        <f>$C32-FuncBudget!$F34</f>
        <v>0</v>
      </c>
      <c r="F32" s="86"/>
      <c r="G32" s="86"/>
      <c r="H32" s="63"/>
      <c r="I32" s="86">
        <f>FuncEndView!$Q34</f>
        <v>512</v>
      </c>
      <c r="J32" s="86">
        <f>$I32-FuncPriorFcst!$Q34</f>
        <v>0</v>
      </c>
      <c r="K32" s="86">
        <f>$I32-FuncBudget!$Q34</f>
        <v>0</v>
      </c>
      <c r="L32" s="86"/>
      <c r="M32" s="86"/>
      <c r="O32" s="86">
        <f>FuncEndView!$U34</f>
        <v>2040</v>
      </c>
      <c r="P32" s="86">
        <f>$O32-FuncPriorFcst!$U34</f>
        <v>0</v>
      </c>
      <c r="Q32" s="86">
        <f>$O32-FuncBudget!$U34</f>
        <v>0</v>
      </c>
      <c r="R32" s="86"/>
      <c r="S32" s="86"/>
    </row>
    <row r="33" spans="2:19" s="62" customFormat="1" hidden="1" outlineLevel="2" x14ac:dyDescent="0.2">
      <c r="B33" s="52"/>
      <c r="C33" s="87"/>
      <c r="D33" s="87"/>
      <c r="E33" s="87"/>
      <c r="F33" s="87"/>
      <c r="G33" s="87"/>
      <c r="H33" s="63"/>
      <c r="I33" s="87"/>
      <c r="J33" s="87"/>
      <c r="K33" s="87"/>
      <c r="L33" s="87"/>
      <c r="M33" s="87"/>
      <c r="O33" s="87"/>
      <c r="P33" s="87"/>
      <c r="Q33" s="87"/>
      <c r="R33" s="87"/>
      <c r="S33" s="87"/>
    </row>
    <row r="34" spans="2:19" s="62" customFormat="1" hidden="1" outlineLevel="2" x14ac:dyDescent="0.2">
      <c r="B34" s="51" t="s">
        <v>0</v>
      </c>
      <c r="C34" s="103">
        <f>FuncEndView!$F36</f>
        <v>17</v>
      </c>
      <c r="D34" s="103">
        <f>$C34-FuncPriorFcst!$F36</f>
        <v>0</v>
      </c>
      <c r="E34" s="103">
        <f>$C34-FuncBudget!$F36</f>
        <v>0</v>
      </c>
      <c r="F34" s="152">
        <f t="shared" ref="F34:G45" si="3">D34/$C34</f>
        <v>0</v>
      </c>
      <c r="G34" s="152">
        <f t="shared" si="3"/>
        <v>0</v>
      </c>
      <c r="H34" s="63"/>
      <c r="I34" s="103">
        <f>FuncEndView!$Q36</f>
        <v>17.70064874884152</v>
      </c>
      <c r="J34" s="103">
        <f>$I34-FuncPriorFcst!$Q36</f>
        <v>0</v>
      </c>
      <c r="K34" s="103">
        <f>$I34-FuncBudget!$Q36</f>
        <v>0</v>
      </c>
      <c r="L34" s="152">
        <f>J34/$I34</f>
        <v>0</v>
      </c>
      <c r="M34" s="152">
        <f>K34/$I34</f>
        <v>0</v>
      </c>
      <c r="O34" s="103">
        <f>FuncEndView!$U36</f>
        <v>18.038498912362567</v>
      </c>
      <c r="P34" s="103">
        <f>$O34-FuncPriorFcst!$U36</f>
        <v>0</v>
      </c>
      <c r="Q34" s="103">
        <f>$O34-FuncBudget!$U36</f>
        <v>0</v>
      </c>
      <c r="R34" s="152">
        <f>P34/$O34</f>
        <v>0</v>
      </c>
      <c r="S34" s="152">
        <f>Q34/$O34</f>
        <v>0</v>
      </c>
    </row>
    <row r="35" spans="2:19" s="62" customFormat="1" hidden="1" outlineLevel="2" x14ac:dyDescent="0.2">
      <c r="B35" s="51" t="s">
        <v>1</v>
      </c>
      <c r="C35" s="103">
        <f>FuncEndView!$F37</f>
        <v>235</v>
      </c>
      <c r="D35" s="103">
        <f>$C35-FuncPriorFcst!$F37</f>
        <v>0</v>
      </c>
      <c r="E35" s="103">
        <f>$C35-FuncBudget!$F37</f>
        <v>0</v>
      </c>
      <c r="F35" s="152">
        <f t="shared" si="3"/>
        <v>0</v>
      </c>
      <c r="G35" s="152">
        <f t="shared" si="3"/>
        <v>0</v>
      </c>
      <c r="H35" s="63"/>
      <c r="I35" s="103">
        <f>FuncEndView!$Q37</f>
        <v>235</v>
      </c>
      <c r="J35" s="103">
        <f>$I35-FuncPriorFcst!$Q37</f>
        <v>0</v>
      </c>
      <c r="K35" s="103">
        <f>$I35-FuncBudget!$Q37</f>
        <v>0</v>
      </c>
      <c r="L35" s="152">
        <f>J35/$I35</f>
        <v>0</v>
      </c>
      <c r="M35" s="152">
        <f>K35/$I35</f>
        <v>0</v>
      </c>
      <c r="O35" s="103">
        <f>FuncEndView!$U37</f>
        <v>232.83360380401808</v>
      </c>
      <c r="P35" s="103">
        <f>$O35-FuncPriorFcst!$U37</f>
        <v>0</v>
      </c>
      <c r="Q35" s="103">
        <f>$O35-FuncBudget!$U37</f>
        <v>0</v>
      </c>
      <c r="R35" s="152">
        <f>P35/$O35</f>
        <v>0</v>
      </c>
      <c r="S35" s="152">
        <f>Q35/$O35</f>
        <v>0</v>
      </c>
    </row>
    <row r="36" spans="2:19" s="62" customFormat="1" hidden="1" outlineLevel="2" x14ac:dyDescent="0.2">
      <c r="B36" s="51" t="s">
        <v>2</v>
      </c>
      <c r="C36" s="103">
        <f>FuncEndView!$F38</f>
        <v>136</v>
      </c>
      <c r="D36" s="103">
        <f>$C36-FuncPriorFcst!$F38</f>
        <v>0</v>
      </c>
      <c r="E36" s="103">
        <f>$C36-FuncBudget!$F38</f>
        <v>0</v>
      </c>
      <c r="F36" s="152">
        <f t="shared" si="3"/>
        <v>0</v>
      </c>
      <c r="G36" s="152">
        <f t="shared" si="3"/>
        <v>0</v>
      </c>
      <c r="H36" s="63"/>
      <c r="I36" s="103">
        <f>FuncEndView!$Q38</f>
        <v>424</v>
      </c>
      <c r="J36" s="103">
        <f>$I36-FuncPriorFcst!$Q38</f>
        <v>0</v>
      </c>
      <c r="K36" s="103">
        <f>$I36-FuncBudget!$Q38</f>
        <v>0</v>
      </c>
      <c r="L36" s="152">
        <f>J36/$I36</f>
        <v>0</v>
      </c>
      <c r="M36" s="152">
        <f>K36/$I36</f>
        <v>0</v>
      </c>
      <c r="O36" s="103">
        <f>FuncEndView!$U38</f>
        <v>1720</v>
      </c>
      <c r="P36" s="103">
        <f>$O36-FuncPriorFcst!$U38</f>
        <v>0</v>
      </c>
      <c r="Q36" s="103">
        <f>$O36-FuncBudget!$U38</f>
        <v>0</v>
      </c>
      <c r="R36" s="152">
        <f>P36/$O36</f>
        <v>0</v>
      </c>
      <c r="S36" s="152">
        <f>Q36/$O36</f>
        <v>0</v>
      </c>
    </row>
    <row r="37" spans="2:19" s="62" customFormat="1" hidden="1" outlineLevel="2" x14ac:dyDescent="0.2">
      <c r="B37" s="51" t="s">
        <v>3</v>
      </c>
      <c r="C37" s="84">
        <f>FuncEndView!$F39</f>
        <v>0.75</v>
      </c>
      <c r="D37" s="84">
        <f>$C37-FuncPriorFcst!$F39</f>
        <v>0</v>
      </c>
      <c r="E37" s="84">
        <f>$C37-FuncBudget!$F39</f>
        <v>0</v>
      </c>
      <c r="F37" s="152">
        <f t="shared" si="3"/>
        <v>0</v>
      </c>
      <c r="G37" s="152">
        <f t="shared" si="3"/>
        <v>0</v>
      </c>
      <c r="H37" s="60"/>
      <c r="I37" s="84">
        <f>FuncEndView!$Q39</f>
        <v>0.75</v>
      </c>
      <c r="J37" s="84">
        <f>$I37-FuncPriorFcst!$Q39</f>
        <v>0</v>
      </c>
      <c r="K37" s="84">
        <f>$I37-FuncBudget!$Q39</f>
        <v>0</v>
      </c>
      <c r="L37" s="152">
        <f>J37/$I37</f>
        <v>0</v>
      </c>
      <c r="M37" s="152">
        <f>K37/$I37</f>
        <v>0</v>
      </c>
      <c r="O37" s="84">
        <f>FuncEndView!$U39</f>
        <v>0.75</v>
      </c>
      <c r="P37" s="84">
        <f>$O37-FuncPriorFcst!$U39</f>
        <v>0</v>
      </c>
      <c r="Q37" s="84">
        <f>$O37-FuncBudget!$U39</f>
        <v>0</v>
      </c>
      <c r="R37" s="152">
        <f>P37/$O37</f>
        <v>0</v>
      </c>
      <c r="S37" s="152">
        <f>Q37/$O37</f>
        <v>0</v>
      </c>
    </row>
    <row r="38" spans="2:19" s="62" customFormat="1" hidden="1" outlineLevel="2" x14ac:dyDescent="0.2">
      <c r="B38" s="31" t="s">
        <v>6</v>
      </c>
      <c r="C38" s="104">
        <f>FuncEndView!$F40</f>
        <v>0.625</v>
      </c>
      <c r="D38" s="104">
        <f>$C38-FuncPriorFcst!$F40</f>
        <v>0</v>
      </c>
      <c r="E38" s="104">
        <f>$C38-FuncBudget!$F40</f>
        <v>0</v>
      </c>
      <c r="F38" s="153">
        <f t="shared" si="3"/>
        <v>0</v>
      </c>
      <c r="G38" s="153">
        <f t="shared" si="3"/>
        <v>0</v>
      </c>
      <c r="H38" s="63"/>
      <c r="I38" s="104">
        <f>FuncEndView!$Q40</f>
        <v>0.625</v>
      </c>
      <c r="J38" s="104">
        <f>$I38-FuncPriorFcst!$Q40</f>
        <v>0</v>
      </c>
      <c r="K38" s="104">
        <f>$I38-FuncBudget!$Q40</f>
        <v>0</v>
      </c>
      <c r="L38" s="153">
        <f>J38/$I38</f>
        <v>0</v>
      </c>
      <c r="M38" s="153">
        <f>K38/$I38</f>
        <v>0</v>
      </c>
      <c r="O38" s="104">
        <f>FuncEndView!$U40</f>
        <v>0.625</v>
      </c>
      <c r="P38" s="104">
        <f>$O38-FuncPriorFcst!$U40</f>
        <v>0</v>
      </c>
      <c r="Q38" s="104">
        <f>$O38-FuncBudget!$U40</f>
        <v>0</v>
      </c>
      <c r="R38" s="153">
        <f>P38/$O38</f>
        <v>0</v>
      </c>
      <c r="S38" s="153">
        <f>Q38/$O38</f>
        <v>0</v>
      </c>
    </row>
    <row r="39" spans="2:19" outlineLevel="1" collapsed="1" x14ac:dyDescent="0.2">
      <c r="B39" s="52" t="s">
        <v>22</v>
      </c>
      <c r="C39" s="82">
        <f>FuncEndView!$F41</f>
        <v>379525</v>
      </c>
      <c r="D39" s="82">
        <f>$C39-FuncPriorFcst!$F41</f>
        <v>0</v>
      </c>
      <c r="E39" s="82">
        <f>$C39-FuncBudget!$F41</f>
        <v>0</v>
      </c>
      <c r="F39" s="154">
        <f t="shared" si="3"/>
        <v>0</v>
      </c>
      <c r="G39" s="154">
        <f t="shared" si="3"/>
        <v>0</v>
      </c>
      <c r="H39" s="60"/>
      <c r="I39" s="82">
        <f>FuncEndView!$Q41</f>
        <v>1267825</v>
      </c>
      <c r="J39" s="82">
        <f>$I39-FuncPriorFcst!$Q41</f>
        <v>0</v>
      </c>
      <c r="K39" s="82">
        <f>$I39-FuncBudget!$Q41</f>
        <v>0</v>
      </c>
      <c r="L39" s="154">
        <f>J39/$I39</f>
        <v>0</v>
      </c>
      <c r="M39" s="154">
        <f>K39/$I39</f>
        <v>0</v>
      </c>
      <c r="O39" s="82">
        <f>FuncEndView!$U41</f>
        <v>5068325</v>
      </c>
      <c r="P39" s="82">
        <f>$O39-FuncPriorFcst!$U41</f>
        <v>0</v>
      </c>
      <c r="Q39" s="82">
        <f>$O39-FuncBudget!$U41</f>
        <v>0</v>
      </c>
      <c r="R39" s="154">
        <f>P39/$O39</f>
        <v>0</v>
      </c>
      <c r="S39" s="154">
        <f>Q39/$O39</f>
        <v>0</v>
      </c>
    </row>
    <row r="40" spans="2:19" hidden="1" outlineLevel="2" x14ac:dyDescent="0.2">
      <c r="B40" s="51"/>
      <c r="C40" s="80"/>
      <c r="D40" s="80"/>
      <c r="E40" s="80"/>
      <c r="F40" s="80"/>
      <c r="G40" s="80"/>
      <c r="I40" s="80"/>
      <c r="J40" s="80"/>
      <c r="K40" s="80"/>
      <c r="L40" s="80"/>
      <c r="M40" s="80"/>
      <c r="O40" s="80"/>
      <c r="P40" s="80"/>
      <c r="Q40" s="80"/>
      <c r="R40" s="80"/>
      <c r="S40" s="80"/>
    </row>
    <row r="41" spans="2:19" hidden="1" outlineLevel="2" x14ac:dyDescent="0.2">
      <c r="B41" s="51" t="s">
        <v>4</v>
      </c>
      <c r="C41" s="103">
        <f>FuncEndView!$F43</f>
        <v>6</v>
      </c>
      <c r="D41" s="103">
        <f>$C41-FuncPriorFcst!$F43</f>
        <v>0</v>
      </c>
      <c r="E41" s="103">
        <f>$C41-FuncBudget!$F43</f>
        <v>0</v>
      </c>
      <c r="F41" s="152">
        <f t="shared" si="3"/>
        <v>0</v>
      </c>
      <c r="G41" s="152">
        <f t="shared" si="3"/>
        <v>0</v>
      </c>
      <c r="I41" s="103">
        <f>FuncEndView!$Q43</f>
        <v>6</v>
      </c>
      <c r="J41" s="103">
        <f>$I41-FuncPriorFcst!$Q43</f>
        <v>0</v>
      </c>
      <c r="K41" s="103">
        <f>$I41-FuncBudget!$Q43</f>
        <v>0</v>
      </c>
      <c r="L41" s="152">
        <f>J41/$I41</f>
        <v>0</v>
      </c>
      <c r="M41" s="152">
        <f>K41/$I41</f>
        <v>0</v>
      </c>
      <c r="O41" s="103">
        <f>FuncEndView!$U43</f>
        <v>6.0906966864910794</v>
      </c>
      <c r="P41" s="103">
        <f>$O41-FuncPriorFcst!$U43</f>
        <v>0</v>
      </c>
      <c r="Q41" s="103">
        <f>$O41-FuncBudget!$U43</f>
        <v>0</v>
      </c>
      <c r="R41" s="152">
        <f>P41/$O41</f>
        <v>0</v>
      </c>
      <c r="S41" s="152">
        <f>Q41/$O41</f>
        <v>0</v>
      </c>
    </row>
    <row r="42" spans="2:19" hidden="1" outlineLevel="2" x14ac:dyDescent="0.2">
      <c r="B42" s="51" t="s">
        <v>5</v>
      </c>
      <c r="C42" s="103">
        <f>FuncEndView!$F44</f>
        <v>325</v>
      </c>
      <c r="D42" s="103">
        <f>$C42-FuncPriorFcst!$F44</f>
        <v>0</v>
      </c>
      <c r="E42" s="103">
        <f>$C42-FuncBudget!$F44</f>
        <v>0</v>
      </c>
      <c r="F42" s="152">
        <f t="shared" si="3"/>
        <v>0</v>
      </c>
      <c r="G42" s="152">
        <f t="shared" si="3"/>
        <v>0</v>
      </c>
      <c r="I42" s="103">
        <f>FuncEndView!$Q44</f>
        <v>325</v>
      </c>
      <c r="J42" s="103">
        <f>$I42-FuncPriorFcst!$Q44</f>
        <v>0</v>
      </c>
      <c r="K42" s="103">
        <f>$I42-FuncBudget!$Q44</f>
        <v>0</v>
      </c>
      <c r="L42" s="152">
        <f>J42/$I42</f>
        <v>0</v>
      </c>
      <c r="M42" s="152">
        <f>K42/$I42</f>
        <v>0</v>
      </c>
      <c r="O42" s="103">
        <f>FuncEndView!$U44</f>
        <v>322.95932455395069</v>
      </c>
      <c r="P42" s="103">
        <f>$O42-FuncPriorFcst!$U44</f>
        <v>0</v>
      </c>
      <c r="Q42" s="103">
        <f>$O42-FuncBudget!$U44</f>
        <v>0</v>
      </c>
      <c r="R42" s="152">
        <f>P42/$O42</f>
        <v>0</v>
      </c>
      <c r="S42" s="152">
        <f>Q42/$O42</f>
        <v>0</v>
      </c>
    </row>
    <row r="43" spans="2:19" hidden="1" outlineLevel="2" x14ac:dyDescent="0.2">
      <c r="B43" s="51" t="s">
        <v>2</v>
      </c>
      <c r="C43" s="103">
        <f>FuncEndView!$F45</f>
        <v>48</v>
      </c>
      <c r="D43" s="103">
        <f>$C43-FuncPriorFcst!$F45</f>
        <v>0</v>
      </c>
      <c r="E43" s="103">
        <f>$C43-FuncBudget!$F45</f>
        <v>0</v>
      </c>
      <c r="F43" s="152">
        <f t="shared" si="3"/>
        <v>0</v>
      </c>
      <c r="G43" s="152">
        <f t="shared" si="3"/>
        <v>0</v>
      </c>
      <c r="I43" s="103">
        <f>FuncEndView!$Q45</f>
        <v>144</v>
      </c>
      <c r="J43" s="103">
        <f>$I43-FuncPriorFcst!$Q45</f>
        <v>0</v>
      </c>
      <c r="K43" s="103">
        <f>$I43-FuncBudget!$Q45</f>
        <v>0</v>
      </c>
      <c r="L43" s="152">
        <f>J43/$I43</f>
        <v>0</v>
      </c>
      <c r="M43" s="152">
        <f>K43/$I43</f>
        <v>0</v>
      </c>
      <c r="O43" s="103">
        <f>FuncEndView!$U45</f>
        <v>576</v>
      </c>
      <c r="P43" s="103">
        <f>$O43-FuncPriorFcst!$U45</f>
        <v>0</v>
      </c>
      <c r="Q43" s="103">
        <f>$O43-FuncBudget!$U45</f>
        <v>0</v>
      </c>
      <c r="R43" s="152">
        <f>P43/$O43</f>
        <v>0</v>
      </c>
      <c r="S43" s="152">
        <f>Q43/$O43</f>
        <v>0</v>
      </c>
    </row>
    <row r="44" spans="2:19" hidden="1" outlineLevel="2" x14ac:dyDescent="0.2">
      <c r="B44" s="31" t="s">
        <v>6</v>
      </c>
      <c r="C44" s="104">
        <f>FuncEndView!$F46</f>
        <v>0.375</v>
      </c>
      <c r="D44" s="104">
        <f>$C44-FuncPriorFcst!$F46</f>
        <v>0</v>
      </c>
      <c r="E44" s="104">
        <f>$C44-FuncBudget!$F46</f>
        <v>0</v>
      </c>
      <c r="F44" s="153">
        <f t="shared" si="3"/>
        <v>0</v>
      </c>
      <c r="G44" s="153">
        <f t="shared" si="3"/>
        <v>0</v>
      </c>
      <c r="I44" s="104">
        <f>FuncEndView!$Q46</f>
        <v>0.375</v>
      </c>
      <c r="J44" s="104">
        <f>$I44-FuncPriorFcst!$Q46</f>
        <v>0</v>
      </c>
      <c r="K44" s="104">
        <f>$I44-FuncBudget!$Q46</f>
        <v>0</v>
      </c>
      <c r="L44" s="153">
        <f>J44/$I44</f>
        <v>0</v>
      </c>
      <c r="M44" s="153">
        <f>K44/$I44</f>
        <v>0</v>
      </c>
      <c r="O44" s="104">
        <f>FuncEndView!$U46</f>
        <v>0.375</v>
      </c>
      <c r="P44" s="104">
        <f>$O44-FuncPriorFcst!$U46</f>
        <v>0</v>
      </c>
      <c r="Q44" s="104">
        <f>$O44-FuncBudget!$U46</f>
        <v>0</v>
      </c>
      <c r="R44" s="153">
        <f>P44/$O44</f>
        <v>0</v>
      </c>
      <c r="S44" s="153">
        <f>Q44/$O44</f>
        <v>0</v>
      </c>
    </row>
    <row r="45" spans="2:19" outlineLevel="1" collapsed="1" x14ac:dyDescent="0.2">
      <c r="B45" s="52" t="s">
        <v>23</v>
      </c>
      <c r="C45" s="82">
        <f>FuncEndView!$F47</f>
        <v>111150</v>
      </c>
      <c r="D45" s="82">
        <f>$C45-FuncPriorFcst!$F47</f>
        <v>0</v>
      </c>
      <c r="E45" s="82">
        <f>$C45-FuncBudget!$F47</f>
        <v>0</v>
      </c>
      <c r="F45" s="154">
        <f t="shared" si="3"/>
        <v>0</v>
      </c>
      <c r="G45" s="154">
        <f t="shared" si="3"/>
        <v>0</v>
      </c>
      <c r="I45" s="82">
        <f>FuncEndView!$Q47</f>
        <v>356850</v>
      </c>
      <c r="J45" s="82">
        <f>$I45-FuncPriorFcst!$Q47</f>
        <v>0</v>
      </c>
      <c r="K45" s="82">
        <f>$I45-FuncBudget!$Q47</f>
        <v>0</v>
      </c>
      <c r="L45" s="154">
        <f>J45/$I45</f>
        <v>0</v>
      </c>
      <c r="M45" s="154">
        <f>K45/$I45</f>
        <v>0</v>
      </c>
      <c r="O45" s="82">
        <f>FuncEndView!$U47</f>
        <v>1412400</v>
      </c>
      <c r="P45" s="82">
        <f>$O45-FuncPriorFcst!$U47</f>
        <v>0</v>
      </c>
      <c r="Q45" s="82">
        <f>$O45-FuncBudget!$U47</f>
        <v>0</v>
      </c>
      <c r="R45" s="154">
        <f>P45/$O45</f>
        <v>0</v>
      </c>
      <c r="S45" s="154">
        <f>Q45/$O45</f>
        <v>0</v>
      </c>
    </row>
    <row r="46" spans="2:19" outlineLevel="1" x14ac:dyDescent="0.2">
      <c r="B46" s="51"/>
      <c r="C46" s="88"/>
      <c r="D46" s="88"/>
      <c r="E46" s="88"/>
      <c r="F46" s="88"/>
      <c r="G46" s="88"/>
      <c r="I46" s="88"/>
      <c r="J46" s="88"/>
      <c r="K46" s="88"/>
      <c r="L46" s="88"/>
      <c r="M46" s="88"/>
      <c r="O46" s="88"/>
      <c r="P46" s="88"/>
      <c r="Q46" s="88"/>
      <c r="R46" s="88"/>
      <c r="S46" s="88"/>
    </row>
    <row r="47" spans="2:19" outlineLevel="1" x14ac:dyDescent="0.2">
      <c r="B47" s="52" t="s">
        <v>66</v>
      </c>
      <c r="C47" s="79"/>
      <c r="D47" s="79"/>
      <c r="E47" s="79"/>
      <c r="F47" s="79"/>
      <c r="G47" s="79"/>
      <c r="I47" s="79"/>
      <c r="J47" s="79"/>
      <c r="K47" s="79"/>
      <c r="L47" s="79"/>
      <c r="M47" s="79"/>
      <c r="O47" s="79"/>
      <c r="P47" s="79"/>
      <c r="Q47" s="79"/>
      <c r="R47" s="79"/>
      <c r="S47" s="79"/>
    </row>
    <row r="48" spans="2:19" outlineLevel="1" x14ac:dyDescent="0.2">
      <c r="B48" s="55" t="s">
        <v>65</v>
      </c>
      <c r="C48" s="96">
        <f>FuncEndView!$F50</f>
        <v>265251.83996901853</v>
      </c>
      <c r="D48" s="157">
        <f>$C48-FuncPriorFcst!$F50</f>
        <v>0</v>
      </c>
      <c r="E48" s="157">
        <f>$C48-FuncBudget!$F50</f>
        <v>0</v>
      </c>
      <c r="F48" s="179">
        <f t="shared" ref="F48:G57" si="4">D48/$C48</f>
        <v>0</v>
      </c>
      <c r="G48" s="179">
        <f t="shared" si="4"/>
        <v>0</v>
      </c>
      <c r="I48" s="96">
        <f>FuncEndView!$Q50</f>
        <v>617334.28586807568</v>
      </c>
      <c r="J48" s="157">
        <f>$I48-FuncPriorFcst!$Q50</f>
        <v>351.73071518377401</v>
      </c>
      <c r="K48" s="157">
        <f>$I48-FuncBudget!$Q50</f>
        <v>351.73071518377401</v>
      </c>
      <c r="L48" s="179">
        <f>J48/$I48</f>
        <v>5.6975729881774111E-4</v>
      </c>
      <c r="M48" s="179">
        <f>K48/$I48</f>
        <v>5.6975729881774111E-4</v>
      </c>
      <c r="O48" s="96">
        <f>FuncEndView!$U50</f>
        <v>2368173.2879247759</v>
      </c>
      <c r="P48" s="157">
        <f>$O48-FuncPriorFcst!$U50</f>
        <v>1778.8615218671039</v>
      </c>
      <c r="Q48" s="157">
        <f>$O48-FuncBudget!$U50</f>
        <v>1778.8615218671039</v>
      </c>
      <c r="R48" s="179">
        <f>P48/$O48</f>
        <v>7.511534442759954E-4</v>
      </c>
      <c r="S48" s="179">
        <f>Q48/$O48</f>
        <v>7.511534442759954E-4</v>
      </c>
    </row>
    <row r="49" spans="2:19" outlineLevel="1" x14ac:dyDescent="0.2">
      <c r="B49" s="55" t="s">
        <v>67</v>
      </c>
      <c r="C49" s="96">
        <f>FuncEndView!$F51</f>
        <v>5378304.514973958</v>
      </c>
      <c r="D49" s="157">
        <f>$C49-FuncPriorFcst!$F51</f>
        <v>-2258.1313973879442</v>
      </c>
      <c r="E49" s="157">
        <f>$C49-FuncBudget!$F51</f>
        <v>-5646.3949291082099</v>
      </c>
      <c r="F49" s="179">
        <f t="shared" si="4"/>
        <v>-4.1985934249371489E-4</v>
      </c>
      <c r="G49" s="179">
        <f t="shared" si="4"/>
        <v>-1.0498466409605202E-3</v>
      </c>
      <c r="I49" s="96">
        <f>FuncEndView!$Q51</f>
        <v>16017549.089517532</v>
      </c>
      <c r="J49" s="157">
        <f>$I49-FuncPriorFcst!$Q51</f>
        <v>-6725.1176290865988</v>
      </c>
      <c r="K49" s="157">
        <f>$I49-FuncBudget!$Q51</f>
        <v>-20164.815615421161</v>
      </c>
      <c r="L49" s="179">
        <f>J49/$I49</f>
        <v>-4.1985934249377522E-4</v>
      </c>
      <c r="M49" s="179">
        <f>K49/$I49</f>
        <v>-1.2589201695419028E-3</v>
      </c>
      <c r="O49" s="96">
        <f>FuncEndView!$U51</f>
        <v>63393254.551335439</v>
      </c>
      <c r="P49" s="157">
        <f>$O49-FuncPriorFcst!$U51</f>
        <v>-23160.949938252568</v>
      </c>
      <c r="Q49" s="157">
        <f>$O49-FuncBudget!$U51</f>
        <v>-95248.827061489224</v>
      </c>
      <c r="R49" s="179">
        <f>P49/$O49</f>
        <v>-3.6535353961827255E-4</v>
      </c>
      <c r="S49" s="179">
        <f>Q49/$O49</f>
        <v>-1.5025072893892417E-3</v>
      </c>
    </row>
    <row r="50" spans="2:19" hidden="1" outlineLevel="2" x14ac:dyDescent="0.2">
      <c r="B50" s="105" t="s">
        <v>70</v>
      </c>
      <c r="C50" s="81">
        <f>FuncEndView!$F52</f>
        <v>2447128.5543131512</v>
      </c>
      <c r="D50" s="158">
        <f>$C50-FuncPriorFcst!$F52</f>
        <v>-1027.4497858113609</v>
      </c>
      <c r="E50" s="158">
        <f>$C50-FuncBudget!$F52</f>
        <v>-83328.373341289815</v>
      </c>
      <c r="F50" s="180">
        <f t="shared" si="4"/>
        <v>-4.1985934249365206E-4</v>
      </c>
      <c r="G50" s="180">
        <f t="shared" si="4"/>
        <v>-3.4051489936816191E-2</v>
      </c>
      <c r="I50" s="81">
        <f>FuncEndView!$Q52</f>
        <v>7287984.8357304772</v>
      </c>
      <c r="J50" s="158">
        <f>$I50-FuncPriorFcst!$Q52</f>
        <v>-3059.9285212336108</v>
      </c>
      <c r="K50" s="158">
        <f>$I50-FuncBudget!$Q52</f>
        <v>-249740.69968201127</v>
      </c>
      <c r="L50" s="180">
        <f>J50/$I50</f>
        <v>-4.1985934249366659E-4</v>
      </c>
      <c r="M50" s="180">
        <f>K50/$I50</f>
        <v>-3.426745599930707E-2</v>
      </c>
      <c r="O50" s="81">
        <f>FuncEndView!$U52</f>
        <v>28925813.617732629</v>
      </c>
      <c r="P50" s="158">
        <f>$O50-FuncPriorFcst!$U52</f>
        <v>71344.564653102309</v>
      </c>
      <c r="Q50" s="158">
        <f>$O50-FuncBudget!$U52</f>
        <v>-913782.97011392564</v>
      </c>
      <c r="R50" s="180">
        <f>P50/$O50</f>
        <v>2.4664669971241663E-3</v>
      </c>
      <c r="S50" s="180">
        <f>Q50/$O50</f>
        <v>-3.1590571044602937E-2</v>
      </c>
    </row>
    <row r="51" spans="2:19" hidden="1" outlineLevel="2" x14ac:dyDescent="0.2">
      <c r="B51" s="105" t="s">
        <v>71</v>
      </c>
      <c r="C51" s="81">
        <f>FuncEndView!$F53</f>
        <v>2393345.5091634113</v>
      </c>
      <c r="D51" s="158">
        <f>$C51-FuncPriorFcst!$F53</f>
        <v>-1004.8684718376026</v>
      </c>
      <c r="E51" s="158">
        <f>$C51-FuncBudget!$F53</f>
        <v>78246.617905092891</v>
      </c>
      <c r="F51" s="180">
        <f t="shared" si="4"/>
        <v>-4.1985934249370128E-4</v>
      </c>
      <c r="G51" s="180">
        <f t="shared" si="4"/>
        <v>3.2693406616599967E-2</v>
      </c>
      <c r="I51" s="81">
        <f>FuncEndView!$Q53</f>
        <v>7127809.3448353019</v>
      </c>
      <c r="J51" s="158">
        <f>$I51-FuncPriorFcst!$Q53</f>
        <v>-2992.6773449433967</v>
      </c>
      <c r="K51" s="158">
        <f>$I51-FuncBudget!$Q53</f>
        <v>231592.36562813167</v>
      </c>
      <c r="L51" s="180">
        <f>J51/$I51</f>
        <v>-4.198593424937556E-4</v>
      </c>
      <c r="M51" s="180">
        <f>K51/$I51</f>
        <v>3.2491380510330264E-2</v>
      </c>
      <c r="O51" s="81">
        <f>FuncEndView!$U53</f>
        <v>28128115.478469275</v>
      </c>
      <c r="P51" s="158">
        <f>$O51-FuncPriorFcst!$U53</f>
        <v>-92189.419597517699</v>
      </c>
      <c r="Q51" s="158">
        <f>$O51-FuncBudget!$U53</f>
        <v>828059.02575860173</v>
      </c>
      <c r="R51" s="180">
        <f>P51/$O51</f>
        <v>-3.2774829749289205E-3</v>
      </c>
      <c r="S51" s="180">
        <f>Q51/$O51</f>
        <v>2.9438837677996637E-2</v>
      </c>
    </row>
    <row r="52" spans="2:19" hidden="1" outlineLevel="2" x14ac:dyDescent="0.2">
      <c r="B52" s="105" t="s">
        <v>72</v>
      </c>
      <c r="C52" s="81">
        <f>FuncEndView!$F54</f>
        <v>322698.27089843748</v>
      </c>
      <c r="D52" s="158">
        <f>$C52-FuncPriorFcst!$F54</f>
        <v>-135.48788384324871</v>
      </c>
      <c r="E52" s="158">
        <f>$C52-FuncBudget!$F54</f>
        <v>-108017.80189380783</v>
      </c>
      <c r="F52" s="180">
        <f t="shared" si="4"/>
        <v>-4.1985934249362831E-4</v>
      </c>
      <c r="G52" s="180">
        <f t="shared" si="4"/>
        <v>-0.33473312885461409</v>
      </c>
      <c r="I52" s="81">
        <f>FuncEndView!$Q54</f>
        <v>961052.94537105178</v>
      </c>
      <c r="J52" s="158">
        <f>$I52-FuncPriorFcst!$Q54</f>
        <v>-403.50705774524249</v>
      </c>
      <c r="K52" s="158">
        <f>$I52-FuncBudget!$Q54</f>
        <v>-321964.1670395846</v>
      </c>
      <c r="L52" s="180">
        <f>J52/$I52</f>
        <v>-4.1985934249382374E-4</v>
      </c>
      <c r="M52" s="180">
        <f>K52/$I52</f>
        <v>-0.33501189355938954</v>
      </c>
      <c r="O52" s="81">
        <f>FuncEndView!$U54</f>
        <v>3967360.8668301264</v>
      </c>
      <c r="P52" s="158">
        <f>$O52-FuncPriorFcst!$U54</f>
        <v>162375.93675370514</v>
      </c>
      <c r="Q52" s="158">
        <f>$O52-FuncBudget!$U54</f>
        <v>-1111719.4034416275</v>
      </c>
      <c r="R52" s="180">
        <f>P52/$O52</f>
        <v>4.0927947369567508E-2</v>
      </c>
      <c r="S52" s="180">
        <f>Q52/$O52</f>
        <v>-0.28021635559708435</v>
      </c>
    </row>
    <row r="53" spans="2:19" hidden="1" outlineLevel="2" x14ac:dyDescent="0.2">
      <c r="B53" s="105" t="s">
        <v>73</v>
      </c>
      <c r="C53" s="81">
        <f>FuncEndView!$F55</f>
        <v>215132.18059895834</v>
      </c>
      <c r="D53" s="158">
        <f>$C53-FuncPriorFcst!$F55</f>
        <v>-90.32525589549914</v>
      </c>
      <c r="E53" s="158">
        <f>$C53-FuncBudget!$F55</f>
        <v>107453.16240089701</v>
      </c>
      <c r="F53" s="180">
        <f t="shared" si="4"/>
        <v>-4.1985934249362826E-4</v>
      </c>
      <c r="G53" s="180">
        <f t="shared" si="4"/>
        <v>0.49947507667951979</v>
      </c>
      <c r="I53" s="81">
        <f>FuncEndView!$Q55</f>
        <v>640701.96358070127</v>
      </c>
      <c r="J53" s="158">
        <f>$I53-FuncPriorFcst!$Q55</f>
        <v>-269.00470516341738</v>
      </c>
      <c r="K53" s="158">
        <f>$I53-FuncBudget!$Q55</f>
        <v>319947.68547804217</v>
      </c>
      <c r="L53" s="180">
        <f>J53/$I53</f>
        <v>-4.1985934249370253E-4</v>
      </c>
      <c r="M53" s="180">
        <f>K53/$I53</f>
        <v>0.49937053991522901</v>
      </c>
      <c r="O53" s="81">
        <f>FuncEndView!$U55</f>
        <v>2371964.5883034179</v>
      </c>
      <c r="P53" s="158">
        <f>$O53-FuncPriorFcst!$U55</f>
        <v>-164692.03174752928</v>
      </c>
      <c r="Q53" s="158">
        <f>$O53-FuncBudget!$U55</f>
        <v>1102194.5207354794</v>
      </c>
      <c r="R53" s="180">
        <f>P53/$O53</f>
        <v>-6.9432753153084656E-2</v>
      </c>
      <c r="S53" s="180">
        <f>Q53/$O53</f>
        <v>0.46467579076458304</v>
      </c>
    </row>
    <row r="54" spans="2:19" outlineLevel="1" collapsed="1" x14ac:dyDescent="0.2">
      <c r="B54" s="55" t="s">
        <v>68</v>
      </c>
      <c r="C54" s="107">
        <f>FuncEndView!$F56</f>
        <v>490675</v>
      </c>
      <c r="D54" s="48">
        <f>$C54-FuncPriorFcst!$F56</f>
        <v>0</v>
      </c>
      <c r="E54" s="48">
        <f>$C54-FuncBudget!$F56</f>
        <v>0</v>
      </c>
      <c r="F54" s="171">
        <f t="shared" si="4"/>
        <v>0</v>
      </c>
      <c r="G54" s="171">
        <f t="shared" si="4"/>
        <v>0</v>
      </c>
      <c r="I54" s="107">
        <f>FuncEndView!$Q56</f>
        <v>1624675</v>
      </c>
      <c r="J54" s="48">
        <f>$I54-FuncPriorFcst!$Q56</f>
        <v>0</v>
      </c>
      <c r="K54" s="48">
        <f>$I54-FuncBudget!$Q56</f>
        <v>0</v>
      </c>
      <c r="L54" s="171">
        <f>J54/$I54</f>
        <v>0</v>
      </c>
      <c r="M54" s="171">
        <f>K54/$I54</f>
        <v>0</v>
      </c>
      <c r="O54" s="107">
        <f>FuncEndView!$U56</f>
        <v>6480725</v>
      </c>
      <c r="P54" s="48">
        <f>$O54-FuncPriorFcst!$U56</f>
        <v>0</v>
      </c>
      <c r="Q54" s="48">
        <f>$O54-FuncBudget!$U56</f>
        <v>0</v>
      </c>
      <c r="R54" s="171">
        <f>P54/$O54</f>
        <v>0</v>
      </c>
      <c r="S54" s="171">
        <f>Q54/$O54</f>
        <v>0</v>
      </c>
    </row>
    <row r="55" spans="2:19" outlineLevel="2" x14ac:dyDescent="0.2">
      <c r="B55" s="105" t="s">
        <v>22</v>
      </c>
      <c r="C55" s="27">
        <f>FuncEndView!$F57</f>
        <v>379525</v>
      </c>
      <c r="D55" s="49">
        <f>$C55-FuncPriorFcst!$F57</f>
        <v>0</v>
      </c>
      <c r="E55" s="49">
        <f>$C55-FuncBudget!$F57</f>
        <v>0</v>
      </c>
      <c r="F55" s="172">
        <f t="shared" si="4"/>
        <v>0</v>
      </c>
      <c r="G55" s="172">
        <f t="shared" si="4"/>
        <v>0</v>
      </c>
      <c r="I55" s="27">
        <f>FuncEndView!$Q57</f>
        <v>1267825</v>
      </c>
      <c r="J55" s="49">
        <f>$I55-FuncPriorFcst!$Q57</f>
        <v>0</v>
      </c>
      <c r="K55" s="49">
        <f>$I55-FuncBudget!$Q57</f>
        <v>0</v>
      </c>
      <c r="L55" s="172">
        <f>J55/$I55</f>
        <v>0</v>
      </c>
      <c r="M55" s="172">
        <f>K55/$I55</f>
        <v>0</v>
      </c>
      <c r="O55" s="27">
        <f>FuncEndView!$U57</f>
        <v>5068325</v>
      </c>
      <c r="P55" s="49">
        <f>$O55-FuncPriorFcst!$U57</f>
        <v>0</v>
      </c>
      <c r="Q55" s="49">
        <f>$O55-FuncBudget!$U57</f>
        <v>0</v>
      </c>
      <c r="R55" s="172">
        <f>P55/$O55</f>
        <v>0</v>
      </c>
      <c r="S55" s="172">
        <f>Q55/$O55</f>
        <v>0</v>
      </c>
    </row>
    <row r="56" spans="2:19" outlineLevel="2" x14ac:dyDescent="0.2">
      <c r="B56" s="105" t="s">
        <v>23</v>
      </c>
      <c r="C56" s="34">
        <f>FuncEndView!$F58</f>
        <v>111150</v>
      </c>
      <c r="D56" s="159">
        <f>$C56-FuncPriorFcst!$F58</f>
        <v>0</v>
      </c>
      <c r="E56" s="159">
        <f>$C56-FuncBudget!$F58</f>
        <v>0</v>
      </c>
      <c r="F56" s="173">
        <f t="shared" si="4"/>
        <v>0</v>
      </c>
      <c r="G56" s="173">
        <f t="shared" si="4"/>
        <v>0</v>
      </c>
      <c r="I56" s="34">
        <f>FuncEndView!$Q58</f>
        <v>356850</v>
      </c>
      <c r="J56" s="159">
        <f>$I56-FuncPriorFcst!$Q58</f>
        <v>0</v>
      </c>
      <c r="K56" s="159">
        <f>$I56-FuncBudget!$Q58</f>
        <v>0</v>
      </c>
      <c r="L56" s="173">
        <f>J56/$I56</f>
        <v>0</v>
      </c>
      <c r="M56" s="173">
        <f>K56/$I56</f>
        <v>0</v>
      </c>
      <c r="O56" s="34">
        <f>FuncEndView!$U58</f>
        <v>1412400</v>
      </c>
      <c r="P56" s="159">
        <f>$O56-FuncPriorFcst!$U58</f>
        <v>0</v>
      </c>
      <c r="Q56" s="159">
        <f>$O56-FuncBudget!$U58</f>
        <v>0</v>
      </c>
      <c r="R56" s="173">
        <f>P56/$O56</f>
        <v>0</v>
      </c>
      <c r="S56" s="173">
        <f>Q56/$O56</f>
        <v>0</v>
      </c>
    </row>
    <row r="57" spans="2:19" x14ac:dyDescent="0.2">
      <c r="B57" s="155" t="s">
        <v>69</v>
      </c>
      <c r="C57" s="156">
        <f>FuncEndView!$F59</f>
        <v>6134231.3549429765</v>
      </c>
      <c r="D57" s="160">
        <f>$C57-FuncPriorFcst!$F59</f>
        <v>-2258.1313973879442</v>
      </c>
      <c r="E57" s="160">
        <f>$C57-FuncBudget!$F59</f>
        <v>-5646.3949291082099</v>
      </c>
      <c r="F57" s="181">
        <f t="shared" si="4"/>
        <v>-3.6811969857777487E-4</v>
      </c>
      <c r="G57" s="181">
        <f t="shared" si="4"/>
        <v>-9.2047309636574643E-4</v>
      </c>
      <c r="I57" s="156">
        <f>FuncEndView!$Q59</f>
        <v>18259558.375385609</v>
      </c>
      <c r="J57" s="160">
        <f>$I57-FuncPriorFcst!$Q59</f>
        <v>-6373.3869138993323</v>
      </c>
      <c r="K57" s="160">
        <f>$I57-FuncBudget!$Q59</f>
        <v>-19813.08490023762</v>
      </c>
      <c r="L57" s="181">
        <f>J57/$I57</f>
        <v>-3.4904386967490051E-4</v>
      </c>
      <c r="M57" s="181">
        <f>K57/$I57</f>
        <v>-1.0850801806327479E-3</v>
      </c>
      <c r="O57" s="156">
        <f>FuncEndView!$U59</f>
        <v>72242152.839260221</v>
      </c>
      <c r="P57" s="160">
        <f>$O57-FuncPriorFcst!$U59</f>
        <v>-21382.08841638267</v>
      </c>
      <c r="Q57" s="160">
        <f>$O57-FuncBudget!$U59</f>
        <v>-93469.965539604425</v>
      </c>
      <c r="R57" s="181">
        <f>P57/$O57</f>
        <v>-2.9597800696718038E-4</v>
      </c>
      <c r="S57" s="181">
        <f>Q57/$O57</f>
        <v>-1.2938424709957963E-3</v>
      </c>
    </row>
    <row r="58" spans="2:19" x14ac:dyDescent="0.2">
      <c r="B58" s="55"/>
      <c r="C58" s="24"/>
      <c r="D58" s="24"/>
      <c r="E58" s="24"/>
      <c r="F58" s="24"/>
      <c r="G58" s="24"/>
      <c r="I58" s="24"/>
      <c r="J58" s="24"/>
      <c r="K58" s="24"/>
      <c r="L58" s="24"/>
      <c r="M58" s="24"/>
      <c r="O58" s="24"/>
      <c r="P58" s="24"/>
      <c r="Q58" s="24"/>
      <c r="R58" s="24"/>
      <c r="S58" s="24"/>
    </row>
    <row r="59" spans="2:19" hidden="1" outlineLevel="1" x14ac:dyDescent="0.2">
      <c r="B59" s="59" t="s">
        <v>43</v>
      </c>
      <c r="C59" s="24"/>
      <c r="D59" s="24"/>
      <c r="E59" s="24"/>
      <c r="F59" s="24"/>
      <c r="G59" s="24"/>
      <c r="I59" s="24"/>
      <c r="J59" s="24"/>
      <c r="K59" s="24"/>
      <c r="L59" s="24"/>
      <c r="M59" s="24"/>
      <c r="O59" s="24"/>
      <c r="P59" s="24"/>
      <c r="Q59" s="24"/>
      <c r="R59" s="24"/>
      <c r="S59" s="24"/>
    </row>
    <row r="60" spans="2:19" hidden="1" outlineLevel="1" x14ac:dyDescent="0.2">
      <c r="B60" s="57" t="s">
        <v>44</v>
      </c>
      <c r="C60" s="26">
        <f>FuncEndView!$F62</f>
        <v>337382.72452186368</v>
      </c>
      <c r="D60" s="162">
        <f>$C60-FuncPriorFcst!$F62</f>
        <v>-124.19722685636953</v>
      </c>
      <c r="E60" s="162">
        <f>$C60-FuncBudget!$F62</f>
        <v>30388.837028259411</v>
      </c>
      <c r="F60" s="176">
        <f>D60/$C60</f>
        <v>-3.6811969857787152E-4</v>
      </c>
      <c r="G60" s="176">
        <f>E60/$C60</f>
        <v>9.0072297185121872E-2</v>
      </c>
      <c r="I60" s="26">
        <f>FuncEndView!$Q62</f>
        <v>1004275.7106462084</v>
      </c>
      <c r="J60" s="162">
        <f>$I60-FuncPriorFcst!$Q62</f>
        <v>-350.53628026461229</v>
      </c>
      <c r="K60" s="162">
        <f>$I60-FuncBudget!$Q62</f>
        <v>90307.137631915975</v>
      </c>
      <c r="L60" s="176">
        <f>J60/$I60</f>
        <v>-3.4904386967504893E-4</v>
      </c>
      <c r="M60" s="176">
        <f>K60/$I60</f>
        <v>8.9922654381242778E-2</v>
      </c>
      <c r="O60" s="26">
        <f>FuncEndView!$U62</f>
        <v>4063743.7333571441</v>
      </c>
      <c r="P60" s="162">
        <f>$O60-FuncPriorFcst!$U62</f>
        <v>89249.312334931456</v>
      </c>
      <c r="Q60" s="162">
        <f>$O60-FuncBudget!$U62</f>
        <v>446962.59311715188</v>
      </c>
      <c r="R60" s="176">
        <f>P60/$O60</f>
        <v>2.1962337733634773E-2</v>
      </c>
      <c r="S60" s="176">
        <f>Q60/$O60</f>
        <v>0.10998788861814046</v>
      </c>
    </row>
    <row r="61" spans="2:19" hidden="1" outlineLevel="1" x14ac:dyDescent="0.2">
      <c r="B61" s="57" t="s">
        <v>45</v>
      </c>
      <c r="C61" s="26">
        <f>FuncEndView!$F63</f>
        <v>245369.25419771907</v>
      </c>
      <c r="D61" s="162">
        <f>$C61-FuncPriorFcst!$F63</f>
        <v>-90.32525589549914</v>
      </c>
      <c r="E61" s="162">
        <f>$C61-FuncBudget!$F63</f>
        <v>61172.921701556537</v>
      </c>
      <c r="F61" s="176">
        <f t="shared" ref="F61:G64" si="5">D61/$C61</f>
        <v>-3.6811969857769897E-4</v>
      </c>
      <c r="G61" s="176">
        <f t="shared" si="5"/>
        <v>0.24930964517772575</v>
      </c>
      <c r="I61" s="26">
        <f>FuncEndView!$Q63</f>
        <v>730382.33501542429</v>
      </c>
      <c r="J61" s="162">
        <f>$I61-FuncPriorFcst!$Q63</f>
        <v>-254.9354765561875</v>
      </c>
      <c r="K61" s="162">
        <f>$I61-FuncBudget!$Q63</f>
        <v>182001.19120684895</v>
      </c>
      <c r="L61" s="176">
        <f>J61/$I61</f>
        <v>-3.4904386967519378E-4</v>
      </c>
      <c r="M61" s="176">
        <f>K61/$I61</f>
        <v>0.24918618986452545</v>
      </c>
      <c r="O61" s="26">
        <f>FuncEndView!$U63</f>
        <v>2889686.1135704089</v>
      </c>
      <c r="P61" s="162">
        <f>$O61-FuncPriorFcst!$U63</f>
        <v>-855.28353665489703</v>
      </c>
      <c r="Q61" s="162">
        <f>$O61-FuncBudget!$U63</f>
        <v>719617.42942641396</v>
      </c>
      <c r="R61" s="176">
        <f>P61/$O61</f>
        <v>-2.9597800696703856E-4</v>
      </c>
      <c r="S61" s="176">
        <f>Q61/$O61</f>
        <v>0.24902961814675312</v>
      </c>
    </row>
    <row r="62" spans="2:19" hidden="1" outlineLevel="1" x14ac:dyDescent="0.2">
      <c r="B62" s="57" t="s">
        <v>74</v>
      </c>
      <c r="C62" s="26">
        <f>FuncEndView!$F64</f>
        <v>245369.25419771907</v>
      </c>
      <c r="D62" s="162">
        <f>$C62-FuncPriorFcst!$F64</f>
        <v>-90.32525589549914</v>
      </c>
      <c r="E62" s="162">
        <f>$C62-FuncBudget!$F64</f>
        <v>55033.043951684434</v>
      </c>
      <c r="F62" s="176">
        <f t="shared" si="5"/>
        <v>-3.6811969857769897E-4</v>
      </c>
      <c r="G62" s="176">
        <f t="shared" si="5"/>
        <v>0.22428663335031654</v>
      </c>
      <c r="I62" s="26">
        <f>FuncEndView!$Q64</f>
        <v>730382.33501542429</v>
      </c>
      <c r="J62" s="162">
        <f>$I62-FuncPriorFcst!$Q64</f>
        <v>-254.9354765561875</v>
      </c>
      <c r="K62" s="162">
        <f>$I62-FuncBudget!$Q64</f>
        <v>163721.81974656309</v>
      </c>
      <c r="L62" s="176">
        <f>J62/$I62</f>
        <v>-3.4904386967519378E-4</v>
      </c>
      <c r="M62" s="176">
        <f>K62/$I62</f>
        <v>0.22415906286000961</v>
      </c>
      <c r="O62" s="26">
        <f>FuncEndView!$U64</f>
        <v>2907771.1790099749</v>
      </c>
      <c r="P62" s="162">
        <f>$O62-FuncPriorFcst!$U64</f>
        <v>17229.781902911142</v>
      </c>
      <c r="Q62" s="162">
        <f>$O62-FuncBudget!$U64</f>
        <v>665366.87206117995</v>
      </c>
      <c r="R62" s="176">
        <f>P62/$O62</f>
        <v>5.9254256412216936E-3</v>
      </c>
      <c r="S62" s="176">
        <f>Q62/$O62</f>
        <v>0.22882366977986249</v>
      </c>
    </row>
    <row r="63" spans="2:19" hidden="1" outlineLevel="1" x14ac:dyDescent="0.2">
      <c r="B63" s="89" t="s">
        <v>75</v>
      </c>
      <c r="C63" s="32">
        <f>FuncEndView!$F65</f>
        <v>251503.48555266205</v>
      </c>
      <c r="D63" s="163">
        <f>$C63-FuncPriorFcst!$F65</f>
        <v>-92.583387292892439</v>
      </c>
      <c r="E63" s="163">
        <f>$C63-FuncBudget!$F65</f>
        <v>55027.397556755343</v>
      </c>
      <c r="F63" s="177">
        <f t="shared" si="5"/>
        <v>-3.6811969857772212E-4</v>
      </c>
      <c r="G63" s="177">
        <f t="shared" si="5"/>
        <v>0.21879377709551948</v>
      </c>
      <c r="I63" s="32">
        <f>FuncEndView!$Q65</f>
        <v>748641.89339080988</v>
      </c>
      <c r="J63" s="163">
        <f>$I63-FuncPriorFcst!$Q65</f>
        <v>-261.308863470098</v>
      </c>
      <c r="K63" s="163">
        <f>$I63-FuncBudget!$Q65</f>
        <v>163702.00666166283</v>
      </c>
      <c r="L63" s="177">
        <f>J63/$I63</f>
        <v>-3.4904386967520159E-4</v>
      </c>
      <c r="M63" s="177">
        <f>K63/$I63</f>
        <v>0.21866530327365247</v>
      </c>
      <c r="O63" s="32">
        <f>FuncEndView!$U65</f>
        <v>3034268.5281679342</v>
      </c>
      <c r="P63" s="163">
        <f>$O63-FuncPriorFcst!$U65</f>
        <v>71463.596133193932</v>
      </c>
      <c r="Q63" s="163">
        <f>$O63-FuncBudget!$U65</f>
        <v>719528.59841433959</v>
      </c>
      <c r="R63" s="177">
        <f>P63/$O63</f>
        <v>2.3552166022808487E-2</v>
      </c>
      <c r="S63" s="177">
        <f>Q63/$O63</f>
        <v>0.23713412037687545</v>
      </c>
    </row>
    <row r="64" spans="2:19" collapsed="1" x14ac:dyDescent="0.2">
      <c r="B64" s="52" t="s">
        <v>46</v>
      </c>
      <c r="C64" s="28">
        <f>FuncEndView!$F66</f>
        <v>1079624.7184699639</v>
      </c>
      <c r="D64" s="164">
        <f>$C64-FuncPriorFcst!$F66</f>
        <v>-397.43112594028935</v>
      </c>
      <c r="E64" s="164">
        <f>$C64-FuncBudget!$F66</f>
        <v>201622.20023825567</v>
      </c>
      <c r="F64" s="178">
        <f t="shared" si="5"/>
        <v>-3.6811969857778522E-4</v>
      </c>
      <c r="G64" s="178">
        <f t="shared" si="5"/>
        <v>0.18675211560920274</v>
      </c>
      <c r="I64" s="28">
        <f>FuncEndView!$Q66</f>
        <v>3213682.2740678671</v>
      </c>
      <c r="J64" s="164">
        <f>$I64-FuncPriorFcst!$Q66</f>
        <v>-1121.7160968468525</v>
      </c>
      <c r="K64" s="164">
        <f>$I64-FuncBudget!$Q66</f>
        <v>599732.1552469912</v>
      </c>
      <c r="L64" s="178">
        <f>J64/$I64</f>
        <v>-3.4904386967507788E-4</v>
      </c>
      <c r="M64" s="178">
        <f>K64/$I64</f>
        <v>0.18661837235323592</v>
      </c>
      <c r="O64" s="28">
        <f>FuncEndView!$U66</f>
        <v>12895469.554105464</v>
      </c>
      <c r="P64" s="164">
        <f>$O64-FuncPriorFcst!$U66</f>
        <v>177087.40683438256</v>
      </c>
      <c r="Q64" s="164">
        <f>$O64-FuncBudget!$U66</f>
        <v>2551475.4930190891</v>
      </c>
      <c r="R64" s="178">
        <f>P64/$O64</f>
        <v>1.373252878395608E-2</v>
      </c>
      <c r="S64" s="178">
        <f>Q64/$O64</f>
        <v>0.19785828521511953</v>
      </c>
    </row>
    <row r="65" spans="2:19" hidden="1" outlineLevel="1" x14ac:dyDescent="0.2">
      <c r="B65" s="55"/>
      <c r="C65" s="24"/>
      <c r="D65" s="24"/>
      <c r="E65" s="24"/>
      <c r="F65" s="24"/>
      <c r="G65" s="24"/>
      <c r="I65" s="24"/>
      <c r="J65" s="24"/>
      <c r="K65" s="24"/>
      <c r="L65" s="24"/>
      <c r="M65" s="24"/>
      <c r="O65" s="24"/>
      <c r="P65" s="24"/>
      <c r="Q65" s="24"/>
      <c r="R65" s="24"/>
      <c r="S65" s="24"/>
    </row>
    <row r="66" spans="2:19" hidden="1" outlineLevel="1" x14ac:dyDescent="0.2">
      <c r="B66" s="57" t="s">
        <v>76</v>
      </c>
      <c r="C66" s="26">
        <f>FuncEndView!$F68</f>
        <v>47940</v>
      </c>
      <c r="D66" s="162">
        <f>$C66-FuncPriorFcst!$F68</f>
        <v>0</v>
      </c>
      <c r="E66" s="162">
        <f>$C66-FuncBudget!$F68</f>
        <v>-3196</v>
      </c>
      <c r="F66" s="176">
        <f t="shared" ref="F66:G69" si="6">D66/$C66</f>
        <v>0</v>
      </c>
      <c r="G66" s="176">
        <f t="shared" si="6"/>
        <v>-6.6666666666666666E-2</v>
      </c>
      <c r="I66" s="26">
        <f>FuncEndView!$Q68</f>
        <v>159612</v>
      </c>
      <c r="J66" s="162">
        <f>$I66-FuncPriorFcst!$Q68</f>
        <v>0</v>
      </c>
      <c r="K66" s="162">
        <f>$I66-FuncBudget!$Q68</f>
        <v>-10640.800000000017</v>
      </c>
      <c r="L66" s="176">
        <f>J66/$I66</f>
        <v>0</v>
      </c>
      <c r="M66" s="176">
        <f>K66/$I66</f>
        <v>-6.6666666666666777E-2</v>
      </c>
      <c r="O66" s="26">
        <f>FuncEndView!$U68</f>
        <v>638226</v>
      </c>
      <c r="P66" s="162">
        <f>$O66-FuncPriorFcst!$U68</f>
        <v>0</v>
      </c>
      <c r="Q66" s="162">
        <f>$O66-FuncBudget!$U68</f>
        <v>-42548.400000000023</v>
      </c>
      <c r="R66" s="176">
        <f>P66/$O66</f>
        <v>0</v>
      </c>
      <c r="S66" s="176">
        <f>Q66/$O66</f>
        <v>-6.6666666666666707E-2</v>
      </c>
    </row>
    <row r="67" spans="2:19" hidden="1" outlineLevel="1" x14ac:dyDescent="0.2">
      <c r="B67" s="57" t="s">
        <v>77</v>
      </c>
      <c r="C67" s="26">
        <f>FuncEndView!$F69</f>
        <v>40560</v>
      </c>
      <c r="D67" s="162">
        <f>$C67-FuncPriorFcst!$F69</f>
        <v>0</v>
      </c>
      <c r="E67" s="162">
        <f>$C67-FuncBudget!$F69</f>
        <v>1560</v>
      </c>
      <c r="F67" s="176">
        <f t="shared" si="6"/>
        <v>0</v>
      </c>
      <c r="G67" s="176">
        <f t="shared" si="6"/>
        <v>3.8461538461538464E-2</v>
      </c>
      <c r="I67" s="26">
        <f>FuncEndView!$Q69</f>
        <v>129792</v>
      </c>
      <c r="J67" s="162">
        <f>$I67-FuncPriorFcst!$Q69</f>
        <v>0</v>
      </c>
      <c r="K67" s="162">
        <f>$I67-FuncBudget!$Q69</f>
        <v>4992</v>
      </c>
      <c r="L67" s="176">
        <f>J67/$I67</f>
        <v>0</v>
      </c>
      <c r="M67" s="176">
        <f>K67/$I67</f>
        <v>3.8461538461538464E-2</v>
      </c>
      <c r="O67" s="26">
        <f>FuncEndView!$U69</f>
        <v>513812</v>
      </c>
      <c r="P67" s="162">
        <f>$O67-FuncPriorFcst!$U69</f>
        <v>0</v>
      </c>
      <c r="Q67" s="162">
        <f>$O67-FuncBudget!$U69</f>
        <v>19762</v>
      </c>
      <c r="R67" s="176">
        <f>P67/$O67</f>
        <v>0</v>
      </c>
      <c r="S67" s="176">
        <f>Q67/$O67</f>
        <v>3.8461538461538464E-2</v>
      </c>
    </row>
    <row r="68" spans="2:19" hidden="1" outlineLevel="1" x14ac:dyDescent="0.2">
      <c r="B68" s="89" t="s">
        <v>27</v>
      </c>
      <c r="C68" s="32">
        <f>FuncEndView!$F70</f>
        <v>19630.860513534702</v>
      </c>
      <c r="D68" s="163">
        <f>$C68-FuncPriorFcst!$F70</f>
        <v>19.611249264267826</v>
      </c>
      <c r="E68" s="163">
        <f>$C68-FuncBudget!$F70</f>
        <v>-4883.2010668033436</v>
      </c>
      <c r="F68" s="177">
        <f t="shared" si="6"/>
        <v>9.9900099900086629E-4</v>
      </c>
      <c r="G68" s="177">
        <f t="shared" si="6"/>
        <v>-0.24875124875124904</v>
      </c>
      <c r="I68" s="32">
        <f>FuncEndView!$Q70</f>
        <v>75588.483603801666</v>
      </c>
      <c r="J68" s="163">
        <f>$I68-FuncPriorFcst!$Q70</f>
        <v>75.512970633164514</v>
      </c>
      <c r="K68" s="163">
        <f>$I68-FuncBudget!$Q70</f>
        <v>-18802.729687658983</v>
      </c>
      <c r="L68" s="177">
        <f>J68/$I68</f>
        <v>9.9900099900094631E-4</v>
      </c>
      <c r="M68" s="177">
        <f>K68/$I68</f>
        <v>-0.2487512487512491</v>
      </c>
      <c r="O68" s="32">
        <f>FuncEndView!$U70</f>
        <v>315216.8544818745</v>
      </c>
      <c r="P68" s="163">
        <f>$O68-FuncPriorFcst!$U70</f>
        <v>244.46843750018161</v>
      </c>
      <c r="Q68" s="163">
        <f>$O68-FuncBudget!$U70</f>
        <v>-78498.628073593485</v>
      </c>
      <c r="R68" s="177">
        <f>P68/$O68</f>
        <v>7.7555636389436456E-4</v>
      </c>
      <c r="S68" s="177">
        <f>Q68/$O68</f>
        <v>-0.24903055454513232</v>
      </c>
    </row>
    <row r="69" spans="2:19" collapsed="1" x14ac:dyDescent="0.2">
      <c r="B69" s="52" t="s">
        <v>24</v>
      </c>
      <c r="C69" s="28">
        <f>FuncEndView!$F71</f>
        <v>108130.8605135347</v>
      </c>
      <c r="D69" s="164">
        <f>$C69-FuncPriorFcst!$F71</f>
        <v>19.611249264271464</v>
      </c>
      <c r="E69" s="164">
        <f>$C69-FuncBudget!$F71</f>
        <v>-6519.2010668033472</v>
      </c>
      <c r="F69" s="178">
        <f t="shared" si="6"/>
        <v>1.8136588547555977E-4</v>
      </c>
      <c r="G69" s="178">
        <f t="shared" si="6"/>
        <v>-6.028992126616195E-2</v>
      </c>
      <c r="I69" s="28">
        <f>FuncEndView!$Q71</f>
        <v>364992.48360380164</v>
      </c>
      <c r="J69" s="164">
        <f>$I69-FuncPriorFcst!$Q71</f>
        <v>75.512970633106306</v>
      </c>
      <c r="K69" s="164">
        <f>$I69-FuncBudget!$Q71</f>
        <v>-24451.529687659058</v>
      </c>
      <c r="L69" s="178">
        <f>J69/$I69</f>
        <v>2.068891114894175E-4</v>
      </c>
      <c r="M69" s="178">
        <f>K69/$I69</f>
        <v>-6.6991871849616302E-2</v>
      </c>
      <c r="O69" s="28">
        <f>FuncEndView!$U71</f>
        <v>1467254.8544818745</v>
      </c>
      <c r="P69" s="164">
        <f>$O69-FuncPriorFcst!$U71</f>
        <v>244.46843749983236</v>
      </c>
      <c r="Q69" s="164">
        <f>$O69-FuncBudget!$U71</f>
        <v>-101285.02807359351</v>
      </c>
      <c r="R69" s="178">
        <f>P69/$O69</f>
        <v>1.6661620628010153E-4</v>
      </c>
      <c r="S69" s="178">
        <f>Q69/$O69</f>
        <v>-6.903028997601092E-2</v>
      </c>
    </row>
    <row r="70" spans="2:19" x14ac:dyDescent="0.2">
      <c r="B70" s="52"/>
      <c r="C70" s="24"/>
      <c r="D70" s="24"/>
      <c r="E70" s="24"/>
      <c r="F70" s="24"/>
      <c r="G70" s="24"/>
      <c r="I70" s="24"/>
      <c r="J70" s="24"/>
      <c r="K70" s="24"/>
      <c r="L70" s="24"/>
      <c r="M70" s="24"/>
      <c r="O70" s="24"/>
      <c r="P70" s="24"/>
      <c r="Q70" s="24"/>
      <c r="R70" s="24"/>
      <c r="S70" s="24"/>
    </row>
    <row r="71" spans="2:19" x14ac:dyDescent="0.2">
      <c r="B71" s="52" t="s">
        <v>28</v>
      </c>
      <c r="C71" s="28">
        <f>FuncEndView!$F73</f>
        <v>4946475.7759594787</v>
      </c>
      <c r="D71" s="28">
        <f>$C71-FuncPriorFcst!$F73</f>
        <v>-1880.3115207115188</v>
      </c>
      <c r="E71" s="28">
        <f>$C71-FuncBudget!$F73</f>
        <v>-200749.39410055988</v>
      </c>
      <c r="F71" s="154"/>
      <c r="G71" s="154"/>
      <c r="I71" s="28">
        <f>FuncEndView!$Q73</f>
        <v>14680883.617713939</v>
      </c>
      <c r="J71" s="28">
        <f>$I71-FuncPriorFcst!$Q73</f>
        <v>-5327.1837876867503</v>
      </c>
      <c r="K71" s="28">
        <f>$I71-FuncBudget!$Q73</f>
        <v>-595093.71045956947</v>
      </c>
      <c r="L71" s="154"/>
      <c r="M71" s="154"/>
      <c r="O71" s="28">
        <f>FuncEndView!$U73</f>
        <v>57879428.430672884</v>
      </c>
      <c r="P71" s="28">
        <f>$O71-FuncPriorFcst!$U73</f>
        <v>-198713.96368826181</v>
      </c>
      <c r="Q71" s="28">
        <f>$O71-FuncBudget!$U73</f>
        <v>-2543660.4304850996</v>
      </c>
      <c r="R71" s="154"/>
      <c r="S71" s="154"/>
    </row>
    <row r="72" spans="2:19" x14ac:dyDescent="0.2">
      <c r="B72" s="52" t="s">
        <v>29</v>
      </c>
      <c r="C72" s="71">
        <f>FuncEndView!$F74</f>
        <v>0.80637254934533864</v>
      </c>
      <c r="D72" s="71">
        <f>$C72-FuncPriorFcst!$F74</f>
        <v>-9.6824657118688151E-6</v>
      </c>
      <c r="E72" s="71">
        <f>$C72-FuncBudget!$F74</f>
        <v>-3.1954430400678802E-2</v>
      </c>
      <c r="F72" s="170"/>
      <c r="G72" s="170"/>
      <c r="I72" s="71">
        <f>FuncEndView!$Q74</f>
        <v>0.80401088109032137</v>
      </c>
      <c r="J72" s="71">
        <f>$I72-FuncPriorFcst!$Q74</f>
        <v>-1.1108733031117701E-5</v>
      </c>
      <c r="K72" s="71">
        <f>$I72-FuncBudget!$Q74</f>
        <v>-3.1684009259843271E-2</v>
      </c>
      <c r="L72" s="170"/>
      <c r="M72" s="170"/>
      <c r="O72" s="71">
        <f>FuncEndView!$U74</f>
        <v>0.80118637327233877</v>
      </c>
      <c r="P72" s="71">
        <f>$O72-FuncPriorFcst!$U74</f>
        <v>-2.5127877566283319E-3</v>
      </c>
      <c r="Q72" s="71">
        <f>$O72-FuncBudget!$U74</f>
        <v>-3.4129429899934616E-2</v>
      </c>
      <c r="R72" s="170"/>
      <c r="S72" s="170"/>
    </row>
    <row r="73" spans="2:19" x14ac:dyDescent="0.2">
      <c r="B73" s="51"/>
      <c r="C73" s="24"/>
      <c r="D73" s="24"/>
      <c r="E73" s="24"/>
      <c r="F73" s="24"/>
      <c r="G73" s="24"/>
      <c r="I73" s="24"/>
      <c r="J73" s="24"/>
      <c r="K73" s="24"/>
      <c r="L73" s="24"/>
      <c r="M73" s="24"/>
      <c r="O73" s="24"/>
      <c r="P73" s="24"/>
      <c r="Q73" s="24"/>
      <c r="R73" s="24"/>
      <c r="S73" s="24"/>
    </row>
    <row r="74" spans="2:19" hidden="1" outlineLevel="1" x14ac:dyDescent="0.2">
      <c r="B74" s="58" t="s">
        <v>84</v>
      </c>
      <c r="C74" s="26">
        <f>FuncEndView!$F77</f>
        <v>441664.65755589429</v>
      </c>
      <c r="D74" s="26">
        <f>$C74-FuncPriorFcst!$F77</f>
        <v>-162.5854606119683</v>
      </c>
      <c r="E74" s="162">
        <f>$C74-FuncBudget!$F77</f>
        <v>-69480.165120956721</v>
      </c>
      <c r="F74" s="176">
        <f t="shared" ref="F74:F77" si="7">D74/$C74</f>
        <v>-3.6811969857785716E-4</v>
      </c>
      <c r="G74" s="176">
        <f t="shared" ref="G74:G77" si="8">E74/$C74</f>
        <v>-0.15731429701767286</v>
      </c>
      <c r="I74" s="26">
        <f>FuncEndView!$Q77</f>
        <v>1314688.2030277636</v>
      </c>
      <c r="J74" s="26">
        <f>$I74-FuncPriorFcst!$Q77</f>
        <v>-458.88385780109093</v>
      </c>
      <c r="K74" s="162">
        <f>$I74-FuncBudget!$Q77</f>
        <v>-207069.47104103304</v>
      </c>
      <c r="L74" s="176">
        <f>J74/$I74</f>
        <v>-3.4904386967515838E-4</v>
      </c>
      <c r="M74" s="176">
        <f>K74/$I74</f>
        <v>-0.15750462395885675</v>
      </c>
      <c r="O74" s="26">
        <f>FuncEndView!$U77</f>
        <v>5608348.9768169783</v>
      </c>
      <c r="P74" s="26">
        <f>$O74-FuncPriorFcst!$U77</f>
        <v>405374.46202426311</v>
      </c>
      <c r="Q74" s="162">
        <f>$O74-FuncBudget!$U77</f>
        <v>-413591.6216826085</v>
      </c>
      <c r="R74" s="176">
        <f>P74/$O74</f>
        <v>7.2280534556594875E-2</v>
      </c>
      <c r="S74" s="176">
        <f>Q74/$O74</f>
        <v>-7.3745700096812208E-2</v>
      </c>
    </row>
    <row r="75" spans="2:19" hidden="1" outlineLevel="1" x14ac:dyDescent="0.2">
      <c r="B75" s="58" t="s">
        <v>85</v>
      </c>
      <c r="C75" s="26">
        <f>FuncEndView!$F78</f>
        <v>1487857.8151414189</v>
      </c>
      <c r="D75" s="26">
        <f>$C75-FuncPriorFcst!$F78</f>
        <v>-547.70977043663152</v>
      </c>
      <c r="E75" s="162">
        <f>$C75-FuncBudget!$F78</f>
        <v>-95862.2516605868</v>
      </c>
      <c r="F75" s="176">
        <f t="shared" si="7"/>
        <v>-3.6811969857789966E-4</v>
      </c>
      <c r="G75" s="176">
        <f t="shared" si="8"/>
        <v>-6.4429712762220648E-2</v>
      </c>
      <c r="I75" s="26">
        <f>FuncEndView!$Q78</f>
        <v>4428855.883949779</v>
      </c>
      <c r="J75" s="26">
        <f>$I75-FuncPriorFcst!$Q78</f>
        <v>-1545.8649959675968</v>
      </c>
      <c r="K75" s="162">
        <f>$I75-FuncBudget!$Q78</f>
        <v>-286125.19051635265</v>
      </c>
      <c r="L75" s="176">
        <f>J75/$I75</f>
        <v>-3.4904386967519714E-4</v>
      </c>
      <c r="M75" s="176">
        <f>K75/$I75</f>
        <v>-6.4604764303411499E-2</v>
      </c>
      <c r="O75" s="26">
        <f>FuncEndView!$U78</f>
        <v>17725791.157357689</v>
      </c>
      <c r="P75" s="26">
        <f>$O75-FuncPriorFcst!$U78</f>
        <v>198270.76064972952</v>
      </c>
      <c r="Q75" s="162">
        <f>$O75-FuncBudget!$U78</f>
        <v>-932459.38891237974</v>
      </c>
      <c r="R75" s="176">
        <f>P75/$O75</f>
        <v>1.1185439278259268E-2</v>
      </c>
      <c r="S75" s="176">
        <f>Q75/$O75</f>
        <v>-5.2604669694832261E-2</v>
      </c>
    </row>
    <row r="76" spans="2:19" hidden="1" outlineLevel="1" x14ac:dyDescent="0.2">
      <c r="B76" s="121" t="s">
        <v>86</v>
      </c>
      <c r="C76" s="32">
        <f>FuncEndView!$F79</f>
        <v>21365.527809266387</v>
      </c>
      <c r="D76" s="32">
        <f>$C76-FuncPriorFcst!$F79</f>
        <v>-7.865071657102817</v>
      </c>
      <c r="E76" s="163">
        <f>$C76-FuncBudget!$F79</f>
        <v>-16321.041819448474</v>
      </c>
      <c r="F76" s="177">
        <f t="shared" si="7"/>
        <v>-3.6811969857780333E-4</v>
      </c>
      <c r="G76" s="177">
        <f t="shared" si="8"/>
        <v>-0.76389602752382824</v>
      </c>
      <c r="I76" s="32">
        <f>FuncEndView!$Q79</f>
        <v>63598.041821468083</v>
      </c>
      <c r="J76" s="32">
        <f>$I76-FuncPriorFcst!$Q79</f>
        <v>-22.19850662110548</v>
      </c>
      <c r="K76" s="163">
        <f>$I76-FuncBudget!$Q79</f>
        <v>-48600.740201766443</v>
      </c>
      <c r="L76" s="177">
        <f>J76/$I76</f>
        <v>-3.4904386967480775E-4</v>
      </c>
      <c r="M76" s="177">
        <f>K76/$I76</f>
        <v>-0.7641861102924844</v>
      </c>
      <c r="O76" s="32">
        <f>FuncEndView!$U79</f>
        <v>251619.41833914339</v>
      </c>
      <c r="P76" s="32">
        <f>$O76-FuncPriorFcst!$U79</f>
        <v>-74.473813954216894</v>
      </c>
      <c r="Q76" s="163">
        <f>$O76-FuncBudget!$U79</f>
        <v>-192376.63443671796</v>
      </c>
      <c r="R76" s="177">
        <f>P76/$O76</f>
        <v>-2.9597800696700566E-4</v>
      </c>
      <c r="S76" s="177">
        <f>Q76/$O76</f>
        <v>-0.76455400662847295</v>
      </c>
    </row>
    <row r="77" spans="2:19" collapsed="1" x14ac:dyDescent="0.2">
      <c r="B77" s="23" t="s">
        <v>87</v>
      </c>
      <c r="C77" s="28">
        <f>FuncEndView!$F80</f>
        <v>1950888.0005065796</v>
      </c>
      <c r="D77" s="28">
        <f>$C77-FuncPriorFcst!$F80</f>
        <v>-718.16030270582996</v>
      </c>
      <c r="E77" s="164">
        <f>$C77-FuncBudget!$F80</f>
        <v>-181663.4586009921</v>
      </c>
      <c r="F77" s="178">
        <f t="shared" si="7"/>
        <v>-3.6811969857795425E-4</v>
      </c>
      <c r="G77" s="178">
        <f t="shared" si="8"/>
        <v>-9.3118343315362159E-2</v>
      </c>
      <c r="I77" s="28">
        <f>FuncEndView!$Q80</f>
        <v>5807142.128799011</v>
      </c>
      <c r="J77" s="28">
        <f>$I77-FuncPriorFcst!$Q80</f>
        <v>-2026.9473603898659</v>
      </c>
      <c r="K77" s="164">
        <f>$I77-FuncBudget!$Q80</f>
        <v>-541795.4017591523</v>
      </c>
      <c r="L77" s="178">
        <f>J77/$I77</f>
        <v>-3.4904386967519666E-4</v>
      </c>
      <c r="M77" s="178">
        <f>K77/$I77</f>
        <v>-9.3298112865579597E-2</v>
      </c>
      <c r="O77" s="28">
        <f>FuncEndView!$U80</f>
        <v>23585759.552513812</v>
      </c>
      <c r="P77" s="28">
        <f>$O77-FuncPriorFcst!$U80</f>
        <v>603570.74886004254</v>
      </c>
      <c r="Q77" s="164">
        <f>$O77-FuncBudget!$U80</f>
        <v>-1538427.6450317055</v>
      </c>
      <c r="R77" s="178">
        <f>P77/$O77</f>
        <v>2.5590473247901525E-2</v>
      </c>
      <c r="S77" s="178">
        <f>Q77/$O77</f>
        <v>-6.5226970605139462E-2</v>
      </c>
    </row>
    <row r="79" spans="2:19" x14ac:dyDescent="0.2">
      <c r="B79" s="23" t="s">
        <v>94</v>
      </c>
      <c r="C79" s="28">
        <f>FuncEndView!$F82</f>
        <v>2995587.7754528988</v>
      </c>
      <c r="D79" s="28">
        <f>$C79-FuncPriorFcst!$F82</f>
        <v>-1162.1512180059217</v>
      </c>
      <c r="E79" s="164">
        <f>$C79-FuncBudget!$F82</f>
        <v>-19085.935499568004</v>
      </c>
      <c r="I79" s="28">
        <f>FuncEndView!$Q82</f>
        <v>8873741.4889149293</v>
      </c>
      <c r="J79" s="28">
        <f>$I79-FuncPriorFcst!$Q82</f>
        <v>-3300.236427295953</v>
      </c>
      <c r="K79" s="164">
        <f>$I79-FuncBudget!$Q82</f>
        <v>-53298.308700416237</v>
      </c>
      <c r="O79" s="28">
        <f>FuncEndView!$U82</f>
        <v>34293668.878159076</v>
      </c>
      <c r="P79" s="28">
        <f>$O79-FuncPriorFcst!$U82</f>
        <v>-802284.71254830062</v>
      </c>
      <c r="Q79" s="164">
        <f>$O79-FuncBudget!$U82</f>
        <v>-1005232.7854533941</v>
      </c>
    </row>
    <row r="80" spans="2:19" x14ac:dyDescent="0.2">
      <c r="B80" s="23" t="s">
        <v>95</v>
      </c>
      <c r="C80" s="71">
        <f>FuncEndView!$F83</f>
        <v>0.48833954934533857</v>
      </c>
      <c r="D80" s="71">
        <f>$C80-FuncPriorFcst!$F83</f>
        <v>-9.6824657119243263E-6</v>
      </c>
      <c r="E80" s="71">
        <f>$C80-FuncBudget!$F83</f>
        <v>-2.6594304006788416E-3</v>
      </c>
      <c r="I80" s="71">
        <f>FuncEndView!$Q83</f>
        <v>0.48597788109032142</v>
      </c>
      <c r="J80" s="71">
        <f>$I80-FuncPriorFcst!$Q83</f>
        <v>-1.1108733031006679E-5</v>
      </c>
      <c r="K80" s="71">
        <f>$I80-FuncBudget!$Q83</f>
        <v>-2.3890092598431445E-3</v>
      </c>
      <c r="O80" s="71">
        <f>FuncEndView!$U83</f>
        <v>0.47470441467134789</v>
      </c>
      <c r="P80" s="71">
        <f>$O80-FuncPriorFcst!$U83</f>
        <v>-1.0961746357619262E-2</v>
      </c>
      <c r="Q80" s="71">
        <f>$O80-FuncBudget!$U83</f>
        <v>-1.328338850092553E-2</v>
      </c>
    </row>
    <row r="82" spans="2:19" hidden="1" outlineLevel="1" x14ac:dyDescent="0.2">
      <c r="B82" s="58" t="s">
        <v>89</v>
      </c>
      <c r="C82" s="26">
        <f>FuncEndView!$F85</f>
        <v>136562.16003546058</v>
      </c>
      <c r="D82" s="26">
        <f>$C82-FuncPriorFcst!$F85</f>
        <v>-50.271221189410426</v>
      </c>
      <c r="E82" s="162">
        <f>$C82-FuncBudget!$F85</f>
        <v>-17455.445344530686</v>
      </c>
      <c r="F82" s="176">
        <f>D82/$C82</f>
        <v>-3.6811969857797133E-4</v>
      </c>
      <c r="G82" s="176">
        <f>E82/$C82</f>
        <v>-0.12782051294442104</v>
      </c>
      <c r="I82" s="26">
        <f>FuncEndView!$Q85</f>
        <v>406499.94901593076</v>
      </c>
      <c r="J82" s="26">
        <f>$I82-FuncPriorFcst!$Q85</f>
        <v>-141.88631522736978</v>
      </c>
      <c r="K82" s="162">
        <f>$I82-FuncBudget!$Q85</f>
        <v>-52034.428191047627</v>
      </c>
      <c r="L82" s="176">
        <f>J82/$I82</f>
        <v>-3.4904386967539138E-4</v>
      </c>
      <c r="M82" s="176">
        <f>K82/$I82</f>
        <v>-0.12800598946448674</v>
      </c>
      <c r="O82" s="26">
        <f>FuncEndView!$U85</f>
        <v>1651003.1686759668</v>
      </c>
      <c r="P82" s="26">
        <f>$O82-FuncPriorFcst!$U85</f>
        <v>42249.952420202782</v>
      </c>
      <c r="Q82" s="162">
        <f>$O82-FuncBudget!$U85</f>
        <v>-163521.46225787606</v>
      </c>
      <c r="R82" s="176">
        <f>P82/$O82</f>
        <v>2.5590473247901407E-2</v>
      </c>
      <c r="S82" s="176">
        <f>Q82/$O82</f>
        <v>-9.9043699830699425E-2</v>
      </c>
    </row>
    <row r="83" spans="2:19" hidden="1" outlineLevel="1" x14ac:dyDescent="0.2">
      <c r="B83" s="58" t="s">
        <v>90</v>
      </c>
      <c r="C83" s="26">
        <f>FuncEndView!$F86</f>
        <v>47688.373345716398</v>
      </c>
      <c r="D83" s="26">
        <f>$C83-FuncPriorFcst!$F86</f>
        <v>-17.555029621689755</v>
      </c>
      <c r="E83" s="162">
        <f>$C83-FuncBudget!$F86</f>
        <v>298.34092110369966</v>
      </c>
      <c r="F83" s="176">
        <f t="shared" ref="F83:F86" si="9">D83/$C83</f>
        <v>-3.6811969857777991E-4</v>
      </c>
      <c r="G83" s="176">
        <f t="shared" ref="G83:G86" si="10">E83/$C83</f>
        <v>6.2560515314892384E-3</v>
      </c>
      <c r="I83" s="26">
        <f>FuncEndView!$Q86</f>
        <v>141952.36314842029</v>
      </c>
      <c r="J83" s="26">
        <f>$I83-FuncPriorFcst!$Q86</f>
        <v>-49.547602142847609</v>
      </c>
      <c r="K83" s="162">
        <f>$I83-FuncBudget!$Q86</f>
        <v>864.8624693499878</v>
      </c>
      <c r="L83" s="176">
        <f>J83/$I83</f>
        <v>-3.4904386967508542E-4</v>
      </c>
      <c r="M83" s="176">
        <f>K83/$I83</f>
        <v>6.0926246676550125E-3</v>
      </c>
      <c r="O83" s="26">
        <f>FuncEndView!$U86</f>
        <v>576540.78906144877</v>
      </c>
      <c r="P83" s="26">
        <f>$O83-FuncPriorFcst!$U86</f>
        <v>14753.951638801023</v>
      </c>
      <c r="Q83" s="162">
        <f>$O83-FuncBudget!$U86</f>
        <v>18225.518004881684</v>
      </c>
      <c r="R83" s="176">
        <f>P83/$O83</f>
        <v>2.5590473247901493E-2</v>
      </c>
      <c r="S83" s="176">
        <f>Q83/$O83</f>
        <v>3.1611844904418679E-2</v>
      </c>
    </row>
    <row r="84" spans="2:19" hidden="1" outlineLevel="1" x14ac:dyDescent="0.2">
      <c r="B84" s="58" t="s">
        <v>91</v>
      </c>
      <c r="C84" s="26">
        <f>FuncEndView!$F87</f>
        <v>21676.533338961999</v>
      </c>
      <c r="D84" s="26">
        <f>$C84-FuncPriorFcst!$F87</f>
        <v>-7.9795589189525344</v>
      </c>
      <c r="E84" s="162">
        <f>$C84-FuncBudget!$F87</f>
        <v>-2018.4828733443501</v>
      </c>
      <c r="F84" s="176">
        <f t="shared" si="9"/>
        <v>-3.6811969857790199E-4</v>
      </c>
      <c r="G84" s="176">
        <f t="shared" si="10"/>
        <v>-9.311834331536184E-2</v>
      </c>
      <c r="I84" s="26">
        <f>FuncEndView!$Q87</f>
        <v>64523.801431100132</v>
      </c>
      <c r="J84" s="26">
        <f>$I84-FuncPriorFcst!$Q87</f>
        <v>-22.52163733766065</v>
      </c>
      <c r="K84" s="162">
        <f>$I84-FuncBudget!$Q87</f>
        <v>-6019.9489084350207</v>
      </c>
      <c r="L84" s="176">
        <f>J84/$I84</f>
        <v>-3.490438696751264E-4</v>
      </c>
      <c r="M84" s="176">
        <f>K84/$I84</f>
        <v>-9.3298112865579513E-2</v>
      </c>
      <c r="O84" s="26">
        <f>FuncEndView!$U87</f>
        <v>262063.99502793126</v>
      </c>
      <c r="P84" s="26">
        <f>$O84-FuncPriorFcst!$U87</f>
        <v>6706.3416540004546</v>
      </c>
      <c r="Q84" s="162">
        <f>$O84-FuncBudget!$U87</f>
        <v>-17093.640500352281</v>
      </c>
      <c r="R84" s="176">
        <f>P84/$O84</f>
        <v>2.5590473247901455E-2</v>
      </c>
      <c r="S84" s="176">
        <f>Q84/$O84</f>
        <v>-6.5226970605139448E-2</v>
      </c>
    </row>
    <row r="85" spans="2:19" hidden="1" outlineLevel="1" x14ac:dyDescent="0.2">
      <c r="B85" s="121" t="s">
        <v>92</v>
      </c>
      <c r="C85" s="32">
        <f>FuncEndView!$F88</f>
        <v>10838.266669481</v>
      </c>
      <c r="D85" s="32">
        <f>$C85-FuncPriorFcst!$F88</f>
        <v>-3.9897794594762672</v>
      </c>
      <c r="E85" s="163">
        <f>$C85-FuncBudget!$F88</f>
        <v>-1009.241436672175</v>
      </c>
      <c r="F85" s="177">
        <f t="shared" si="9"/>
        <v>-3.6811969857790199E-4</v>
      </c>
      <c r="G85" s="177">
        <f t="shared" si="10"/>
        <v>-9.311834331536184E-2</v>
      </c>
      <c r="I85" s="32">
        <f>FuncEndView!$Q88</f>
        <v>32261.900715550066</v>
      </c>
      <c r="J85" s="32">
        <f>$I85-FuncPriorFcst!$Q88</f>
        <v>-11.260818668830325</v>
      </c>
      <c r="K85" s="163">
        <f>$I85-FuncBudget!$Q88</f>
        <v>-3009.9744542175104</v>
      </c>
      <c r="L85" s="177">
        <f>J85/$I85</f>
        <v>-3.490438696751264E-4</v>
      </c>
      <c r="M85" s="177">
        <f>K85/$I85</f>
        <v>-9.3298112865579513E-2</v>
      </c>
      <c r="O85" s="32">
        <f>FuncEndView!$U88</f>
        <v>131031.99751396563</v>
      </c>
      <c r="P85" s="32">
        <f>$O85-FuncPriorFcst!$U88</f>
        <v>3353.1708270002273</v>
      </c>
      <c r="Q85" s="163">
        <f>$O85-FuncBudget!$U88</f>
        <v>-8546.8202501761407</v>
      </c>
      <c r="R85" s="177">
        <f>P85/$O85</f>
        <v>2.5590473247901455E-2</v>
      </c>
      <c r="S85" s="177">
        <f>Q85/$O85</f>
        <v>-6.5226970605139448E-2</v>
      </c>
    </row>
    <row r="86" spans="2:19" collapsed="1" x14ac:dyDescent="0.2">
      <c r="B86" s="23" t="s">
        <v>93</v>
      </c>
      <c r="C86" s="28">
        <f>FuncEndView!$F89</f>
        <v>216765.33338961998</v>
      </c>
      <c r="D86" s="28">
        <f>$C86-FuncPriorFcst!$F89</f>
        <v>-79.795589189510792</v>
      </c>
      <c r="E86" s="164">
        <f>$C86-FuncBudget!$F89</f>
        <v>-20184.828733443515</v>
      </c>
      <c r="F86" s="178">
        <f t="shared" si="9"/>
        <v>-3.6811969857783488E-4</v>
      </c>
      <c r="G86" s="178">
        <f t="shared" si="10"/>
        <v>-9.3118343315361909E-2</v>
      </c>
      <c r="I86" s="28">
        <f>FuncEndView!$Q89</f>
        <v>645238.01431100129</v>
      </c>
      <c r="J86" s="28">
        <f>$I86-FuncPriorFcst!$Q89</f>
        <v>-225.21637337666471</v>
      </c>
      <c r="K86" s="164">
        <f>$I86-FuncBudget!$Q89</f>
        <v>-60199.489084350062</v>
      </c>
      <c r="L86" s="178">
        <f>J86/$I86</f>
        <v>-3.4904386967521666E-4</v>
      </c>
      <c r="M86" s="178">
        <f>K86/$I86</f>
        <v>-9.3298112865579291E-2</v>
      </c>
      <c r="O86" s="28">
        <f>FuncEndView!$U89</f>
        <v>2620639.9502793122</v>
      </c>
      <c r="P86" s="28">
        <f>$O86-FuncPriorFcst!$U89</f>
        <v>67063.416540004313</v>
      </c>
      <c r="Q86" s="164">
        <f>$O86-FuncBudget!$U89</f>
        <v>-170936.40500352299</v>
      </c>
      <c r="R86" s="178">
        <f>P86/$O86</f>
        <v>2.5590473247901369E-2</v>
      </c>
      <c r="S86" s="178">
        <f>Q86/$O86</f>
        <v>-6.5226970605139517E-2</v>
      </c>
    </row>
    <row r="88" spans="2:19" x14ac:dyDescent="0.2">
      <c r="B88" s="23" t="s">
        <v>96</v>
      </c>
      <c r="C88" s="28">
        <f>FuncEndView!$F91</f>
        <v>2778822.442063279</v>
      </c>
      <c r="D88" s="28">
        <f>$C88-FuncPriorFcst!$F91</f>
        <v>-1082.3556288164109</v>
      </c>
      <c r="E88" s="162">
        <f>$C88-FuncBudget!$F91</f>
        <v>1098.893233875744</v>
      </c>
      <c r="I88" s="28">
        <f>FuncEndView!$Q91</f>
        <v>8228503.4746039277</v>
      </c>
      <c r="J88" s="28">
        <f>$I88-FuncPriorFcst!$Q91</f>
        <v>-3075.0200539194047</v>
      </c>
      <c r="K88" s="162">
        <f>$I88-FuncBudget!$Q91</f>
        <v>6901.1803839337081</v>
      </c>
      <c r="O88" s="28">
        <f>FuncEndView!$U91</f>
        <v>31673028.927879766</v>
      </c>
      <c r="P88" s="28">
        <f>$O88-FuncPriorFcst!$U91</f>
        <v>-869348.12908830494</v>
      </c>
      <c r="Q88" s="162">
        <f>$O88-FuncBudget!$U91</f>
        <v>-834296.38044986874</v>
      </c>
    </row>
    <row r="89" spans="2:19" x14ac:dyDescent="0.2">
      <c r="B89" s="23" t="s">
        <v>97</v>
      </c>
      <c r="C89" s="71">
        <f>FuncEndView!$F92</f>
        <v>0.45300254934533862</v>
      </c>
      <c r="D89" s="71">
        <f>$C89-FuncPriorFcst!$F92</f>
        <v>-9.6824657118688151E-6</v>
      </c>
      <c r="E89" s="71">
        <f>$C89-FuncBudget!$F92</f>
        <v>5.9556959932122178E-4</v>
      </c>
      <c r="I89" s="71">
        <f>FuncEndView!$Q92</f>
        <v>0.45064088109032135</v>
      </c>
      <c r="J89" s="71">
        <f>$I89-FuncPriorFcst!$Q92</f>
        <v>-1.110873303106219E-5</v>
      </c>
      <c r="K89" s="71">
        <f>$I89-FuncBudget!$Q92</f>
        <v>8.6599074015680788E-4</v>
      </c>
      <c r="O89" s="71">
        <f>FuncEndView!$U92</f>
        <v>0.43842864149346006</v>
      </c>
      <c r="P89" s="71">
        <f>$O89-FuncPriorFcst!$U92</f>
        <v>-1.1900519535507137E-2</v>
      </c>
      <c r="Q89" s="71">
        <f>$O89-FuncBudget!$U92</f>
        <v>-1.0967161678813342E-2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E3E9-875F-4DEF-B535-5F428E0CF632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19F16-FA56-4D74-ADC5-25C8E58226ED}">
  <dimension ref="B2:U95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80</v>
      </c>
    </row>
    <row r="3" spans="2:21" ht="15" customHeight="1" x14ac:dyDescent="0.2">
      <c r="B3" s="52"/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f>Natural!C5</f>
        <v>918241.81085671578</v>
      </c>
      <c r="D5" s="96">
        <f>Natural!D5</f>
        <v>1098822.1071652398</v>
      </c>
      <c r="E5" s="96">
        <f>Natural!E5</f>
        <v>1389108.8186953156</v>
      </c>
      <c r="F5" s="96">
        <f>Natural!F5</f>
        <v>1061517.5734082023</v>
      </c>
      <c r="G5" s="96">
        <f>Natural!G5</f>
        <v>1081268.1654903176</v>
      </c>
      <c r="H5" s="96">
        <f>Natural!H5</f>
        <v>1451208.0120024798</v>
      </c>
      <c r="I5" s="96">
        <f>Natural!I5</f>
        <v>1271303.6551094283</v>
      </c>
      <c r="J5" s="96">
        <f>Natural!J5</f>
        <v>1138780.2522786539</v>
      </c>
      <c r="K5" s="96">
        <f>Natural!K5</f>
        <v>1507492.0827028083</v>
      </c>
      <c r="L5" s="96">
        <f>Natural!L5</f>
        <v>826045.48853282654</v>
      </c>
      <c r="M5" s="96">
        <f>Natural!M5</f>
        <v>1233235.1563812059</v>
      </c>
      <c r="N5" s="96">
        <f>Natural!N5</f>
        <v>1755653.6671542581</v>
      </c>
      <c r="P5" s="96">
        <f t="shared" ref="P5:P12" si="1">SUM(C5:E5)</f>
        <v>3406172.7367172712</v>
      </c>
      <c r="Q5" s="96">
        <f t="shared" ref="Q5:Q12" si="2">SUM(F5:H5)</f>
        <v>3593993.7509009996</v>
      </c>
      <c r="R5" s="96">
        <f t="shared" ref="R5:R12" si="3">SUM(I5:K5)</f>
        <v>3917575.9900908908</v>
      </c>
      <c r="S5" s="96">
        <f t="shared" ref="S5:S12" si="4">SUM(L5:N5)</f>
        <v>3814934.3120682905</v>
      </c>
      <c r="T5" s="91"/>
      <c r="U5" s="96">
        <f t="shared" ref="U5:U12" si="5">SUM(P5:S5)</f>
        <v>14732676.789777454</v>
      </c>
    </row>
    <row r="6" spans="2:21" s="25" customFormat="1" ht="15" customHeight="1" x14ac:dyDescent="0.2">
      <c r="B6" s="78" t="s">
        <v>10</v>
      </c>
      <c r="C6" s="81">
        <f>Natural!C6</f>
        <v>622514.35130164481</v>
      </c>
      <c r="D6" s="81">
        <f>Natural!D6</f>
        <v>935097.23442405579</v>
      </c>
      <c r="E6" s="81">
        <f>Natural!E6</f>
        <v>1179236.180272124</v>
      </c>
      <c r="F6" s="81">
        <f>Natural!F6</f>
        <v>778357.53044854791</v>
      </c>
      <c r="G6" s="81">
        <f>Natural!G6</f>
        <v>754206.54738440667</v>
      </c>
      <c r="H6" s="81">
        <f>Natural!H6</f>
        <v>1161089.2112107845</v>
      </c>
      <c r="I6" s="81">
        <f>Natural!I6</f>
        <v>1012908.6032579186</v>
      </c>
      <c r="J6" s="81">
        <f>Natural!J6</f>
        <v>875063.79737911304</v>
      </c>
      <c r="K6" s="81">
        <f>Natural!K6</f>
        <v>1001549.4544438521</v>
      </c>
      <c r="L6" s="81">
        <f>Natural!L6</f>
        <v>767305.38565648335</v>
      </c>
      <c r="M6" s="81">
        <f>Natural!M6</f>
        <v>1070830.028742257</v>
      </c>
      <c r="N6" s="81">
        <f>Natural!N6</f>
        <v>1249608.7042213012</v>
      </c>
      <c r="P6" s="81">
        <f t="shared" si="1"/>
        <v>2736847.7659978243</v>
      </c>
      <c r="Q6" s="81">
        <f t="shared" si="2"/>
        <v>2693653.289043739</v>
      </c>
      <c r="R6" s="81">
        <f t="shared" si="3"/>
        <v>2889521.8550808835</v>
      </c>
      <c r="S6" s="81">
        <f t="shared" si="4"/>
        <v>3087744.1186200418</v>
      </c>
      <c r="T6" s="91"/>
      <c r="U6" s="81">
        <f t="shared" si="5"/>
        <v>11407767.028742488</v>
      </c>
    </row>
    <row r="7" spans="2:21" ht="15" customHeight="1" x14ac:dyDescent="0.2">
      <c r="B7" s="78" t="s">
        <v>11</v>
      </c>
      <c r="C7" s="81">
        <f>Natural!C7</f>
        <v>295727.45955507096</v>
      </c>
      <c r="D7" s="81">
        <f>Natural!D7</f>
        <v>163724.87274118402</v>
      </c>
      <c r="E7" s="81">
        <f>Natural!E7</f>
        <v>209872.6384231917</v>
      </c>
      <c r="F7" s="81">
        <f>Natural!F7</f>
        <v>283160.04295965447</v>
      </c>
      <c r="G7" s="81">
        <f>Natural!G7</f>
        <v>327061.61810591107</v>
      </c>
      <c r="H7" s="81">
        <f>Natural!H7</f>
        <v>290118.80079169519</v>
      </c>
      <c r="I7" s="81">
        <f>Natural!I7</f>
        <v>258395.05185150981</v>
      </c>
      <c r="J7" s="81">
        <f>Natural!J7</f>
        <v>263716.45489954093</v>
      </c>
      <c r="K7" s="81">
        <f>Natural!K7</f>
        <v>505942.62825895625</v>
      </c>
      <c r="L7" s="81">
        <f>Natural!L7</f>
        <v>58740.102876343219</v>
      </c>
      <c r="M7" s="81">
        <f>Natural!M7</f>
        <v>162405.12763894891</v>
      </c>
      <c r="N7" s="81">
        <f>Natural!N7</f>
        <v>506044.96293295687</v>
      </c>
      <c r="P7" s="81">
        <f t="shared" si="1"/>
        <v>669324.97071944666</v>
      </c>
      <c r="Q7" s="81">
        <f t="shared" si="2"/>
        <v>900340.46185726067</v>
      </c>
      <c r="R7" s="81">
        <f t="shared" si="3"/>
        <v>1028054.135010007</v>
      </c>
      <c r="S7" s="81">
        <f t="shared" si="4"/>
        <v>727190.19344824902</v>
      </c>
      <c r="T7" s="79"/>
      <c r="U7" s="81">
        <f t="shared" si="5"/>
        <v>3324909.7610349637</v>
      </c>
    </row>
    <row r="8" spans="2:21" s="25" customFormat="1" ht="15" customHeight="1" x14ac:dyDescent="0.2">
      <c r="B8" s="51" t="s">
        <v>12</v>
      </c>
      <c r="C8" s="96">
        <f>Natural!C8</f>
        <v>721374.25132581848</v>
      </c>
      <c r="D8" s="96">
        <f>Natural!D8</f>
        <v>595242.65474325209</v>
      </c>
      <c r="E8" s="96">
        <f>Natural!E8</f>
        <v>1249710.3438458135</v>
      </c>
      <c r="F8" s="96">
        <f>Natural!F8</f>
        <v>709383.96017214493</v>
      </c>
      <c r="G8" s="96">
        <f>Natural!G8</f>
        <v>904740.85283928656</v>
      </c>
      <c r="H8" s="96">
        <f>Natural!H8</f>
        <v>1379573.7402020607</v>
      </c>
      <c r="I8" s="96">
        <f>Natural!I8</f>
        <v>1038287.6024100666</v>
      </c>
      <c r="J8" s="96">
        <f>Natural!J8</f>
        <v>768431.06707048998</v>
      </c>
      <c r="K8" s="96">
        <f>Natural!K8</f>
        <v>1066020.2990642288</v>
      </c>
      <c r="L8" s="96">
        <f>Natural!L8</f>
        <v>979445.16485972295</v>
      </c>
      <c r="M8" s="96">
        <f>Natural!M8</f>
        <v>1434322.7907923807</v>
      </c>
      <c r="N8" s="96">
        <f>Natural!N8</f>
        <v>945674.72243952577</v>
      </c>
      <c r="P8" s="96">
        <f t="shared" si="1"/>
        <v>2566327.2499148841</v>
      </c>
      <c r="Q8" s="96">
        <f t="shared" si="2"/>
        <v>2993698.553213492</v>
      </c>
      <c r="R8" s="96">
        <f t="shared" si="3"/>
        <v>2872738.9685447854</v>
      </c>
      <c r="S8" s="96">
        <f t="shared" si="4"/>
        <v>3359442.6780916294</v>
      </c>
      <c r="T8" s="91"/>
      <c r="U8" s="96">
        <f t="shared" si="5"/>
        <v>11792207.449764792</v>
      </c>
    </row>
    <row r="9" spans="2:21" s="25" customFormat="1" ht="15" customHeight="1" x14ac:dyDescent="0.2">
      <c r="B9" s="78" t="s">
        <v>10</v>
      </c>
      <c r="C9" s="81">
        <f>Natural!C9</f>
        <v>280387.13024097512</v>
      </c>
      <c r="D9" s="81">
        <f>Natural!D9</f>
        <v>371671.55899892846</v>
      </c>
      <c r="E9" s="81">
        <f>Natural!E9</f>
        <v>506998.66365879396</v>
      </c>
      <c r="F9" s="81">
        <f>Natural!F9</f>
        <v>513515.39413500042</v>
      </c>
      <c r="G9" s="81">
        <f>Natural!G9</f>
        <v>589447.7222434443</v>
      </c>
      <c r="H9" s="81">
        <f>Natural!H9</f>
        <v>1063154.9281922118</v>
      </c>
      <c r="I9" s="81">
        <f>Natural!I9</f>
        <v>793503.06220063637</v>
      </c>
      <c r="J9" s="81">
        <f>Natural!J9</f>
        <v>684414.29971599905</v>
      </c>
      <c r="K9" s="81">
        <f>Natural!K9</f>
        <v>799540.80796667177</v>
      </c>
      <c r="L9" s="81">
        <f>Natural!L9</f>
        <v>700378.50886009238</v>
      </c>
      <c r="M9" s="81">
        <f>Natural!M9</f>
        <v>1140724.6110846652</v>
      </c>
      <c r="N9" s="81">
        <f>Natural!N9</f>
        <v>651155.53066580486</v>
      </c>
      <c r="P9" s="81">
        <f t="shared" si="1"/>
        <v>1159057.3528986976</v>
      </c>
      <c r="Q9" s="81">
        <f t="shared" si="2"/>
        <v>2166118.0445706565</v>
      </c>
      <c r="R9" s="81">
        <f t="shared" si="3"/>
        <v>2277458.1698833071</v>
      </c>
      <c r="S9" s="81">
        <f t="shared" si="4"/>
        <v>2492258.6506105624</v>
      </c>
      <c r="T9" s="91"/>
      <c r="U9" s="81">
        <f t="shared" si="5"/>
        <v>8094892.2179632233</v>
      </c>
    </row>
    <row r="10" spans="2:21" ht="15" customHeight="1" x14ac:dyDescent="0.2">
      <c r="B10" s="78" t="s">
        <v>11</v>
      </c>
      <c r="C10" s="81">
        <f>Natural!C10</f>
        <v>440987.1210848433</v>
      </c>
      <c r="D10" s="81">
        <f>Natural!D10</f>
        <v>223571.0957443236</v>
      </c>
      <c r="E10" s="81">
        <f>Natural!E10</f>
        <v>742711.68018701964</v>
      </c>
      <c r="F10" s="81">
        <f>Natural!F10</f>
        <v>195868.56603714445</v>
      </c>
      <c r="G10" s="81">
        <f>Natural!G10</f>
        <v>315293.13059584226</v>
      </c>
      <c r="H10" s="81">
        <f>Natural!H10</f>
        <v>316418.81200984883</v>
      </c>
      <c r="I10" s="81">
        <f>Natural!I10</f>
        <v>244784.5402094303</v>
      </c>
      <c r="J10" s="81">
        <f>Natural!J10</f>
        <v>84016.767354490905</v>
      </c>
      <c r="K10" s="81">
        <f>Natural!K10</f>
        <v>266479.49109755701</v>
      </c>
      <c r="L10" s="81">
        <f>Natural!L10</f>
        <v>279066.65599963057</v>
      </c>
      <c r="M10" s="81">
        <f>Natural!M10</f>
        <v>293598.17970771552</v>
      </c>
      <c r="N10" s="81">
        <f>Natural!N10</f>
        <v>294519.1917737209</v>
      </c>
      <c r="P10" s="81">
        <f t="shared" si="1"/>
        <v>1407269.8970161865</v>
      </c>
      <c r="Q10" s="81">
        <f t="shared" si="2"/>
        <v>827580.50864283554</v>
      </c>
      <c r="R10" s="81">
        <f t="shared" si="3"/>
        <v>595280.79866147821</v>
      </c>
      <c r="S10" s="81">
        <f t="shared" si="4"/>
        <v>867184.02748106699</v>
      </c>
      <c r="T10" s="79"/>
      <c r="U10" s="81">
        <f t="shared" si="5"/>
        <v>3697315.2318015671</v>
      </c>
    </row>
    <row r="11" spans="2:21" ht="15" customHeight="1" x14ac:dyDescent="0.2">
      <c r="B11" s="31" t="s">
        <v>13</v>
      </c>
      <c r="C11" s="97">
        <f>Natural!C11</f>
        <v>198666.7339566247</v>
      </c>
      <c r="D11" s="97">
        <f>Natural!D11</f>
        <v>335025.21674858825</v>
      </c>
      <c r="E11" s="97">
        <f>Natural!E11</f>
        <v>544202.91708709358</v>
      </c>
      <c r="F11" s="97">
        <f>Natural!F11</f>
        <v>192184.51777312293</v>
      </c>
      <c r="G11" s="97">
        <f>Natural!G11</f>
        <v>275894.281105612</v>
      </c>
      <c r="H11" s="97">
        <f>Natural!H11</f>
        <v>503077.25738693954</v>
      </c>
      <c r="I11" s="97">
        <f>Natural!I11</f>
        <v>522520.84544705303</v>
      </c>
      <c r="J11" s="97">
        <f>Natural!J11</f>
        <v>551788.56221122399</v>
      </c>
      <c r="K11" s="97">
        <f>Natural!K11</f>
        <v>706518.58930012805</v>
      </c>
      <c r="L11" s="97">
        <f>Natural!L11</f>
        <v>533572.99023911764</v>
      </c>
      <c r="M11" s="97">
        <f>Natural!M11</f>
        <v>231071.69389335017</v>
      </c>
      <c r="N11" s="97">
        <f>Natural!N11</f>
        <v>402277.60349635046</v>
      </c>
      <c r="P11" s="97">
        <f t="shared" si="1"/>
        <v>1077894.8677923065</v>
      </c>
      <c r="Q11" s="97">
        <f t="shared" si="2"/>
        <v>971156.05626567453</v>
      </c>
      <c r="R11" s="97">
        <f t="shared" si="3"/>
        <v>1780827.9969584052</v>
      </c>
      <c r="S11" s="97">
        <f t="shared" si="4"/>
        <v>1166922.2876288183</v>
      </c>
      <c r="T11" s="79"/>
      <c r="U11" s="97">
        <f t="shared" si="5"/>
        <v>4996801.2086452041</v>
      </c>
    </row>
    <row r="12" spans="2:21" ht="15" customHeight="1" x14ac:dyDescent="0.2">
      <c r="B12" s="52" t="s">
        <v>14</v>
      </c>
      <c r="C12" s="82">
        <f>Natural!C12</f>
        <v>1838282.796139159</v>
      </c>
      <c r="D12" s="82">
        <f>Natural!D12</f>
        <v>2029089.9786570801</v>
      </c>
      <c r="E12" s="82">
        <f>Natural!E12</f>
        <v>3183022.0796282226</v>
      </c>
      <c r="F12" s="82">
        <f>Natural!F12</f>
        <v>1963086.0513534702</v>
      </c>
      <c r="G12" s="82">
        <f>Natural!G12</f>
        <v>2261903.299435216</v>
      </c>
      <c r="H12" s="82">
        <f>Natural!H12</f>
        <v>3333859.0095914798</v>
      </c>
      <c r="I12" s="82">
        <f>Natural!I12</f>
        <v>2832112.1029665479</v>
      </c>
      <c r="J12" s="82">
        <f>Natural!J12</f>
        <v>2458999.881560368</v>
      </c>
      <c r="K12" s="82">
        <f>Natural!K12</f>
        <v>3280030.9710671655</v>
      </c>
      <c r="L12" s="82">
        <f>Natural!L12</f>
        <v>2339063.6436316674</v>
      </c>
      <c r="M12" s="82">
        <f>Natural!M12</f>
        <v>2898629.6410669368</v>
      </c>
      <c r="N12" s="82">
        <f>Natural!N12</f>
        <v>3103605.9930901341</v>
      </c>
      <c r="P12" s="82">
        <f t="shared" si="1"/>
        <v>7050394.8544244617</v>
      </c>
      <c r="Q12" s="82">
        <f t="shared" si="2"/>
        <v>7558848.3603801662</v>
      </c>
      <c r="R12" s="82">
        <f t="shared" si="3"/>
        <v>8571142.9555940814</v>
      </c>
      <c r="S12" s="82">
        <f t="shared" si="4"/>
        <v>8341299.2777887378</v>
      </c>
      <c r="T12" s="79"/>
      <c r="U12" s="82">
        <f t="shared" si="5"/>
        <v>31521685.448187448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f>Natural!C15</f>
        <v>6.7393931455971043E-2</v>
      </c>
      <c r="D15" s="101">
        <f>Natural!D15</f>
        <v>0.14484668328968767</v>
      </c>
      <c r="E15" s="101">
        <f>Natural!E15</f>
        <v>0.11567215284129743</v>
      </c>
      <c r="F15" s="101">
        <f>Natural!F15</f>
        <v>0.14609651369799148</v>
      </c>
      <c r="G15" s="101">
        <f>Natural!G15</f>
        <v>0.11725576288131039</v>
      </c>
      <c r="H15" s="101">
        <f>Natural!H15</f>
        <v>0.20359417064069918</v>
      </c>
      <c r="I15" s="101">
        <f>Natural!I15</f>
        <v>0.12659705621591977</v>
      </c>
      <c r="J15" s="101">
        <f>Natural!J15</f>
        <v>0.17055882143751375</v>
      </c>
      <c r="K15" s="101">
        <f>Natural!K15</f>
        <v>0.19756398166561684</v>
      </c>
      <c r="L15" s="101">
        <f>Natural!L15</f>
        <v>0.33217178429035915</v>
      </c>
      <c r="M15" s="101">
        <f>Natural!M15</f>
        <v>0.17710664878609386</v>
      </c>
      <c r="N15" s="101">
        <f>Natural!N15</f>
        <v>0.2053553875115432</v>
      </c>
      <c r="P15" s="101">
        <f>P25/P5</f>
        <v>0.11465475654137559</v>
      </c>
      <c r="Q15" s="101">
        <f t="shared" ref="Q15:S15" si="6">Q25/Q5</f>
        <v>0.16063645959706568</v>
      </c>
      <c r="R15" s="101">
        <f t="shared" si="6"/>
        <v>0.16668431137984499</v>
      </c>
      <c r="S15" s="101">
        <f t="shared" si="6"/>
        <v>0.22368303590388774</v>
      </c>
      <c r="T15" s="79"/>
      <c r="U15" s="101">
        <f t="shared" ref="U15" si="7">U25/U5</f>
        <v>0.16793926304183437</v>
      </c>
    </row>
    <row r="16" spans="2:21" ht="15" customHeight="1" x14ac:dyDescent="0.2">
      <c r="B16" s="94" t="s">
        <v>10</v>
      </c>
      <c r="C16" s="99">
        <f>Natural!C16</f>
        <v>8.269779157262673E-2</v>
      </c>
      <c r="D16" s="99">
        <f>Natural!D16</f>
        <v>0.14520413222718045</v>
      </c>
      <c r="E16" s="99">
        <f>Natural!E16</f>
        <v>0.13561154879632886</v>
      </c>
      <c r="F16" s="99">
        <f>Natural!F16</f>
        <v>0.17810344345334739</v>
      </c>
      <c r="G16" s="99">
        <f>Natural!G16</f>
        <v>0.13868143376929959</v>
      </c>
      <c r="H16" s="99">
        <f>Natural!H16</f>
        <v>0.18929248957002251</v>
      </c>
      <c r="I16" s="99">
        <f>Natural!I16</f>
        <v>0.13169223801022148</v>
      </c>
      <c r="J16" s="99">
        <f>Natural!J16</f>
        <v>0.1743766625878605</v>
      </c>
      <c r="K16" s="99">
        <f>Natural!K16</f>
        <v>0.24994126882264628</v>
      </c>
      <c r="L16" s="99">
        <f>Natural!L16</f>
        <v>0.2528063664279282</v>
      </c>
      <c r="M16" s="99">
        <f>Natural!M16</f>
        <v>0.17032188117874789</v>
      </c>
      <c r="N16" s="99">
        <f>Natural!N16</f>
        <v>0.23554213423925505</v>
      </c>
      <c r="P16" s="99">
        <f t="shared" ref="P16:S22" si="8">P26/P6</f>
        <v>0.12685345296298783</v>
      </c>
      <c r="Q16" s="99">
        <f t="shared" si="8"/>
        <v>0.17188851699898844</v>
      </c>
      <c r="R16" s="99">
        <f t="shared" si="8"/>
        <v>0.18560560318675476</v>
      </c>
      <c r="S16" s="99">
        <f t="shared" si="8"/>
        <v>0.21721390983086095</v>
      </c>
      <c r="T16" s="79"/>
      <c r="U16" s="99">
        <f t="shared" ref="U16" si="9">U26/U6</f>
        <v>0.17682681219101859</v>
      </c>
    </row>
    <row r="17" spans="2:21" ht="15" customHeight="1" x14ac:dyDescent="0.2">
      <c r="B17" s="94" t="s">
        <v>11</v>
      </c>
      <c r="C17" s="100">
        <f>Natural!C17</f>
        <v>3.5178889378835419E-2</v>
      </c>
      <c r="D17" s="100">
        <f>Natural!D17</f>
        <v>0.14280515161950749</v>
      </c>
      <c r="E17" s="100">
        <f>Natural!E17</f>
        <v>4.5604790246004716E-2</v>
      </c>
      <c r="F17" s="100">
        <f>Natural!F17</f>
        <v>5.8115050843189492E-2</v>
      </c>
      <c r="G17" s="100">
        <f>Natural!G17</f>
        <v>6.7848004919958557E-2</v>
      </c>
      <c r="H17" s="100">
        <f>Natural!H17</f>
        <v>0.26083116303149201</v>
      </c>
      <c r="I17" s="100">
        <f>Natural!I17</f>
        <v>0.10662394358225706</v>
      </c>
      <c r="J17" s="100">
        <f>Natural!J17</f>
        <v>0.15789046300654161</v>
      </c>
      <c r="K17" s="100">
        <f>Natural!K17</f>
        <v>9.3879412611036203E-2</v>
      </c>
      <c r="L17" s="100">
        <f>Natural!L17</f>
        <v>1.3688998385281776</v>
      </c>
      <c r="M17" s="100">
        <f>Natural!M17</f>
        <v>0.22184250779256384</v>
      </c>
      <c r="N17" s="100">
        <f>Natural!N17</f>
        <v>0.13081335226541799</v>
      </c>
      <c r="P17" s="100">
        <f t="shared" si="8"/>
        <v>6.4774688547365178E-2</v>
      </c>
      <c r="Q17" s="100">
        <f t="shared" si="8"/>
        <v>0.1269723706071349</v>
      </c>
      <c r="R17" s="100">
        <f t="shared" si="8"/>
        <v>0.11350278684670713</v>
      </c>
      <c r="S17" s="100">
        <f t="shared" si="8"/>
        <v>0.25115178639663166</v>
      </c>
      <c r="T17" s="79"/>
      <c r="U17" s="100">
        <f t="shared" ref="U17" si="10">U27/U7</f>
        <v>0.13744607753088928</v>
      </c>
    </row>
    <row r="18" spans="2:21" ht="15" customHeight="1" x14ac:dyDescent="0.2">
      <c r="B18" s="93" t="s">
        <v>12</v>
      </c>
      <c r="C18" s="101">
        <f>Natural!C18</f>
        <v>0.17841142091049092</v>
      </c>
      <c r="D18" s="101">
        <f>Natural!D18</f>
        <v>0.16576614011777902</v>
      </c>
      <c r="E18" s="101">
        <f>Natural!E18</f>
        <v>8.7735600019642646E-2</v>
      </c>
      <c r="F18" s="101">
        <f>Natural!F18</f>
        <v>0.19471753201760905</v>
      </c>
      <c r="G18" s="101">
        <f>Natural!G18</f>
        <v>0.12911064488203183</v>
      </c>
      <c r="H18" s="101">
        <f>Natural!H18</f>
        <v>0.12018586189683919</v>
      </c>
      <c r="I18" s="101">
        <f>Natural!I18</f>
        <v>0.12102902207211845</v>
      </c>
      <c r="J18" s="101">
        <f>Natural!J18</f>
        <v>9.4420159634264464E-2</v>
      </c>
      <c r="K18" s="101">
        <f>Natural!K18</f>
        <v>0.16021447574467024</v>
      </c>
      <c r="L18" s="101">
        <f>Natural!L18</f>
        <v>0.1103533778706924</v>
      </c>
      <c r="M18" s="101">
        <f>Natural!M18</f>
        <v>9.8388918786146584E-2</v>
      </c>
      <c r="N18" s="101">
        <f>Natural!N18</f>
        <v>0.16359749944477819</v>
      </c>
      <c r="P18" s="101">
        <f t="shared" si="8"/>
        <v>0.130464673959654</v>
      </c>
      <c r="Q18" s="101">
        <f t="shared" si="8"/>
        <v>0.14054401953850409</v>
      </c>
      <c r="R18" s="101">
        <f t="shared" si="8"/>
        <v>0.12845239492981031</v>
      </c>
      <c r="S18" s="101">
        <f t="shared" si="8"/>
        <v>0.1202332081660845</v>
      </c>
      <c r="T18" s="79"/>
      <c r="U18" s="101">
        <f t="shared" ref="U18" si="11">U28/U8</f>
        <v>0.12961850050173826</v>
      </c>
    </row>
    <row r="19" spans="2:21" ht="15" customHeight="1" x14ac:dyDescent="0.2">
      <c r="B19" s="94" t="s">
        <v>10</v>
      </c>
      <c r="C19" s="99">
        <f>Natural!C19</f>
        <v>0.25513485939404251</v>
      </c>
      <c r="D19" s="99">
        <f>Natural!D19</f>
        <v>0.13216248357945287</v>
      </c>
      <c r="E19" s="99">
        <f>Natural!E19</f>
        <v>0.1076882767868082</v>
      </c>
      <c r="F19" s="99">
        <f>Natural!F19</f>
        <v>0.15415830209544415</v>
      </c>
      <c r="G19" s="99">
        <f>Natural!G19</f>
        <v>0.11526510995014258</v>
      </c>
      <c r="H19" s="99">
        <f>Natural!H19</f>
        <v>9.0876544760634545E-2</v>
      </c>
      <c r="I19" s="99">
        <f>Natural!I19</f>
        <v>0.10227724990396118</v>
      </c>
      <c r="J19" s="99">
        <f>Natural!J19</f>
        <v>4.6083781283784667E-2</v>
      </c>
      <c r="K19" s="99">
        <f>Natural!K19</f>
        <v>0.15514190020778293</v>
      </c>
      <c r="L19" s="99">
        <f>Natural!L19</f>
        <v>0.10715448180803074</v>
      </c>
      <c r="M19" s="99">
        <f>Natural!M19</f>
        <v>9.4641963295987522E-2</v>
      </c>
      <c r="N19" s="99">
        <f>Natural!N19</f>
        <v>0.16771273177127266</v>
      </c>
      <c r="P19" s="99">
        <f t="shared" si="8"/>
        <v>0.15120509726926629</v>
      </c>
      <c r="Q19" s="99">
        <f t="shared" si="8"/>
        <v>0.11251522732300241</v>
      </c>
      <c r="R19" s="99">
        <f t="shared" si="8"/>
        <v>0.10394921551582453</v>
      </c>
      <c r="S19" s="99">
        <f t="shared" si="8"/>
        <v>0.11724954219492253</v>
      </c>
      <c r="T19" s="79"/>
      <c r="U19" s="99">
        <f t="shared" ref="U19" si="12">U29/U9</f>
        <v>0.11710258696470226</v>
      </c>
    </row>
    <row r="20" spans="2:21" ht="15" customHeight="1" x14ac:dyDescent="0.2">
      <c r="B20" s="94" t="s">
        <v>11</v>
      </c>
      <c r="C20" s="99">
        <f>Natural!C20</f>
        <v>0.12962935061850114</v>
      </c>
      <c r="D20" s="99">
        <f>Natural!D20</f>
        <v>0.22162990628166296</v>
      </c>
      <c r="E20" s="99">
        <f>Natural!E20</f>
        <v>7.1151099980620497E-2</v>
      </c>
      <c r="F20" s="99">
        <f>Natural!F20</f>
        <v>0.30105306793684827</v>
      </c>
      <c r="G20" s="99">
        <f>Natural!G20</f>
        <v>0.15499518925323663</v>
      </c>
      <c r="H20" s="99">
        <f>Natural!H20</f>
        <v>0.21866402998481782</v>
      </c>
      <c r="I20" s="99">
        <f>Natural!I20</f>
        <v>0.18181549422591917</v>
      </c>
      <c r="J20" s="99">
        <f>Natural!J20</f>
        <v>0.48817618692781961</v>
      </c>
      <c r="K20" s="99">
        <f>Natural!K20</f>
        <v>0.17543415034900997</v>
      </c>
      <c r="L20" s="99">
        <f>Natural!L20</f>
        <v>0.11838170374266015</v>
      </c>
      <c r="M20" s="99">
        <f>Natural!M20</f>
        <v>0.11294706198893613</v>
      </c>
      <c r="N20" s="99">
        <f>Natural!N20</f>
        <v>0.15449908968331721</v>
      </c>
      <c r="P20" s="99">
        <f t="shared" si="8"/>
        <v>0.11338242115924385</v>
      </c>
      <c r="Q20" s="99">
        <f t="shared" si="8"/>
        <v>0.21390687904456612</v>
      </c>
      <c r="R20" s="99">
        <f t="shared" si="8"/>
        <v>0.22219801257778246</v>
      </c>
      <c r="S20" s="99">
        <f t="shared" si="8"/>
        <v>0.12880816698856254</v>
      </c>
      <c r="T20" s="79"/>
      <c r="U20" s="99">
        <f t="shared" ref="U20" si="13">U30/U10</f>
        <v>0.157020808592814</v>
      </c>
    </row>
    <row r="21" spans="2:21" s="36" customFormat="1" ht="15" customHeight="1" x14ac:dyDescent="0.2">
      <c r="B21" s="19" t="s">
        <v>13</v>
      </c>
      <c r="C21" s="102">
        <f>Natural!C21</f>
        <v>0.15169917201438265</v>
      </c>
      <c r="D21" s="102">
        <f>Natural!D21</f>
        <v>3.1052479234059648E-2</v>
      </c>
      <c r="E21" s="102">
        <f>Natural!E21</f>
        <v>0.13756140402794095</v>
      </c>
      <c r="F21" s="102">
        <f>Natural!F21</f>
        <v>0.19265696367784188</v>
      </c>
      <c r="G21" s="102">
        <f>Natural!G21</f>
        <v>0.29325718333652373</v>
      </c>
      <c r="H21" s="102">
        <f>Natural!H21</f>
        <v>0.20344880015445777</v>
      </c>
      <c r="I21" s="102">
        <f>Natural!I21</f>
        <v>6.3463595935420627E-2</v>
      </c>
      <c r="J21" s="102">
        <f>Natural!J21</f>
        <v>0.11680582726115776</v>
      </c>
      <c r="K21" s="102">
        <f>Natural!K21</f>
        <v>0.10428228727605789</v>
      </c>
      <c r="L21" s="102">
        <f>Natural!L21</f>
        <v>0.19462464105093918</v>
      </c>
      <c r="M21" s="102">
        <f>Natural!M21</f>
        <v>0.23792413655906763</v>
      </c>
      <c r="N21" s="102">
        <f>Natural!N21</f>
        <v>0.15154083130793794</v>
      </c>
      <c r="P21" s="102">
        <f t="shared" si="8"/>
        <v>0.10706263053367782</v>
      </c>
      <c r="Q21" s="102">
        <f t="shared" si="8"/>
        <v>0.22682670659869014</v>
      </c>
      <c r="R21" s="102">
        <f t="shared" si="8"/>
        <v>9.6185901206316746E-2</v>
      </c>
      <c r="S21" s="102">
        <f t="shared" si="8"/>
        <v>0.18834627612571039</v>
      </c>
      <c r="T21" s="85"/>
      <c r="U21" s="102">
        <f t="shared" ref="U21" si="14">U31/U11</f>
        <v>0.14544553058207946</v>
      </c>
    </row>
    <row r="22" spans="2:21" ht="15" customHeight="1" x14ac:dyDescent="0.2">
      <c r="B22" s="95" t="s">
        <v>14</v>
      </c>
      <c r="C22" s="98">
        <f>Natural!C22</f>
        <v>9.9549306149495281E-2</v>
      </c>
      <c r="D22" s="98">
        <f>Natural!D22</f>
        <v>0.10960177195157539</v>
      </c>
      <c r="E22" s="98">
        <f>Natural!E22</f>
        <v>8.7049858779637571E-2</v>
      </c>
      <c r="F22" s="98">
        <f>Natural!F22</f>
        <v>0.13947373421489301</v>
      </c>
      <c r="G22" s="98">
        <f>Natural!G22</f>
        <v>0.11894602732024519</v>
      </c>
      <c r="H22" s="98">
        <f>Natural!H22</f>
        <v>0.14016419440526465</v>
      </c>
      <c r="I22" s="98">
        <f>Natural!I22</f>
        <v>9.3610968198660466E-2</v>
      </c>
      <c r="J22" s="98">
        <f>Natural!J22</f>
        <v>0.11168191552156798</v>
      </c>
      <c r="K22" s="98">
        <f>Natural!K22</f>
        <v>0.13707590443679588</v>
      </c>
      <c r="L22" s="98">
        <f>Natural!L22</f>
        <v>0.17237874686163115</v>
      </c>
      <c r="M22" s="98">
        <f>Natural!M22</f>
        <v>0.11856287675646755</v>
      </c>
      <c r="N22" s="98">
        <f>Natural!N22</f>
        <v>0.15392641935524717</v>
      </c>
      <c r="P22" s="98">
        <f t="shared" si="8"/>
        <v>0.11924881246290682</v>
      </c>
      <c r="Q22" s="98">
        <f t="shared" si="8"/>
        <v>0.1611828854956395</v>
      </c>
      <c r="R22" s="98">
        <f t="shared" si="8"/>
        <v>0.1392228794534742</v>
      </c>
      <c r="S22" s="98">
        <f t="shared" si="8"/>
        <v>0.17707530658567941</v>
      </c>
      <c r="T22" s="79"/>
      <c r="U22" s="98">
        <f t="shared" ref="U22" si="15">U32/U12</f>
        <v>0.15003783794274336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f>Natural!C25</f>
        <v>61883.925660884226</v>
      </c>
      <c r="D25" s="96">
        <f>Natural!D25</f>
        <v>159160.73774827071</v>
      </c>
      <c r="E25" s="96">
        <f>Natural!E25</f>
        <v>169489.24245703485</v>
      </c>
      <c r="F25" s="96">
        <f>Natural!F25</f>
        <v>155084.01670409011</v>
      </c>
      <c r="G25" s="96">
        <f>Natural!G25</f>
        <v>126784.92362384217</v>
      </c>
      <c r="H25" s="96">
        <f>Natural!H25</f>
        <v>295457.49163078266</v>
      </c>
      <c r="I25" s="96">
        <f>Natural!I25</f>
        <v>160943.30029339259</v>
      </c>
      <c r="J25" s="96">
        <f>Natural!J25</f>
        <v>194229.01770496176</v>
      </c>
      <c r="K25" s="96">
        <f>Natural!K25</f>
        <v>297826.1381881602</v>
      </c>
      <c r="L25" s="96">
        <f>Natural!L25</f>
        <v>274389.00383095047</v>
      </c>
      <c r="M25" s="96">
        <f>Natural!M25</f>
        <v>218414.14571186973</v>
      </c>
      <c r="N25" s="96">
        <f>Natural!N25</f>
        <v>360532.93915452459</v>
      </c>
      <c r="P25" s="96">
        <f t="shared" ref="P25:P32" si="16">SUM(C25:E25)</f>
        <v>390533.90586618974</v>
      </c>
      <c r="Q25" s="96">
        <f t="shared" ref="Q25:Q32" si="17">SUM(F25:H25)</f>
        <v>577326.43195871497</v>
      </c>
      <c r="R25" s="96">
        <f t="shared" ref="R25:R32" si="18">SUM(I25:K25)</f>
        <v>652998.45618651458</v>
      </c>
      <c r="S25" s="96">
        <f t="shared" ref="S25:S32" si="19">SUM(L25:N25)</f>
        <v>853336.08869734476</v>
      </c>
      <c r="T25" s="79"/>
      <c r="U25" s="96">
        <f t="shared" ref="U25:U32" si="20">SUM(P25:S25)</f>
        <v>2474194.8827087637</v>
      </c>
    </row>
    <row r="26" spans="2:21" ht="15" customHeight="1" x14ac:dyDescent="0.2">
      <c r="B26" s="78" t="s">
        <v>10</v>
      </c>
      <c r="C26" s="81">
        <f>Natural!C26</f>
        <v>51480.562074912355</v>
      </c>
      <c r="D26" s="81">
        <f>Natural!D26</f>
        <v>135779.98247258135</v>
      </c>
      <c r="E26" s="81">
        <f>Natural!E26</f>
        <v>159918.04480336962</v>
      </c>
      <c r="F26" s="81">
        <f>Natural!F26</f>
        <v>138628.15641073007</v>
      </c>
      <c r="G26" s="81">
        <f>Natural!G26</f>
        <v>104594.44534946271</v>
      </c>
      <c r="H26" s="81">
        <f>Natural!H26</f>
        <v>219785.46740298308</v>
      </c>
      <c r="I26" s="81">
        <f>Natural!I26</f>
        <v>133392.20086284282</v>
      </c>
      <c r="J26" s="81">
        <f>Natural!J26</f>
        <v>152590.70453842951</v>
      </c>
      <c r="K26" s="81">
        <f>Natural!K26</f>
        <v>250328.54143232555</v>
      </c>
      <c r="L26" s="81">
        <f>Natural!L26</f>
        <v>193979.6864883957</v>
      </c>
      <c r="M26" s="81">
        <f>Natural!M26</f>
        <v>182385.78491807388</v>
      </c>
      <c r="N26" s="81">
        <f>Natural!N26</f>
        <v>294335.50115623529</v>
      </c>
      <c r="P26" s="81">
        <f t="shared" si="16"/>
        <v>347178.58935086336</v>
      </c>
      <c r="Q26" s="81">
        <f t="shared" si="17"/>
        <v>463008.06916317588</v>
      </c>
      <c r="R26" s="81">
        <f t="shared" si="18"/>
        <v>536311.44683359796</v>
      </c>
      <c r="S26" s="81">
        <f t="shared" si="19"/>
        <v>670700.97256270493</v>
      </c>
      <c r="T26" s="79"/>
      <c r="U26" s="81">
        <f t="shared" si="20"/>
        <v>2017199.077910342</v>
      </c>
    </row>
    <row r="27" spans="2:21" ht="15" customHeight="1" x14ac:dyDescent="0.2">
      <c r="B27" s="78" t="s">
        <v>11</v>
      </c>
      <c r="C27" s="81">
        <f>Natural!C27</f>
        <v>10403.363585971867</v>
      </c>
      <c r="D27" s="81">
        <f>Natural!D27</f>
        <v>23380.755275689353</v>
      </c>
      <c r="E27" s="81">
        <f>Natural!E27</f>
        <v>9571.1976536652473</v>
      </c>
      <c r="F27" s="81">
        <f>Natural!F27</f>
        <v>16455.860293360041</v>
      </c>
      <c r="G27" s="81">
        <f>Natural!G27</f>
        <v>22190.47827437946</v>
      </c>
      <c r="H27" s="81">
        <f>Natural!H27</f>
        <v>75672.0242277996</v>
      </c>
      <c r="I27" s="81">
        <f>Natural!I27</f>
        <v>27551.09943054977</v>
      </c>
      <c r="J27" s="81">
        <f>Natural!J27</f>
        <v>41638.313166532265</v>
      </c>
      <c r="K27" s="81">
        <f>Natural!K27</f>
        <v>47497.59675583466</v>
      </c>
      <c r="L27" s="81">
        <f>Natural!L27</f>
        <v>80409.317342554772</v>
      </c>
      <c r="M27" s="81">
        <f>Natural!M27</f>
        <v>36028.360793795851</v>
      </c>
      <c r="N27" s="81">
        <f>Natural!N27</f>
        <v>66197.437998289271</v>
      </c>
      <c r="P27" s="81">
        <f t="shared" si="16"/>
        <v>43355.316515326471</v>
      </c>
      <c r="Q27" s="81">
        <f t="shared" si="17"/>
        <v>114318.3627955391</v>
      </c>
      <c r="R27" s="81">
        <f t="shared" si="18"/>
        <v>116687.00935291669</v>
      </c>
      <c r="S27" s="81">
        <f t="shared" si="19"/>
        <v>182635.11613463989</v>
      </c>
      <c r="T27" s="79"/>
      <c r="U27" s="81">
        <f t="shared" si="20"/>
        <v>456995.80479842215</v>
      </c>
    </row>
    <row r="28" spans="2:21" ht="15" customHeight="1" x14ac:dyDescent="0.2">
      <c r="B28" s="51" t="s">
        <v>12</v>
      </c>
      <c r="C28" s="96">
        <f>Natural!C28</f>
        <v>128701.40518728085</v>
      </c>
      <c r="D28" s="96">
        <f>Natural!D28</f>
        <v>98671.077310248656</v>
      </c>
      <c r="E28" s="96">
        <f>Natural!E28</f>
        <v>107442.56543639135</v>
      </c>
      <c r="F28" s="96">
        <f>Natural!F28</f>
        <v>138129.49397759797</v>
      </c>
      <c r="G28" s="96">
        <f>Natural!G28</f>
        <v>116811.67496119974</v>
      </c>
      <c r="H28" s="96">
        <f>Natural!H28</f>
        <v>165805.25901643076</v>
      </c>
      <c r="I28" s="96">
        <f>Natural!I28</f>
        <v>125662.9331492949</v>
      </c>
      <c r="J28" s="96">
        <f>Natural!J28</f>
        <v>72555.384020723839</v>
      </c>
      <c r="K28" s="96">
        <f>Natural!K28</f>
        <v>170791.88334775201</v>
      </c>
      <c r="L28" s="96">
        <f>Natural!L28</f>
        <v>108085.08238138759</v>
      </c>
      <c r="M28" s="96">
        <f>Natural!M28</f>
        <v>141121.46857639067</v>
      </c>
      <c r="N28" s="96">
        <f>Natural!N28</f>
        <v>154710.01987924104</v>
      </c>
      <c r="P28" s="96">
        <f t="shared" si="16"/>
        <v>334815.04793392087</v>
      </c>
      <c r="Q28" s="96">
        <f t="shared" si="17"/>
        <v>420746.42795522849</v>
      </c>
      <c r="R28" s="96">
        <f t="shared" si="18"/>
        <v>369010.20051777072</v>
      </c>
      <c r="S28" s="96">
        <f t="shared" si="19"/>
        <v>403916.5708370193</v>
      </c>
      <c r="T28" s="79"/>
      <c r="U28" s="96">
        <f t="shared" si="20"/>
        <v>1528488.2472439392</v>
      </c>
    </row>
    <row r="29" spans="2:21" ht="15" customHeight="1" x14ac:dyDescent="0.2">
      <c r="B29" s="78" t="s">
        <v>10</v>
      </c>
      <c r="C29" s="81">
        <f>Natural!C29</f>
        <v>71536.531049930272</v>
      </c>
      <c r="D29" s="81">
        <f>Natural!D29</f>
        <v>49121.036313145531</v>
      </c>
      <c r="E29" s="81">
        <f>Natural!E29</f>
        <v>54597.812422630079</v>
      </c>
      <c r="F29" s="81">
        <f>Natural!F29</f>
        <v>79162.661259724468</v>
      </c>
      <c r="G29" s="81">
        <f>Natural!G29</f>
        <v>67942.756514251712</v>
      </c>
      <c r="H29" s="81">
        <f>Natural!H29</f>
        <v>96615.846419348745</v>
      </c>
      <c r="I29" s="81">
        <f>Natural!I29</f>
        <v>81157.31099225294</v>
      </c>
      <c r="J29" s="81">
        <f>Natural!J29</f>
        <v>31540.398895606748</v>
      </c>
      <c r="K29" s="81">
        <f>Natural!K29</f>
        <v>124042.28024161553</v>
      </c>
      <c r="L29" s="81">
        <f>Natural!L29</f>
        <v>75048.696186384463</v>
      </c>
      <c r="M29" s="81">
        <f>Natural!M29</f>
        <v>107960.41677310452</v>
      </c>
      <c r="N29" s="81">
        <f>Natural!N29</f>
        <v>109207.07285593484</v>
      </c>
      <c r="P29" s="81">
        <f t="shared" si="16"/>
        <v>175255.37978570588</v>
      </c>
      <c r="Q29" s="81">
        <f t="shared" si="17"/>
        <v>243721.2641933249</v>
      </c>
      <c r="R29" s="81">
        <f t="shared" si="18"/>
        <v>236739.99012947522</v>
      </c>
      <c r="S29" s="81">
        <f t="shared" si="19"/>
        <v>292216.18581542384</v>
      </c>
      <c r="T29" s="79"/>
      <c r="U29" s="81">
        <f t="shared" si="20"/>
        <v>947932.81992392987</v>
      </c>
    </row>
    <row r="30" spans="2:21" ht="15" customHeight="1" x14ac:dyDescent="0.2">
      <c r="B30" s="78" t="s">
        <v>11</v>
      </c>
      <c r="C30" s="81">
        <f>Natural!C30</f>
        <v>57164.874137350569</v>
      </c>
      <c r="D30" s="81">
        <f>Natural!D30</f>
        <v>49550.040997103133</v>
      </c>
      <c r="E30" s="81">
        <f>Natural!E30</f>
        <v>52844.75301376127</v>
      </c>
      <c r="F30" s="81">
        <f>Natural!F30</f>
        <v>58966.832717873498</v>
      </c>
      <c r="G30" s="81">
        <f>Natural!G30</f>
        <v>48868.918446948024</v>
      </c>
      <c r="H30" s="81">
        <f>Natural!H30</f>
        <v>69189.412597082017</v>
      </c>
      <c r="I30" s="81">
        <f>Natural!I30</f>
        <v>44505.622157041951</v>
      </c>
      <c r="J30" s="81">
        <f>Natural!J30</f>
        <v>41014.985125117084</v>
      </c>
      <c r="K30" s="81">
        <f>Natural!K30</f>
        <v>46749.603106136477</v>
      </c>
      <c r="L30" s="81">
        <f>Natural!L30</f>
        <v>33036.386195003121</v>
      </c>
      <c r="M30" s="81">
        <f>Natural!M30</f>
        <v>33161.051803286151</v>
      </c>
      <c r="N30" s="81">
        <f>Natural!N30</f>
        <v>45502.947023306209</v>
      </c>
      <c r="P30" s="81">
        <f t="shared" si="16"/>
        <v>159559.66814821499</v>
      </c>
      <c r="Q30" s="81">
        <f t="shared" si="17"/>
        <v>177025.16376190353</v>
      </c>
      <c r="R30" s="81">
        <f t="shared" si="18"/>
        <v>132270.21038829553</v>
      </c>
      <c r="S30" s="81">
        <f t="shared" si="19"/>
        <v>111700.38502159549</v>
      </c>
      <c r="T30" s="79"/>
      <c r="U30" s="81">
        <f t="shared" si="20"/>
        <v>580555.42732000956</v>
      </c>
    </row>
    <row r="31" spans="2:21" ht="15" customHeight="1" x14ac:dyDescent="0.2">
      <c r="B31" s="31" t="s">
        <v>13</v>
      </c>
      <c r="C31" s="97">
        <f>Natural!C31</f>
        <v>30137.579048021606</v>
      </c>
      <c r="D31" s="97">
        <f>Natural!D31</f>
        <v>10403.363585971869</v>
      </c>
      <c r="E31" s="97">
        <f>Natural!E31</f>
        <v>74861.317350601734</v>
      </c>
      <c r="F31" s="97">
        <f>Natural!F31</f>
        <v>37025.685660060102</v>
      </c>
      <c r="G31" s="97">
        <f>Natural!G31</f>
        <v>80907.979775686879</v>
      </c>
      <c r="H31" s="97">
        <f>Natural!H31</f>
        <v>102350.46440036818</v>
      </c>
      <c r="I31" s="97">
        <f>Natural!I31</f>
        <v>33161.051803286144</v>
      </c>
      <c r="J31" s="97">
        <f>Natural!J31</f>
        <v>64452.119482326831</v>
      </c>
      <c r="K31" s="97">
        <f>Natural!K31</f>
        <v>73677.374495271113</v>
      </c>
      <c r="L31" s="97">
        <f>Natural!L31</f>
        <v>103846.45169976456</v>
      </c>
      <c r="M31" s="97">
        <f>Natural!M31</f>
        <v>54977.533252816516</v>
      </c>
      <c r="N31" s="97">
        <f>Natural!N31</f>
        <v>60961.482450401993</v>
      </c>
      <c r="O31" s="36"/>
      <c r="P31" s="97">
        <f t="shared" si="16"/>
        <v>115402.25998459521</v>
      </c>
      <c r="Q31" s="97">
        <f t="shared" si="17"/>
        <v>220284.12983611517</v>
      </c>
      <c r="R31" s="97">
        <f t="shared" si="18"/>
        <v>171290.5457808841</v>
      </c>
      <c r="S31" s="97">
        <f t="shared" si="19"/>
        <v>219785.46740298305</v>
      </c>
      <c r="T31" s="85"/>
      <c r="U31" s="97">
        <f t="shared" si="20"/>
        <v>726762.40300457762</v>
      </c>
    </row>
    <row r="32" spans="2:21" ht="15" customHeight="1" x14ac:dyDescent="0.2">
      <c r="B32" s="52" t="s">
        <v>14</v>
      </c>
      <c r="C32" s="82">
        <f>Natural!C32</f>
        <v>220722.9098961867</v>
      </c>
      <c r="D32" s="82">
        <f>Natural!D32</f>
        <v>268235.17864449124</v>
      </c>
      <c r="E32" s="82">
        <f>Natural!E32</f>
        <v>351793.12524402793</v>
      </c>
      <c r="F32" s="82">
        <f>Natural!F32</f>
        <v>330239.19634174817</v>
      </c>
      <c r="G32" s="82">
        <f>Natural!G32</f>
        <v>324504.5783607288</v>
      </c>
      <c r="H32" s="82">
        <f>Natural!H32</f>
        <v>563613.21504758159</v>
      </c>
      <c r="I32" s="82">
        <f>Natural!I32</f>
        <v>319767.28524597362</v>
      </c>
      <c r="J32" s="82">
        <f>Natural!J32</f>
        <v>331236.52120801242</v>
      </c>
      <c r="K32" s="82">
        <f>Natural!K32</f>
        <v>542295.39603118331</v>
      </c>
      <c r="L32" s="82">
        <f>Natural!L32</f>
        <v>486320.53791210265</v>
      </c>
      <c r="M32" s="82">
        <f>Natural!M32</f>
        <v>414513.14754107693</v>
      </c>
      <c r="N32" s="82">
        <f>Natural!N32</f>
        <v>576204.44148416759</v>
      </c>
      <c r="P32" s="82">
        <f t="shared" si="16"/>
        <v>840751.21378470585</v>
      </c>
      <c r="Q32" s="82">
        <f t="shared" si="17"/>
        <v>1218356.9897500586</v>
      </c>
      <c r="R32" s="82">
        <f t="shared" si="18"/>
        <v>1193299.2024851693</v>
      </c>
      <c r="S32" s="82">
        <f t="shared" si="19"/>
        <v>1477038.126937347</v>
      </c>
      <c r="T32" s="79"/>
      <c r="U32" s="82">
        <f t="shared" si="20"/>
        <v>4729445.5329572801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f>Natural!C34</f>
        <v>168</v>
      </c>
      <c r="D34" s="86">
        <f>Natural!D34</f>
        <v>160</v>
      </c>
      <c r="E34" s="86">
        <f>Natural!E34</f>
        <v>184</v>
      </c>
      <c r="F34" s="86">
        <f>Natural!F34</f>
        <v>160</v>
      </c>
      <c r="G34" s="86">
        <f>Natural!G34</f>
        <v>184</v>
      </c>
      <c r="H34" s="86">
        <f>Natural!H34</f>
        <v>168</v>
      </c>
      <c r="I34" s="86">
        <f>Natural!I34</f>
        <v>160</v>
      </c>
      <c r="J34" s="86">
        <f>Natural!J34</f>
        <v>184</v>
      </c>
      <c r="K34" s="86">
        <f>Natural!K34</f>
        <v>160</v>
      </c>
      <c r="L34" s="86">
        <f>Natural!L34</f>
        <v>176</v>
      </c>
      <c r="M34" s="86">
        <f>Natural!M34</f>
        <v>168</v>
      </c>
      <c r="N34" s="86">
        <f>Natural!N34</f>
        <v>168</v>
      </c>
      <c r="O34" s="38"/>
      <c r="P34" s="86">
        <f t="shared" ref="P34" si="21">SUM(C34:E34)</f>
        <v>512</v>
      </c>
      <c r="Q34" s="86">
        <f t="shared" ref="Q34" si="22">SUM(F34:H34)</f>
        <v>512</v>
      </c>
      <c r="R34" s="86">
        <f t="shared" ref="R34" si="23">SUM(I34:K34)</f>
        <v>504</v>
      </c>
      <c r="S34" s="86">
        <f t="shared" ref="S34" si="24">SUM(L34:N34)</f>
        <v>512</v>
      </c>
      <c r="T34" s="86"/>
      <c r="U34" s="86">
        <f t="shared" ref="U34" si="25">SUM(P34:S34)</f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f>Natural!C36</f>
        <v>16</v>
      </c>
      <c r="D36" s="103">
        <f>Natural!D36</f>
        <v>16</v>
      </c>
      <c r="E36" s="103">
        <f>Natural!E36</f>
        <v>16</v>
      </c>
      <c r="F36" s="103">
        <f>Natural!F36</f>
        <v>17</v>
      </c>
      <c r="G36" s="103">
        <f>Natural!G36</f>
        <v>17</v>
      </c>
      <c r="H36" s="103">
        <f>Natural!H36</f>
        <v>17</v>
      </c>
      <c r="I36" s="103">
        <f>Natural!I36</f>
        <v>18</v>
      </c>
      <c r="J36" s="103">
        <f>Natural!J36</f>
        <v>19</v>
      </c>
      <c r="K36" s="103">
        <f>Natural!K36</f>
        <v>19</v>
      </c>
      <c r="L36" s="103">
        <f>Natural!L36</f>
        <v>19</v>
      </c>
      <c r="M36" s="103">
        <f>Natural!M36</f>
        <v>19</v>
      </c>
      <c r="N36" s="103">
        <f>Natural!N36</f>
        <v>20</v>
      </c>
      <c r="O36" s="37"/>
      <c r="P36" s="103">
        <f>SUMPRODUCT(C36:E36,$C$41:$E$41)/SUM($C$41:$E$41)</f>
        <v>16</v>
      </c>
      <c r="Q36" s="103">
        <f>SUMPRODUCT(F36:H36,$F$41:$H$41)/SUM($F$41:$H$41)</f>
        <v>17</v>
      </c>
      <c r="R36" s="103">
        <f>SUMPRODUCT(I36:K36,$I$41:$K$41)/SUM($I$41:$K$41)</f>
        <v>18.694915254237287</v>
      </c>
      <c r="S36" s="103">
        <f>SUMPRODUCT(L36:N36,$L$41:$N$41)/SUM($L$41:$N$41)</f>
        <v>19.339270568278202</v>
      </c>
      <c r="T36" s="87"/>
      <c r="U36" s="103">
        <f>SUMPRODUCT(P36:S36,$P$41:$S$41)/SUM($P$41:$S$41)</f>
        <v>17.871721815709382</v>
      </c>
    </row>
    <row r="37" spans="2:21" ht="15" customHeight="1" x14ac:dyDescent="0.2">
      <c r="B37" s="51" t="s">
        <v>1</v>
      </c>
      <c r="C37" s="103">
        <f>Natural!C37</f>
        <v>225</v>
      </c>
      <c r="D37" s="103">
        <f>Natural!D37</f>
        <v>225</v>
      </c>
      <c r="E37" s="103">
        <f>Natural!E37</f>
        <v>225</v>
      </c>
      <c r="F37" s="103">
        <f>Natural!F37</f>
        <v>235</v>
      </c>
      <c r="G37" s="103">
        <f>Natural!G37</f>
        <v>235</v>
      </c>
      <c r="H37" s="103">
        <f>Natural!H37</f>
        <v>235</v>
      </c>
      <c r="I37" s="103">
        <f>Natural!I37</f>
        <v>235</v>
      </c>
      <c r="J37" s="103">
        <f>Natural!J37</f>
        <v>235</v>
      </c>
      <c r="K37" s="103">
        <f>Natural!K37</f>
        <v>235</v>
      </c>
      <c r="L37" s="103">
        <f>Natural!L37</f>
        <v>235</v>
      </c>
      <c r="M37" s="103">
        <f>Natural!M37</f>
        <v>235</v>
      </c>
      <c r="N37" s="103">
        <f>Natural!N37</f>
        <v>235</v>
      </c>
      <c r="O37" s="37"/>
      <c r="P37" s="103">
        <f>SUMPRODUCT(C37:E37,$C$41:$E$41)/SUM($C$41:$E$41)</f>
        <v>225</v>
      </c>
      <c r="Q37" s="103">
        <f>SUMPRODUCT(F37:H37,$F$41:$H$41)/SUM($F$41:$H$41)</f>
        <v>235</v>
      </c>
      <c r="R37" s="103">
        <f>SUMPRODUCT(I37:K37,$I$41:$K$41)/SUM($I$41:$K$41)</f>
        <v>235</v>
      </c>
      <c r="S37" s="103">
        <f>SUMPRODUCT(L37:N37,$L$41:$N$41)/SUM($L$41:$N$41)</f>
        <v>235</v>
      </c>
      <c r="T37" s="87"/>
      <c r="U37" s="103">
        <f>SUMPRODUCT(P37:S37,$P$41:$S$41)/SUM($P$41:$S$41)</f>
        <v>232.8123023127232</v>
      </c>
    </row>
    <row r="38" spans="2:21" ht="15" customHeight="1" x14ac:dyDescent="0.2">
      <c r="B38" s="51" t="s">
        <v>2</v>
      </c>
      <c r="C38" s="103">
        <f>Natural!C38</f>
        <v>128</v>
      </c>
      <c r="D38" s="103">
        <f>Natural!D38</f>
        <v>128</v>
      </c>
      <c r="E38" s="103">
        <f>Natural!E38</f>
        <v>128</v>
      </c>
      <c r="F38" s="103">
        <f>Natural!F38</f>
        <v>136</v>
      </c>
      <c r="G38" s="103">
        <f>Natural!G38</f>
        <v>136</v>
      </c>
      <c r="H38" s="103">
        <f>Natural!H38</f>
        <v>136</v>
      </c>
      <c r="I38" s="103">
        <f>Natural!I38</f>
        <v>144</v>
      </c>
      <c r="J38" s="103">
        <f>Natural!J38</f>
        <v>152</v>
      </c>
      <c r="K38" s="103">
        <f>Natural!K38</f>
        <v>152</v>
      </c>
      <c r="L38" s="103">
        <f>Natural!L38</f>
        <v>152</v>
      </c>
      <c r="M38" s="103">
        <f>Natural!M38</f>
        <v>152</v>
      </c>
      <c r="N38" s="103">
        <f>Natural!N38</f>
        <v>160</v>
      </c>
      <c r="O38" s="38"/>
      <c r="P38" s="103">
        <f>SUM(C38:E38)</f>
        <v>384</v>
      </c>
      <c r="Q38" s="103">
        <f>SUM(F38:H38)</f>
        <v>408</v>
      </c>
      <c r="R38" s="103">
        <f>SUM(I38:K38)</f>
        <v>448</v>
      </c>
      <c r="S38" s="103">
        <f>SUM(L38:N38)</f>
        <v>464</v>
      </c>
      <c r="T38" s="86"/>
      <c r="U38" s="103">
        <f>SUM(P38:S38)</f>
        <v>1704</v>
      </c>
    </row>
    <row r="39" spans="2:21" ht="15" customHeight="1" x14ac:dyDescent="0.2">
      <c r="B39" s="51" t="s">
        <v>3</v>
      </c>
      <c r="C39" s="84">
        <f>Natural!C39</f>
        <v>0.75</v>
      </c>
      <c r="D39" s="84">
        <f>Natural!D39</f>
        <v>0.75</v>
      </c>
      <c r="E39" s="84">
        <f>Natural!E39</f>
        <v>0.75</v>
      </c>
      <c r="F39" s="84">
        <f>Natural!F39</f>
        <v>0.75</v>
      </c>
      <c r="G39" s="84">
        <f>Natural!G39</f>
        <v>0.75</v>
      </c>
      <c r="H39" s="84">
        <f>Natural!H39</f>
        <v>0.75</v>
      </c>
      <c r="I39" s="84">
        <f>Natural!I39</f>
        <v>0.75</v>
      </c>
      <c r="J39" s="84">
        <f>Natural!J39</f>
        <v>0.75</v>
      </c>
      <c r="K39" s="84">
        <f>Natural!K39</f>
        <v>0.75</v>
      </c>
      <c r="L39" s="84">
        <f>Natural!L39</f>
        <v>0.75</v>
      </c>
      <c r="M39" s="84">
        <f>Natural!M39</f>
        <v>0.75</v>
      </c>
      <c r="N39" s="84">
        <f>Natural!N39</f>
        <v>0.75</v>
      </c>
      <c r="P39" s="84">
        <f t="shared" ref="P39:Q40" si="26">SUMPRODUCT(C39:E39,$C$41:$E$41)/SUM($C$41:$E$41)</f>
        <v>0.75</v>
      </c>
      <c r="Q39" s="84">
        <f t="shared" ref="Q39:R40" si="27">SUMPRODUCT(F39:H39,$F$41:$H$41)/SUM($F$41:$H$41)</f>
        <v>0.75</v>
      </c>
      <c r="R39" s="84">
        <f t="shared" ref="R39:S40" si="28">SUMPRODUCT(I39:K39,$I$41:$K$41)/SUM($I$41:$K$41)</f>
        <v>0.75</v>
      </c>
      <c r="S39" s="84">
        <f t="shared" ref="S39:S40" si="29">SUMPRODUCT(L39:N39,$L$41:$N$41)/SUM($L$41:$N$41)</f>
        <v>0.75</v>
      </c>
      <c r="T39" s="79"/>
      <c r="U39" s="84">
        <f t="shared" ref="U39:U40" si="30">SUMPRODUCT(P39:S39,$P$41:$S$41)/SUM($P$41:$S$41)</f>
        <v>0.75</v>
      </c>
    </row>
    <row r="40" spans="2:21" ht="15" customHeight="1" x14ac:dyDescent="0.2">
      <c r="B40" s="31" t="s">
        <v>6</v>
      </c>
      <c r="C40" s="104">
        <f>Natural!C40</f>
        <v>0.625</v>
      </c>
      <c r="D40" s="104">
        <f>Natural!D40</f>
        <v>0.625</v>
      </c>
      <c r="E40" s="104">
        <f>Natural!E40</f>
        <v>0.625</v>
      </c>
      <c r="F40" s="104">
        <f>Natural!F40</f>
        <v>0.625</v>
      </c>
      <c r="G40" s="104">
        <f>Natural!G40</f>
        <v>0.625</v>
      </c>
      <c r="H40" s="104">
        <f>Natural!H40</f>
        <v>0.625</v>
      </c>
      <c r="I40" s="104">
        <f>Natural!I40</f>
        <v>0.625</v>
      </c>
      <c r="J40" s="104">
        <f>Natural!J40</f>
        <v>0.625</v>
      </c>
      <c r="K40" s="104">
        <f>Natural!K40</f>
        <v>0.625</v>
      </c>
      <c r="L40" s="104">
        <f>Natural!L40</f>
        <v>0.625</v>
      </c>
      <c r="M40" s="104">
        <f>Natural!M40</f>
        <v>0.625</v>
      </c>
      <c r="N40" s="104">
        <f>Natural!N40</f>
        <v>0.625</v>
      </c>
      <c r="P40" s="104">
        <f t="shared" si="26"/>
        <v>0.625</v>
      </c>
      <c r="Q40" s="104">
        <f t="shared" si="27"/>
        <v>0.625</v>
      </c>
      <c r="R40" s="104">
        <f t="shared" si="28"/>
        <v>0.625</v>
      </c>
      <c r="S40" s="104">
        <f t="shared" si="29"/>
        <v>0.625</v>
      </c>
      <c r="T40" s="79"/>
      <c r="U40" s="104">
        <f t="shared" si="30"/>
        <v>0.625</v>
      </c>
    </row>
    <row r="41" spans="2:21" ht="15" customHeight="1" x14ac:dyDescent="0.2">
      <c r="B41" s="52" t="s">
        <v>25</v>
      </c>
      <c r="C41" s="82">
        <f>Natural!C41</f>
        <v>360000</v>
      </c>
      <c r="D41" s="82">
        <f>Natural!D41</f>
        <v>342000</v>
      </c>
      <c r="E41" s="82">
        <f>Natural!E41</f>
        <v>396000</v>
      </c>
      <c r="F41" s="82">
        <f>Natural!F41</f>
        <v>379525</v>
      </c>
      <c r="G41" s="82">
        <f>Natural!G41</f>
        <v>439450</v>
      </c>
      <c r="H41" s="82">
        <f>Natural!H41</f>
        <v>399500</v>
      </c>
      <c r="I41" s="82">
        <f>Natural!I41</f>
        <v>401850</v>
      </c>
      <c r="J41" s="82">
        <f>Natural!J41</f>
        <v>491150</v>
      </c>
      <c r="K41" s="82">
        <f>Natural!K41</f>
        <v>424175</v>
      </c>
      <c r="L41" s="82">
        <f>Natural!L41</f>
        <v>468825</v>
      </c>
      <c r="M41" s="82">
        <f>Natural!M41</f>
        <v>446500</v>
      </c>
      <c r="N41" s="82">
        <f>Natural!N41</f>
        <v>470000</v>
      </c>
      <c r="P41" s="82">
        <f>SUM(C41:E41)</f>
        <v>1098000</v>
      </c>
      <c r="Q41" s="82">
        <f>SUM(F41:H41)</f>
        <v>1218475</v>
      </c>
      <c r="R41" s="82">
        <f>SUM(I41:K41)</f>
        <v>1317175</v>
      </c>
      <c r="S41" s="82">
        <f>SUM(L41:N41)</f>
        <v>1385325</v>
      </c>
      <c r="T41" s="79"/>
      <c r="U41" s="82">
        <f>SUM(P41:S41)</f>
        <v>5018975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f>Natural!C43</f>
        <v>5</v>
      </c>
      <c r="D43" s="103">
        <f>Natural!D43</f>
        <v>5</v>
      </c>
      <c r="E43" s="103">
        <f>Natural!E43</f>
        <v>5</v>
      </c>
      <c r="F43" s="103">
        <f>Natural!F43</f>
        <v>6</v>
      </c>
      <c r="G43" s="103">
        <f>Natural!G43</f>
        <v>6</v>
      </c>
      <c r="H43" s="103">
        <f>Natural!H43</f>
        <v>6</v>
      </c>
      <c r="I43" s="103">
        <f>Natural!I43</f>
        <v>6</v>
      </c>
      <c r="J43" s="103">
        <f>Natural!J43</f>
        <v>6</v>
      </c>
      <c r="K43" s="103">
        <f>Natural!K43</f>
        <v>6</v>
      </c>
      <c r="L43" s="103">
        <f>Natural!L43</f>
        <v>7</v>
      </c>
      <c r="M43" s="103">
        <f>Natural!M43</f>
        <v>7</v>
      </c>
      <c r="N43" s="103">
        <f>Natural!N43</f>
        <v>7</v>
      </c>
      <c r="P43" s="103">
        <f>SUMPRODUCT(C43:E43,$C$47:$E$47)/SUM($C$47:$E$47)</f>
        <v>5</v>
      </c>
      <c r="Q43" s="103">
        <f>SUMPRODUCT(F43:H43,$F$47:$H$47)/SUM($F$47:$H$47)</f>
        <v>6</v>
      </c>
      <c r="R43" s="103">
        <f>SUMPRODUCT(I43:K43,$I$47:$K$47)/SUM($I$47:$K$47)</f>
        <v>6</v>
      </c>
      <c r="S43" s="103">
        <f>SUMPRODUCT(L43:N43,$L$47:$N$47)/SUM($L$47:$N$47)</f>
        <v>7</v>
      </c>
      <c r="T43" s="87"/>
      <c r="U43" s="103">
        <f>SUMPRODUCT(P43:S43,$P$47:$S$47)/SUM($P$47:$S$47)</f>
        <v>6.0906966864910794</v>
      </c>
    </row>
    <row r="44" spans="2:21" ht="15" customHeight="1" x14ac:dyDescent="0.2">
      <c r="B44" s="51" t="s">
        <v>5</v>
      </c>
      <c r="C44" s="103">
        <f>Natural!C44</f>
        <v>315</v>
      </c>
      <c r="D44" s="103">
        <f>Natural!D44</f>
        <v>315</v>
      </c>
      <c r="E44" s="103">
        <f>Natural!E44</f>
        <v>315</v>
      </c>
      <c r="F44" s="103">
        <f>Natural!F44</f>
        <v>325</v>
      </c>
      <c r="G44" s="103">
        <f>Natural!G44</f>
        <v>325</v>
      </c>
      <c r="H44" s="103">
        <f>Natural!H44</f>
        <v>325</v>
      </c>
      <c r="I44" s="103">
        <f>Natural!I44</f>
        <v>325</v>
      </c>
      <c r="J44" s="103">
        <f>Natural!J44</f>
        <v>325</v>
      </c>
      <c r="K44" s="103">
        <f>Natural!K44</f>
        <v>325</v>
      </c>
      <c r="L44" s="103">
        <f>Natural!L44</f>
        <v>325</v>
      </c>
      <c r="M44" s="103">
        <f>Natural!M44</f>
        <v>325</v>
      </c>
      <c r="N44" s="103">
        <f>Natural!N44</f>
        <v>325</v>
      </c>
      <c r="P44" s="103">
        <f>SUMPRODUCT(C44:E44,$C$47:$E$47)/SUM($C$47:$E$47)</f>
        <v>315</v>
      </c>
      <c r="Q44" s="103">
        <f>SUMPRODUCT(F44:H44,$F$47:$H$47)/SUM($F$47:$H$47)</f>
        <v>325</v>
      </c>
      <c r="R44" s="103">
        <f>SUMPRODUCT(I44:K44,$I$47:$K$47)/SUM($I$47:$K$47)</f>
        <v>325</v>
      </c>
      <c r="S44" s="103">
        <f>SUMPRODUCT(L44:N44,$L$47:$N$47)/SUM($L$47:$N$47)</f>
        <v>325</v>
      </c>
      <c r="T44" s="87"/>
      <c r="U44" s="103">
        <f>SUMPRODUCT(P44:S44,$P$47:$S$47)/SUM($P$47:$S$47)</f>
        <v>322.95932455395069</v>
      </c>
    </row>
    <row r="45" spans="2:21" ht="15" customHeight="1" x14ac:dyDescent="0.2">
      <c r="B45" s="51" t="s">
        <v>2</v>
      </c>
      <c r="C45" s="103">
        <f>Natural!C45</f>
        <v>40</v>
      </c>
      <c r="D45" s="103">
        <f>Natural!D45</f>
        <v>40</v>
      </c>
      <c r="E45" s="103">
        <f>Natural!E45</f>
        <v>40</v>
      </c>
      <c r="F45" s="103">
        <f>Natural!F45</f>
        <v>48</v>
      </c>
      <c r="G45" s="103">
        <f>Natural!G45</f>
        <v>48</v>
      </c>
      <c r="H45" s="103">
        <f>Natural!H45</f>
        <v>48</v>
      </c>
      <c r="I45" s="103">
        <f>Natural!I45</f>
        <v>48</v>
      </c>
      <c r="J45" s="103">
        <f>Natural!J45</f>
        <v>48</v>
      </c>
      <c r="K45" s="103">
        <f>Natural!K45</f>
        <v>48</v>
      </c>
      <c r="L45" s="103">
        <f>Natural!L45</f>
        <v>56</v>
      </c>
      <c r="M45" s="103">
        <f>Natural!M45</f>
        <v>56</v>
      </c>
      <c r="N45" s="103">
        <f>Natural!N45</f>
        <v>56</v>
      </c>
      <c r="P45" s="103">
        <f>SUM(C45:E45)</f>
        <v>120</v>
      </c>
      <c r="Q45" s="103">
        <f>SUM(F45:H45)</f>
        <v>144</v>
      </c>
      <c r="R45" s="103">
        <f>SUM(I45:K45)</f>
        <v>144</v>
      </c>
      <c r="S45" s="103">
        <f>SUM(L45:N45)</f>
        <v>168</v>
      </c>
      <c r="T45" s="86"/>
      <c r="U45" s="103">
        <f>SUM(P45:S45)</f>
        <v>576</v>
      </c>
    </row>
    <row r="46" spans="2:21" ht="15" customHeight="1" x14ac:dyDescent="0.2">
      <c r="B46" s="31" t="s">
        <v>6</v>
      </c>
      <c r="C46" s="104">
        <f>Natural!C46</f>
        <v>0.375</v>
      </c>
      <c r="D46" s="104">
        <f>Natural!D46</f>
        <v>0.375</v>
      </c>
      <c r="E46" s="104">
        <f>Natural!E46</f>
        <v>0.375</v>
      </c>
      <c r="F46" s="104">
        <f>Natural!F46</f>
        <v>0.375</v>
      </c>
      <c r="G46" s="104">
        <f>Natural!G46</f>
        <v>0.375</v>
      </c>
      <c r="H46" s="104">
        <f>Natural!H46</f>
        <v>0.375</v>
      </c>
      <c r="I46" s="104">
        <f>Natural!I46</f>
        <v>0.375</v>
      </c>
      <c r="J46" s="104">
        <f>Natural!J46</f>
        <v>0.375</v>
      </c>
      <c r="K46" s="104">
        <f>Natural!K46</f>
        <v>0.375</v>
      </c>
      <c r="L46" s="104">
        <f>Natural!L46</f>
        <v>0.375</v>
      </c>
      <c r="M46" s="104">
        <f>Natural!M46</f>
        <v>0.375</v>
      </c>
      <c r="N46" s="104">
        <f>Natural!N46</f>
        <v>0.375</v>
      </c>
      <c r="P46" s="104">
        <f>SUMPRODUCT(C46:E46,$C$47:$E$47)/SUM($C$47:$E$47)</f>
        <v>0.375</v>
      </c>
      <c r="Q46" s="104">
        <f>SUMPRODUCT(F46:H46,$F$47:$H$47)/SUM($F$47:$H$47)</f>
        <v>0.375</v>
      </c>
      <c r="R46" s="104">
        <f>SUMPRODUCT(I46:K46,$I$47:$K$47)/SUM($I$47:$K$47)</f>
        <v>0.375</v>
      </c>
      <c r="S46" s="104">
        <f>SUMPRODUCT(L46:N46,$L$47:$N$47)/SUM($L$47:$N$47)</f>
        <v>0.375</v>
      </c>
      <c r="T46" s="79"/>
      <c r="U46" s="104">
        <f>SUMPRODUCT(P46:S46,$P$47:$S$47)/SUM($P$47:$S$47)</f>
        <v>0.375</v>
      </c>
    </row>
    <row r="47" spans="2:21" ht="15" customHeight="1" x14ac:dyDescent="0.2">
      <c r="B47" s="52" t="s">
        <v>25</v>
      </c>
      <c r="C47" s="82">
        <f>Natural!C47</f>
        <v>94500</v>
      </c>
      <c r="D47" s="82">
        <f>Natural!D47</f>
        <v>89775</v>
      </c>
      <c r="E47" s="82">
        <f>Natural!E47</f>
        <v>103950</v>
      </c>
      <c r="F47" s="82">
        <f>Natural!F47</f>
        <v>111150</v>
      </c>
      <c r="G47" s="82">
        <f>Natural!G47</f>
        <v>128700</v>
      </c>
      <c r="H47" s="82">
        <f>Natural!H47</f>
        <v>117000</v>
      </c>
      <c r="I47" s="82">
        <f>Natural!I47</f>
        <v>111150</v>
      </c>
      <c r="J47" s="82">
        <f>Natural!J47</f>
        <v>128700</v>
      </c>
      <c r="K47" s="82">
        <f>Natural!K47</f>
        <v>111150</v>
      </c>
      <c r="L47" s="82">
        <f>Natural!L47</f>
        <v>143325</v>
      </c>
      <c r="M47" s="82">
        <f>Natural!M47</f>
        <v>136500</v>
      </c>
      <c r="N47" s="82">
        <f>Natural!N47</f>
        <v>136500</v>
      </c>
      <c r="P47" s="82">
        <f>SUM(C47:E47)</f>
        <v>288225</v>
      </c>
      <c r="Q47" s="82">
        <f>SUM(F47:H47)</f>
        <v>356850</v>
      </c>
      <c r="R47" s="82">
        <f>SUM(I47:K47)</f>
        <v>351000</v>
      </c>
      <c r="S47" s="82">
        <f>SUM(L47:N47)</f>
        <v>416325</v>
      </c>
      <c r="T47" s="79"/>
      <c r="U47" s="82">
        <f>SUM(P47:S47)</f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f>Natural!C50</f>
        <v>0</v>
      </c>
      <c r="D50" s="96">
        <f>Natural!D50</f>
        <v>153190.23301159657</v>
      </c>
      <c r="E50" s="96">
        <f>Natural!E50</f>
        <v>169090.83155475667</v>
      </c>
      <c r="F50" s="96">
        <f>Natural!F50</f>
        <v>265251.83996901853</v>
      </c>
      <c r="G50" s="96">
        <f>Natural!G50</f>
        <v>163590.50427945584</v>
      </c>
      <c r="H50" s="96">
        <f>Natural!H50</f>
        <v>188491.94161960133</v>
      </c>
      <c r="I50" s="96">
        <f>Natural!I50</f>
        <v>277821.58413262333</v>
      </c>
      <c r="J50" s="96">
        <f>Natural!J50</f>
        <v>236009.34191387901</v>
      </c>
      <c r="K50" s="96">
        <f>Natural!K50</f>
        <v>204916.65679669732</v>
      </c>
      <c r="L50" s="96">
        <f>Natural!L50</f>
        <v>273335.9142555971</v>
      </c>
      <c r="M50" s="96">
        <f>Natural!M50</f>
        <v>194921.97030263895</v>
      </c>
      <c r="N50" s="96">
        <f>Natural!N50</f>
        <v>241552.47008891139</v>
      </c>
      <c r="P50" s="96">
        <f t="shared" ref="P50:P59" si="31">SUM(C50:E50)</f>
        <v>322281.06456635322</v>
      </c>
      <c r="Q50" s="96">
        <f t="shared" ref="Q50:Q59" si="32">SUM(F50:H50)</f>
        <v>617334.28586807568</v>
      </c>
      <c r="R50" s="96">
        <f t="shared" ref="R50:R59" si="33">SUM(I50:K50)</f>
        <v>718747.58284319961</v>
      </c>
      <c r="S50" s="96">
        <f t="shared" ref="S50:S59" si="34">SUM(L50:N50)</f>
        <v>709810.35464714747</v>
      </c>
      <c r="T50" s="79"/>
      <c r="U50" s="96">
        <f t="shared" ref="U50:U59" si="35">SUM(P50:S50)</f>
        <v>2368173.2879247759</v>
      </c>
    </row>
    <row r="51" spans="2:21" ht="15" customHeight="1" x14ac:dyDescent="0.2">
      <c r="B51" s="55" t="s">
        <v>67</v>
      </c>
      <c r="C51" s="96">
        <f>Natural!C51</f>
        <v>5500000</v>
      </c>
      <c r="D51" s="96">
        <f>Natural!D51</f>
        <v>5458749.9999999991</v>
      </c>
      <c r="E51" s="96">
        <f>Natural!E51</f>
        <v>5417809.3749999991</v>
      </c>
      <c r="F51" s="96">
        <f>Natural!F51</f>
        <v>5378304.514973958</v>
      </c>
      <c r="G51" s="96">
        <f>Natural!G51</f>
        <v>5339087.7112189392</v>
      </c>
      <c r="H51" s="96">
        <f>Natural!H51</f>
        <v>5300156.8633246347</v>
      </c>
      <c r="I51" s="96">
        <f>Natural!I51</f>
        <v>5261509.886196225</v>
      </c>
      <c r="J51" s="96">
        <f>Natural!J51</f>
        <v>5223144.7099427115</v>
      </c>
      <c r="K51" s="96">
        <f>Natural!K51</f>
        <v>5185059.2797660455</v>
      </c>
      <c r="L51" s="96">
        <f>Natural!L51</f>
        <v>5147251.5558510851</v>
      </c>
      <c r="M51" s="96">
        <f>Natural!M51</f>
        <v>5109719.5132563375</v>
      </c>
      <c r="N51" s="96">
        <f>Natural!N51</f>
        <v>5072461.1418055091</v>
      </c>
      <c r="P51" s="96">
        <f t="shared" si="31"/>
        <v>16376559.375</v>
      </c>
      <c r="Q51" s="96">
        <f t="shared" si="32"/>
        <v>16017549.089517532</v>
      </c>
      <c r="R51" s="96">
        <f t="shared" si="33"/>
        <v>15669713.875904981</v>
      </c>
      <c r="S51" s="96">
        <f t="shared" si="34"/>
        <v>15329432.210912932</v>
      </c>
      <c r="T51" s="79"/>
      <c r="U51" s="96">
        <f t="shared" si="35"/>
        <v>63393254.551335439</v>
      </c>
    </row>
    <row r="52" spans="2:21" ht="15" customHeight="1" x14ac:dyDescent="0.2">
      <c r="B52" s="105" t="s">
        <v>70</v>
      </c>
      <c r="C52" s="81">
        <f>Natural!C52</f>
        <v>2530000</v>
      </c>
      <c r="D52" s="81">
        <f>Natural!D52</f>
        <v>2511024.9999999995</v>
      </c>
      <c r="E52" s="81">
        <f>Natural!E52</f>
        <v>2492192.3124999995</v>
      </c>
      <c r="F52" s="81">
        <f>Natural!F52</f>
        <v>2447128.5543131512</v>
      </c>
      <c r="G52" s="81">
        <f>Natural!G52</f>
        <v>2429284.9086046172</v>
      </c>
      <c r="H52" s="81">
        <f>Natural!H52</f>
        <v>2411571.3728127088</v>
      </c>
      <c r="I52" s="81">
        <f>Natural!I52</f>
        <v>2393986.9982192824</v>
      </c>
      <c r="J52" s="81">
        <f>Natural!J52</f>
        <v>2376530.8430239339</v>
      </c>
      <c r="K52" s="81">
        <f>Natural!K52</f>
        <v>2359201.9722935506</v>
      </c>
      <c r="L52" s="81">
        <f>Natural!L52</f>
        <v>2341999.4579122439</v>
      </c>
      <c r="M52" s="81">
        <f>Natural!M52</f>
        <v>2324922.3785316334</v>
      </c>
      <c r="N52" s="81">
        <f>Natural!N52</f>
        <v>2307969.8195215068</v>
      </c>
      <c r="P52" s="81">
        <f t="shared" si="31"/>
        <v>7533217.3125</v>
      </c>
      <c r="Q52" s="81">
        <f t="shared" si="32"/>
        <v>7287984.8357304772</v>
      </c>
      <c r="R52" s="81">
        <f t="shared" si="33"/>
        <v>7129719.8135367669</v>
      </c>
      <c r="S52" s="81">
        <f t="shared" si="34"/>
        <v>6974891.6559653841</v>
      </c>
      <c r="T52" s="79"/>
      <c r="U52" s="81">
        <f t="shared" si="35"/>
        <v>28925813.617732629</v>
      </c>
    </row>
    <row r="53" spans="2:21" ht="15" customHeight="1" x14ac:dyDescent="0.2">
      <c r="B53" s="105" t="s">
        <v>71</v>
      </c>
      <c r="C53" s="81">
        <f>Natural!C53</f>
        <v>2420000</v>
      </c>
      <c r="D53" s="81">
        <f>Natural!D53</f>
        <v>2401849.9999999995</v>
      </c>
      <c r="E53" s="81">
        <f>Natural!E53</f>
        <v>2383836.1249999995</v>
      </c>
      <c r="F53" s="81">
        <f>Natural!F53</f>
        <v>2393345.5091634113</v>
      </c>
      <c r="G53" s="81">
        <f>Natural!G53</f>
        <v>2375894.0314924279</v>
      </c>
      <c r="H53" s="81">
        <f>Natural!H53</f>
        <v>2358569.8041794626</v>
      </c>
      <c r="I53" s="81">
        <f>Natural!I53</f>
        <v>2341371.8993573203</v>
      </c>
      <c r="J53" s="81">
        <f>Natural!J53</f>
        <v>2324299.3959245067</v>
      </c>
      <c r="K53" s="81">
        <f>Natural!K53</f>
        <v>2307351.3794958903</v>
      </c>
      <c r="L53" s="81">
        <f>Natural!L53</f>
        <v>2290526.9423537329</v>
      </c>
      <c r="M53" s="81">
        <f>Natural!M53</f>
        <v>2273825.1833990701</v>
      </c>
      <c r="N53" s="81">
        <f>Natural!N53</f>
        <v>2257245.2081034514</v>
      </c>
      <c r="P53" s="81">
        <f t="shared" si="31"/>
        <v>7205686.125</v>
      </c>
      <c r="Q53" s="81">
        <f t="shared" si="32"/>
        <v>7127809.3448353019</v>
      </c>
      <c r="R53" s="81">
        <f t="shared" si="33"/>
        <v>6973022.6747777183</v>
      </c>
      <c r="S53" s="81">
        <f t="shared" si="34"/>
        <v>6821597.3338562548</v>
      </c>
      <c r="T53" s="79"/>
      <c r="U53" s="81">
        <f t="shared" si="35"/>
        <v>28128115.478469275</v>
      </c>
    </row>
    <row r="54" spans="2:21" ht="15" customHeight="1" x14ac:dyDescent="0.2">
      <c r="B54" s="105" t="s">
        <v>72</v>
      </c>
      <c r="C54" s="81">
        <f>Natural!C54</f>
        <v>385000.00000000006</v>
      </c>
      <c r="D54" s="81">
        <f>Natural!D54</f>
        <v>382112.5</v>
      </c>
      <c r="E54" s="81">
        <f>Natural!E54</f>
        <v>379246.65625</v>
      </c>
      <c r="F54" s="81">
        <f>Natural!F54</f>
        <v>322698.27089843748</v>
      </c>
      <c r="G54" s="81">
        <f>Natural!G54</f>
        <v>320345.26267313631</v>
      </c>
      <c r="H54" s="81">
        <f>Natural!H54</f>
        <v>318009.41179947805</v>
      </c>
      <c r="I54" s="81">
        <f>Natural!I54</f>
        <v>315690.59317177348</v>
      </c>
      <c r="J54" s="81">
        <f>Natural!J54</f>
        <v>313388.68259656266</v>
      </c>
      <c r="K54" s="81">
        <f>Natural!K54</f>
        <v>311103.55678596272</v>
      </c>
      <c r="L54" s="81">
        <f>Natural!L54</f>
        <v>308835.09335106512</v>
      </c>
      <c r="M54" s="81">
        <f>Natural!M54</f>
        <v>306583.17079538025</v>
      </c>
      <c r="N54" s="81">
        <f>Natural!N54</f>
        <v>304347.66850833053</v>
      </c>
      <c r="P54" s="81">
        <f t="shared" si="31"/>
        <v>1146359.15625</v>
      </c>
      <c r="Q54" s="81">
        <f t="shared" si="32"/>
        <v>961052.94537105178</v>
      </c>
      <c r="R54" s="81">
        <f t="shared" si="33"/>
        <v>940182.83255429892</v>
      </c>
      <c r="S54" s="81">
        <f t="shared" si="34"/>
        <v>919765.93265477591</v>
      </c>
      <c r="T54" s="79"/>
      <c r="U54" s="81">
        <f t="shared" si="35"/>
        <v>3967360.8668301264</v>
      </c>
    </row>
    <row r="55" spans="2:21" ht="15" customHeight="1" x14ac:dyDescent="0.2">
      <c r="B55" s="105" t="s">
        <v>73</v>
      </c>
      <c r="C55" s="81">
        <f>Natural!C55</f>
        <v>165000</v>
      </c>
      <c r="D55" s="81">
        <f>Natural!D55</f>
        <v>163762.49999999997</v>
      </c>
      <c r="E55" s="81">
        <f>Natural!E55</f>
        <v>162534.28124999997</v>
      </c>
      <c r="F55" s="81">
        <f>Natural!F55</f>
        <v>215132.18059895834</v>
      </c>
      <c r="G55" s="81">
        <f>Natural!G55</f>
        <v>213563.50844875758</v>
      </c>
      <c r="H55" s="81">
        <f>Natural!H55</f>
        <v>212006.27453298541</v>
      </c>
      <c r="I55" s="81">
        <f>Natural!I55</f>
        <v>210460.395447849</v>
      </c>
      <c r="J55" s="81">
        <f>Natural!J55</f>
        <v>208925.78839770847</v>
      </c>
      <c r="K55" s="81">
        <f>Natural!K55</f>
        <v>207402.37119064183</v>
      </c>
      <c r="L55" s="81">
        <f>Natural!L55</f>
        <v>205890.06223404341</v>
      </c>
      <c r="M55" s="81">
        <f>Natural!M55</f>
        <v>204388.78053025351</v>
      </c>
      <c r="N55" s="81">
        <f>Natural!N55</f>
        <v>202898.44567222038</v>
      </c>
      <c r="P55" s="81">
        <f t="shared" si="31"/>
        <v>491296.78125</v>
      </c>
      <c r="Q55" s="81">
        <f t="shared" si="32"/>
        <v>640701.96358070127</v>
      </c>
      <c r="R55" s="81">
        <f t="shared" si="33"/>
        <v>626788.55503619928</v>
      </c>
      <c r="S55" s="81">
        <f t="shared" si="34"/>
        <v>613177.28843651735</v>
      </c>
      <c r="T55" s="79"/>
      <c r="U55" s="81">
        <f t="shared" si="35"/>
        <v>2371964.5883034179</v>
      </c>
    </row>
    <row r="56" spans="2:21" ht="15" customHeight="1" x14ac:dyDescent="0.2">
      <c r="B56" s="55" t="s">
        <v>68</v>
      </c>
      <c r="C56" s="107">
        <f>Natural!C56</f>
        <v>454500</v>
      </c>
      <c r="D56" s="107">
        <f>Natural!D56</f>
        <v>431775</v>
      </c>
      <c r="E56" s="107">
        <f>Natural!E56</f>
        <v>499950</v>
      </c>
      <c r="F56" s="107">
        <f>Natural!F56</f>
        <v>490675</v>
      </c>
      <c r="G56" s="107">
        <f>Natural!G56</f>
        <v>568150</v>
      </c>
      <c r="H56" s="107">
        <f>Natural!H56</f>
        <v>516500</v>
      </c>
      <c r="I56" s="107">
        <f>Natural!I56</f>
        <v>513000</v>
      </c>
      <c r="J56" s="107">
        <f>Natural!J56</f>
        <v>619850</v>
      </c>
      <c r="K56" s="107">
        <f>Natural!K56</f>
        <v>535325</v>
      </c>
      <c r="L56" s="107">
        <f>Natural!L56</f>
        <v>612150</v>
      </c>
      <c r="M56" s="107">
        <f>Natural!M56</f>
        <v>583000</v>
      </c>
      <c r="N56" s="107">
        <f>Natural!N56</f>
        <v>606500</v>
      </c>
      <c r="P56" s="107">
        <f t="shared" si="31"/>
        <v>1386225</v>
      </c>
      <c r="Q56" s="107">
        <f t="shared" si="32"/>
        <v>1575325</v>
      </c>
      <c r="R56" s="107">
        <f t="shared" si="33"/>
        <v>1668175</v>
      </c>
      <c r="S56" s="107">
        <f t="shared" si="34"/>
        <v>1801650</v>
      </c>
      <c r="T56" s="79"/>
      <c r="U56" s="107">
        <f t="shared" si="35"/>
        <v>6431375</v>
      </c>
    </row>
    <row r="57" spans="2:21" ht="15" customHeight="1" x14ac:dyDescent="0.2">
      <c r="B57" s="105" t="s">
        <v>22</v>
      </c>
      <c r="C57" s="27">
        <f>Natural!C57</f>
        <v>360000</v>
      </c>
      <c r="D57" s="27">
        <f>Natural!D57</f>
        <v>342000</v>
      </c>
      <c r="E57" s="27">
        <f>Natural!E57</f>
        <v>396000</v>
      </c>
      <c r="F57" s="27">
        <f>Natural!F57</f>
        <v>379525</v>
      </c>
      <c r="G57" s="27">
        <f>Natural!G57</f>
        <v>439450</v>
      </c>
      <c r="H57" s="27">
        <f>Natural!H57</f>
        <v>399500</v>
      </c>
      <c r="I57" s="27">
        <f>Natural!I57</f>
        <v>401850</v>
      </c>
      <c r="J57" s="27">
        <f>Natural!J57</f>
        <v>491150</v>
      </c>
      <c r="K57" s="27">
        <f>Natural!K57</f>
        <v>424175</v>
      </c>
      <c r="L57" s="27">
        <f>Natural!L57</f>
        <v>468825</v>
      </c>
      <c r="M57" s="27">
        <f>Natural!M57</f>
        <v>446500</v>
      </c>
      <c r="N57" s="27">
        <f>Natural!N57</f>
        <v>470000</v>
      </c>
      <c r="P57" s="27">
        <f t="shared" si="31"/>
        <v>1098000</v>
      </c>
      <c r="Q57" s="27">
        <f t="shared" si="32"/>
        <v>1218475</v>
      </c>
      <c r="R57" s="27">
        <f t="shared" si="33"/>
        <v>1317175</v>
      </c>
      <c r="S57" s="27">
        <f t="shared" si="34"/>
        <v>1385325</v>
      </c>
      <c r="T57" s="79"/>
      <c r="U57" s="27">
        <f t="shared" si="35"/>
        <v>5018975</v>
      </c>
    </row>
    <row r="58" spans="2:21" ht="15" customHeight="1" x14ac:dyDescent="0.2">
      <c r="B58" s="69" t="s">
        <v>23</v>
      </c>
      <c r="C58" s="106">
        <f>Natural!C58</f>
        <v>94500</v>
      </c>
      <c r="D58" s="106">
        <f>Natural!D58</f>
        <v>89775</v>
      </c>
      <c r="E58" s="106">
        <f>Natural!E58</f>
        <v>103950</v>
      </c>
      <c r="F58" s="106">
        <f>Natural!F58</f>
        <v>111150</v>
      </c>
      <c r="G58" s="106">
        <f>Natural!G58</f>
        <v>128700</v>
      </c>
      <c r="H58" s="106">
        <f>Natural!H58</f>
        <v>117000</v>
      </c>
      <c r="I58" s="106">
        <f>Natural!I58</f>
        <v>111150</v>
      </c>
      <c r="J58" s="106">
        <f>Natural!J58</f>
        <v>128700</v>
      </c>
      <c r="K58" s="106">
        <f>Natural!K58</f>
        <v>111150</v>
      </c>
      <c r="L58" s="106">
        <f>Natural!L58</f>
        <v>143325</v>
      </c>
      <c r="M58" s="106">
        <f>Natural!M58</f>
        <v>136500</v>
      </c>
      <c r="N58" s="106">
        <f>Natural!N58</f>
        <v>136500</v>
      </c>
      <c r="P58" s="106">
        <f t="shared" si="31"/>
        <v>288225</v>
      </c>
      <c r="Q58" s="106">
        <f t="shared" si="32"/>
        <v>356850</v>
      </c>
      <c r="R58" s="106">
        <f t="shared" si="33"/>
        <v>351000</v>
      </c>
      <c r="S58" s="106">
        <f t="shared" si="34"/>
        <v>416325</v>
      </c>
      <c r="T58" s="79"/>
      <c r="U58" s="106">
        <f t="shared" si="35"/>
        <v>1412400</v>
      </c>
    </row>
    <row r="59" spans="2:21" ht="15" customHeight="1" x14ac:dyDescent="0.2">
      <c r="B59" s="52" t="s">
        <v>69</v>
      </c>
      <c r="C59" s="28">
        <f>Natural!C59</f>
        <v>5954500</v>
      </c>
      <c r="D59" s="28">
        <f>Natural!D59</f>
        <v>6043715.2330115959</v>
      </c>
      <c r="E59" s="28">
        <f>Natural!E59</f>
        <v>6086850.2065547556</v>
      </c>
      <c r="F59" s="28">
        <f>Natural!F59</f>
        <v>6134231.3549429765</v>
      </c>
      <c r="G59" s="28">
        <f>Natural!G59</f>
        <v>6070828.2154983953</v>
      </c>
      <c r="H59" s="28">
        <f>Natural!H59</f>
        <v>6005148.8049442358</v>
      </c>
      <c r="I59" s="28">
        <f>Natural!I59</f>
        <v>6052331.4703288479</v>
      </c>
      <c r="J59" s="28">
        <f>Natural!J59</f>
        <v>6079004.0518565904</v>
      </c>
      <c r="K59" s="28">
        <f>Natural!K59</f>
        <v>5925300.936562743</v>
      </c>
      <c r="L59" s="28">
        <f>Natural!L59</f>
        <v>6032737.4701066818</v>
      </c>
      <c r="M59" s="28">
        <f>Natural!M59</f>
        <v>5887641.4835589761</v>
      </c>
      <c r="N59" s="28">
        <f>Natural!N59</f>
        <v>5920513.6118944203</v>
      </c>
      <c r="P59" s="28">
        <f t="shared" si="31"/>
        <v>18085065.439566351</v>
      </c>
      <c r="Q59" s="28">
        <f t="shared" si="32"/>
        <v>18210208.375385609</v>
      </c>
      <c r="R59" s="28">
        <f t="shared" si="33"/>
        <v>18056636.45874818</v>
      </c>
      <c r="S59" s="28">
        <f t="shared" si="34"/>
        <v>17840892.56556008</v>
      </c>
      <c r="T59" s="79"/>
      <c r="U59" s="28">
        <f t="shared" si="35"/>
        <v>72192802.839260221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f>Natural!C62</f>
        <v>357270</v>
      </c>
      <c r="D62" s="26">
        <f>Natural!D62</f>
        <v>362622.91398069577</v>
      </c>
      <c r="E62" s="26">
        <f>Natural!E62</f>
        <v>365211.01239328535</v>
      </c>
      <c r="F62" s="26">
        <f>Natural!F62</f>
        <v>337382.72452186368</v>
      </c>
      <c r="G62" s="26">
        <f>Natural!G62</f>
        <v>333895.55185241177</v>
      </c>
      <c r="H62" s="26">
        <f>Natural!H62</f>
        <v>330283.18427193299</v>
      </c>
      <c r="I62" s="26">
        <f>Natural!I62</f>
        <v>332878.23086808663</v>
      </c>
      <c r="J62" s="26">
        <f>Natural!J62</f>
        <v>334345.22285211249</v>
      </c>
      <c r="K62" s="26">
        <f>Natural!K62</f>
        <v>325891.55151095084</v>
      </c>
      <c r="L62" s="26">
        <f>Natural!L62</f>
        <v>331800.56085586752</v>
      </c>
      <c r="M62" s="26">
        <f>Natural!M62</f>
        <v>323820.28159574367</v>
      </c>
      <c r="N62" s="26">
        <f>Natural!N62</f>
        <v>325628.24865419313</v>
      </c>
      <c r="P62" s="26">
        <f t="shared" ref="P62:P66" si="36">SUM(C62:E62)</f>
        <v>1085103.9263739812</v>
      </c>
      <c r="Q62" s="26">
        <f t="shared" ref="Q62:Q66" si="37">SUM(F62:H62)</f>
        <v>1001561.4606462084</v>
      </c>
      <c r="R62" s="26">
        <f t="shared" ref="R62:R66" si="38">SUM(I62:K62)</f>
        <v>993115.00523114996</v>
      </c>
      <c r="S62" s="26">
        <f t="shared" ref="S62:S66" si="39">SUM(L62:N62)</f>
        <v>981249.09110580431</v>
      </c>
      <c r="T62" s="79"/>
      <c r="U62" s="26">
        <f t="shared" ref="U62:U66" si="40">SUM(P62:S62)</f>
        <v>4061029.4833571441</v>
      </c>
    </row>
    <row r="63" spans="2:21" ht="15" customHeight="1" x14ac:dyDescent="0.2">
      <c r="B63" s="57" t="s">
        <v>45</v>
      </c>
      <c r="C63" s="26">
        <f>Natural!C63</f>
        <v>238180</v>
      </c>
      <c r="D63" s="26">
        <f>Natural!D63</f>
        <v>241748.60932046385</v>
      </c>
      <c r="E63" s="26">
        <f>Natural!E63</f>
        <v>243474.00826219024</v>
      </c>
      <c r="F63" s="26">
        <f>Natural!F63</f>
        <v>245369.25419771907</v>
      </c>
      <c r="G63" s="26">
        <f>Natural!G63</f>
        <v>242833.12861993583</v>
      </c>
      <c r="H63" s="26">
        <f>Natural!H63</f>
        <v>240205.95219776942</v>
      </c>
      <c r="I63" s="26">
        <f>Natural!I63</f>
        <v>242093.25881315392</v>
      </c>
      <c r="J63" s="26">
        <f>Natural!J63</f>
        <v>243160.16207426362</v>
      </c>
      <c r="K63" s="26">
        <f>Natural!K63</f>
        <v>237012.03746250973</v>
      </c>
      <c r="L63" s="26">
        <f>Natural!L63</f>
        <v>241309.49880426726</v>
      </c>
      <c r="M63" s="26">
        <f>Natural!M63</f>
        <v>235505.65934235905</v>
      </c>
      <c r="N63" s="26">
        <f>Natural!N63</f>
        <v>236820.54447577681</v>
      </c>
      <c r="P63" s="26">
        <f t="shared" si="36"/>
        <v>723402.61758265411</v>
      </c>
      <c r="Q63" s="26">
        <f t="shared" si="37"/>
        <v>728408.33501542429</v>
      </c>
      <c r="R63" s="26">
        <f t="shared" si="38"/>
        <v>722265.45834992721</v>
      </c>
      <c r="S63" s="26">
        <f t="shared" si="39"/>
        <v>713635.70262240316</v>
      </c>
      <c r="T63" s="79"/>
      <c r="U63" s="26">
        <f t="shared" si="40"/>
        <v>2887712.1135704089</v>
      </c>
    </row>
    <row r="64" spans="2:21" ht="15" customHeight="1" x14ac:dyDescent="0.2">
      <c r="B64" s="57" t="s">
        <v>74</v>
      </c>
      <c r="C64" s="26">
        <f>Natural!C64</f>
        <v>244134.5</v>
      </c>
      <c r="D64" s="26">
        <f>Natural!D64</f>
        <v>247792.32455347545</v>
      </c>
      <c r="E64" s="26">
        <f>Natural!E64</f>
        <v>249560.85846874499</v>
      </c>
      <c r="F64" s="26">
        <f>Natural!F64</f>
        <v>245369.25419771907</v>
      </c>
      <c r="G64" s="26">
        <f>Natural!G64</f>
        <v>242833.12861993583</v>
      </c>
      <c r="H64" s="26">
        <f>Natural!H64</f>
        <v>240205.95219776942</v>
      </c>
      <c r="I64" s="26">
        <f>Natural!I64</f>
        <v>242093.25881315392</v>
      </c>
      <c r="J64" s="26">
        <f>Natural!J64</f>
        <v>243160.16207426362</v>
      </c>
      <c r="K64" s="26">
        <f>Natural!K64</f>
        <v>237012.03746250973</v>
      </c>
      <c r="L64" s="26">
        <f>Natural!L64</f>
        <v>241309.49880426726</v>
      </c>
      <c r="M64" s="26">
        <f>Natural!M64</f>
        <v>235505.65934235905</v>
      </c>
      <c r="N64" s="26">
        <f>Natural!N64</f>
        <v>236820.54447577681</v>
      </c>
      <c r="P64" s="26">
        <f t="shared" si="36"/>
        <v>741487.6830222205</v>
      </c>
      <c r="Q64" s="26">
        <f t="shared" si="37"/>
        <v>728408.33501542429</v>
      </c>
      <c r="R64" s="26">
        <f t="shared" si="38"/>
        <v>722265.45834992721</v>
      </c>
      <c r="S64" s="26">
        <f t="shared" si="39"/>
        <v>713635.70262240316</v>
      </c>
      <c r="T64" s="79"/>
      <c r="U64" s="26">
        <f t="shared" si="40"/>
        <v>2905797.1790099749</v>
      </c>
    </row>
    <row r="65" spans="2:21" ht="15" customHeight="1" x14ac:dyDescent="0.2">
      <c r="B65" s="89" t="s">
        <v>75</v>
      </c>
      <c r="C65" s="32">
        <f>Natural!C65</f>
        <v>267952.5</v>
      </c>
      <c r="D65" s="32">
        <f>Natural!D65</f>
        <v>271967.1854855218</v>
      </c>
      <c r="E65" s="32">
        <f>Natural!E65</f>
        <v>273908.25929496397</v>
      </c>
      <c r="F65" s="32">
        <f>Natural!F65</f>
        <v>251503.48555266205</v>
      </c>
      <c r="G65" s="32">
        <f>Natural!G65</f>
        <v>248903.95683543422</v>
      </c>
      <c r="H65" s="32">
        <f>Natural!H65</f>
        <v>246211.10100271367</v>
      </c>
      <c r="I65" s="32">
        <f>Natural!I65</f>
        <v>248145.59028348277</v>
      </c>
      <c r="J65" s="32">
        <f>Natural!J65</f>
        <v>249239.16612612022</v>
      </c>
      <c r="K65" s="32">
        <f>Natural!K65</f>
        <v>242937.33839907247</v>
      </c>
      <c r="L65" s="32">
        <f>Natural!L65</f>
        <v>247342.23627437395</v>
      </c>
      <c r="M65" s="32">
        <f>Natural!M65</f>
        <v>241393.30082591804</v>
      </c>
      <c r="N65" s="32">
        <f>Natural!N65</f>
        <v>242741.05808767123</v>
      </c>
      <c r="P65" s="32">
        <f t="shared" si="36"/>
        <v>813827.9447804857</v>
      </c>
      <c r="Q65" s="32">
        <f t="shared" si="37"/>
        <v>746618.54339080991</v>
      </c>
      <c r="R65" s="32">
        <f t="shared" si="38"/>
        <v>740322.09480867547</v>
      </c>
      <c r="S65" s="32">
        <f t="shared" si="39"/>
        <v>731476.59518796322</v>
      </c>
      <c r="T65" s="79"/>
      <c r="U65" s="32">
        <f t="shared" si="40"/>
        <v>3032245.1781679345</v>
      </c>
    </row>
    <row r="66" spans="2:21" ht="15" customHeight="1" x14ac:dyDescent="0.2">
      <c r="B66" s="52" t="s">
        <v>46</v>
      </c>
      <c r="C66" s="28">
        <f>Natural!C66</f>
        <v>1107537</v>
      </c>
      <c r="D66" s="28">
        <f>Natural!D66</f>
        <v>1124131.033340157</v>
      </c>
      <c r="E66" s="28">
        <f>Natural!E66</f>
        <v>1132154.1384191846</v>
      </c>
      <c r="F66" s="28">
        <f>Natural!F66</f>
        <v>1079624.7184699639</v>
      </c>
      <c r="G66" s="28">
        <f>Natural!G66</f>
        <v>1068465.7659277178</v>
      </c>
      <c r="H66" s="28">
        <f>Natural!H66</f>
        <v>1056906.1896701856</v>
      </c>
      <c r="I66" s="28">
        <f>Natural!I66</f>
        <v>1065210.3387778772</v>
      </c>
      <c r="J66" s="28">
        <f>Natural!J66</f>
        <v>1069904.71312676</v>
      </c>
      <c r="K66" s="28">
        <f>Natural!K66</f>
        <v>1042852.9648350428</v>
      </c>
      <c r="L66" s="28">
        <f>Natural!L66</f>
        <v>1061761.7947387761</v>
      </c>
      <c r="M66" s="28">
        <f>Natural!M66</f>
        <v>1036224.9011063799</v>
      </c>
      <c r="N66" s="28">
        <f>Natural!N66</f>
        <v>1042010.3956934181</v>
      </c>
      <c r="P66" s="28">
        <f t="shared" si="36"/>
        <v>3363822.1717593418</v>
      </c>
      <c r="Q66" s="28">
        <f t="shared" si="37"/>
        <v>3204996.674067867</v>
      </c>
      <c r="R66" s="28">
        <f t="shared" si="38"/>
        <v>3177968.0167396804</v>
      </c>
      <c r="S66" s="28">
        <f t="shared" si="39"/>
        <v>3139997.0915385741</v>
      </c>
      <c r="T66" s="79"/>
      <c r="U66" s="28">
        <f t="shared" si="40"/>
        <v>12886783.954105463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f>Natural!C68</f>
        <v>45360</v>
      </c>
      <c r="D68" s="26">
        <f>Natural!D68</f>
        <v>43200</v>
      </c>
      <c r="E68" s="26">
        <f>Natural!E68</f>
        <v>49680</v>
      </c>
      <c r="F68" s="26">
        <f>Natural!F68</f>
        <v>47940</v>
      </c>
      <c r="G68" s="26">
        <f>Natural!G68</f>
        <v>55131</v>
      </c>
      <c r="H68" s="26">
        <f>Natural!H68</f>
        <v>50337</v>
      </c>
      <c r="I68" s="26">
        <f>Natural!I68</f>
        <v>50760</v>
      </c>
      <c r="J68" s="26">
        <f>Natural!J68</f>
        <v>61617</v>
      </c>
      <c r="K68" s="26">
        <f>Natural!K68</f>
        <v>53580</v>
      </c>
      <c r="L68" s="26">
        <f>Natural!L68</f>
        <v>58938</v>
      </c>
      <c r="M68" s="26">
        <f>Natural!M68</f>
        <v>56259</v>
      </c>
      <c r="N68" s="26">
        <f>Natural!N68</f>
        <v>59220</v>
      </c>
      <c r="P68" s="26">
        <f t="shared" ref="P68:P71" si="41">SUM(C68:E68)</f>
        <v>138240</v>
      </c>
      <c r="Q68" s="26">
        <f t="shared" ref="Q68:Q71" si="42">SUM(F68:H68)</f>
        <v>153408</v>
      </c>
      <c r="R68" s="26">
        <f t="shared" ref="R68:R71" si="43">SUM(I68:K68)</f>
        <v>165957</v>
      </c>
      <c r="S68" s="26">
        <f t="shared" ref="S68:S71" si="44">SUM(L68:N68)</f>
        <v>174417</v>
      </c>
      <c r="T68" s="79"/>
      <c r="U68" s="26">
        <f t="shared" ref="U68:U71" si="45">SUM(P68:S68)</f>
        <v>632022</v>
      </c>
    </row>
    <row r="69" spans="2:21" ht="15" customHeight="1" x14ac:dyDescent="0.2">
      <c r="B69" s="57" t="s">
        <v>77</v>
      </c>
      <c r="C69" s="26">
        <f>Natural!C69</f>
        <v>34398</v>
      </c>
      <c r="D69" s="26">
        <f>Natural!D69</f>
        <v>32760.000000000004</v>
      </c>
      <c r="E69" s="26">
        <f>Natural!E69</f>
        <v>37674</v>
      </c>
      <c r="F69" s="26">
        <f>Natural!F69</f>
        <v>40560</v>
      </c>
      <c r="G69" s="26">
        <f>Natural!G69</f>
        <v>46644</v>
      </c>
      <c r="H69" s="26">
        <f>Natural!H69</f>
        <v>42588</v>
      </c>
      <c r="I69" s="26">
        <f>Natural!I69</f>
        <v>40560</v>
      </c>
      <c r="J69" s="26">
        <f>Natural!J69</f>
        <v>46644</v>
      </c>
      <c r="K69" s="26">
        <f>Natural!K69</f>
        <v>40560</v>
      </c>
      <c r="L69" s="26">
        <f>Natural!L69</f>
        <v>52052</v>
      </c>
      <c r="M69" s="26">
        <f>Natural!M69</f>
        <v>49686</v>
      </c>
      <c r="N69" s="26">
        <f>Natural!N69</f>
        <v>49686</v>
      </c>
      <c r="P69" s="26">
        <f t="shared" si="41"/>
        <v>104832</v>
      </c>
      <c r="Q69" s="26">
        <f t="shared" si="42"/>
        <v>129792</v>
      </c>
      <c r="R69" s="26">
        <f t="shared" si="43"/>
        <v>127764</v>
      </c>
      <c r="S69" s="26">
        <f t="shared" si="44"/>
        <v>151424</v>
      </c>
      <c r="T69" s="79"/>
      <c r="U69" s="26">
        <f t="shared" si="45"/>
        <v>513812</v>
      </c>
    </row>
    <row r="70" spans="2:21" ht="15" customHeight="1" x14ac:dyDescent="0.2">
      <c r="B70" s="89" t="s">
        <v>27</v>
      </c>
      <c r="C70" s="32">
        <f>Natural!C70</f>
        <v>18382.827961391591</v>
      </c>
      <c r="D70" s="32">
        <f>Natural!D70</f>
        <v>20290.899786570801</v>
      </c>
      <c r="E70" s="32">
        <f>Natural!E70</f>
        <v>31830.220796282229</v>
      </c>
      <c r="F70" s="32">
        <f>Natural!F70</f>
        <v>19630.860513534702</v>
      </c>
      <c r="G70" s="32">
        <f>Natural!G70</f>
        <v>22619.032994352161</v>
      </c>
      <c r="H70" s="32">
        <f>Natural!H70</f>
        <v>33338.590095914798</v>
      </c>
      <c r="I70" s="32">
        <f>Natural!I70</f>
        <v>28321.121029665479</v>
      </c>
      <c r="J70" s="32">
        <f>Natural!J70</f>
        <v>24589.998815603682</v>
      </c>
      <c r="K70" s="32">
        <f>Natural!K70</f>
        <v>32800.309710671652</v>
      </c>
      <c r="L70" s="32">
        <f>Natural!L70</f>
        <v>23390.636436316676</v>
      </c>
      <c r="M70" s="32">
        <f>Natural!M70</f>
        <v>28986.296410669369</v>
      </c>
      <c r="N70" s="32">
        <f>Natural!N70</f>
        <v>31036.059930901341</v>
      </c>
      <c r="P70" s="32">
        <f t="shared" si="41"/>
        <v>70503.948544244617</v>
      </c>
      <c r="Q70" s="32">
        <f t="shared" si="42"/>
        <v>75588.483603801666</v>
      </c>
      <c r="R70" s="32">
        <f t="shared" si="43"/>
        <v>85711.42955594082</v>
      </c>
      <c r="S70" s="32">
        <f t="shared" si="44"/>
        <v>83412.992777887383</v>
      </c>
      <c r="T70" s="79"/>
      <c r="U70" s="32">
        <f t="shared" si="45"/>
        <v>315216.8544818745</v>
      </c>
    </row>
    <row r="71" spans="2:21" ht="15" customHeight="1" x14ac:dyDescent="0.2">
      <c r="B71" s="52" t="s">
        <v>24</v>
      </c>
      <c r="C71" s="28">
        <f>Natural!C71</f>
        <v>98140.827961391595</v>
      </c>
      <c r="D71" s="28">
        <f>Natural!D71</f>
        <v>96250.899786570808</v>
      </c>
      <c r="E71" s="28">
        <f>Natural!E71</f>
        <v>119184.22079628223</v>
      </c>
      <c r="F71" s="28">
        <f>Natural!F71</f>
        <v>108130.8605135347</v>
      </c>
      <c r="G71" s="28">
        <f>Natural!G71</f>
        <v>124394.03299435216</v>
      </c>
      <c r="H71" s="28">
        <f>Natural!H71</f>
        <v>126263.5900959148</v>
      </c>
      <c r="I71" s="28">
        <f>Natural!I71</f>
        <v>119641.12102966548</v>
      </c>
      <c r="J71" s="28">
        <f>Natural!J71</f>
        <v>132850.99881560367</v>
      </c>
      <c r="K71" s="28">
        <f>Natural!K71</f>
        <v>126940.30971067166</v>
      </c>
      <c r="L71" s="28">
        <f>Natural!L71</f>
        <v>134380.63643631668</v>
      </c>
      <c r="M71" s="28">
        <f>Natural!M71</f>
        <v>134931.29641066937</v>
      </c>
      <c r="N71" s="28">
        <f>Natural!N71</f>
        <v>139942.05993090133</v>
      </c>
      <c r="P71" s="28">
        <f t="shared" si="41"/>
        <v>313575.94854424463</v>
      </c>
      <c r="Q71" s="28">
        <f t="shared" si="42"/>
        <v>358788.48360380164</v>
      </c>
      <c r="R71" s="28">
        <f t="shared" si="43"/>
        <v>379432.42955594079</v>
      </c>
      <c r="S71" s="28">
        <f t="shared" si="44"/>
        <v>409253.99277788738</v>
      </c>
      <c r="T71" s="79"/>
      <c r="U71" s="28">
        <f t="shared" si="45"/>
        <v>1461050.8544818745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f>Natural!C73</f>
        <v>4748822.1720386082</v>
      </c>
      <c r="D73" s="28">
        <f>Natural!D73</f>
        <v>4823333.2998848679</v>
      </c>
      <c r="E73" s="28">
        <f>Natural!E73</f>
        <v>4835511.8473392883</v>
      </c>
      <c r="F73" s="28">
        <f>Natural!F73</f>
        <v>4946475.7759594787</v>
      </c>
      <c r="G73" s="28">
        <f>Natural!G73</f>
        <v>4877968.416576325</v>
      </c>
      <c r="H73" s="28">
        <f>Natural!H73</f>
        <v>4821979.0251781354</v>
      </c>
      <c r="I73" s="28">
        <f>Natural!I73</f>
        <v>4867480.0105213048</v>
      </c>
      <c r="J73" s="28">
        <f>Natural!J73</f>
        <v>4876248.3399142269</v>
      </c>
      <c r="K73" s="28">
        <f>Natural!K73</f>
        <v>4755507.6620170288</v>
      </c>
      <c r="L73" s="28">
        <f>Natural!L73</f>
        <v>4836595.0389315886</v>
      </c>
      <c r="M73" s="28">
        <f>Natural!M73</f>
        <v>4716485.2860419266</v>
      </c>
      <c r="N73" s="28">
        <f>Natural!N73</f>
        <v>4738561.1562701007</v>
      </c>
      <c r="P73" s="28">
        <f>P59-P66-P71</f>
        <v>14407667.319262765</v>
      </c>
      <c r="Q73" s="28">
        <f t="shared" ref="Q73:S73" si="46">Q59-Q66-Q71</f>
        <v>14646423.217713941</v>
      </c>
      <c r="R73" s="28">
        <f t="shared" si="46"/>
        <v>14499236.012452558</v>
      </c>
      <c r="S73" s="28">
        <f t="shared" si="46"/>
        <v>14291641.481243618</v>
      </c>
      <c r="T73" s="79"/>
      <c r="U73" s="28">
        <f t="shared" ref="U73" si="47">U59-U66-U71</f>
        <v>57844968.030672878</v>
      </c>
    </row>
    <row r="74" spans="2:21" ht="15" customHeight="1" x14ac:dyDescent="0.2">
      <c r="B74" s="52" t="s">
        <v>29</v>
      </c>
      <c r="C74" s="71">
        <f>Natural!C74</f>
        <v>0.79751820842028853</v>
      </c>
      <c r="D74" s="71">
        <f>Natural!D74</f>
        <v>0.79807421659100752</v>
      </c>
      <c r="E74" s="71">
        <f>Natural!E74</f>
        <v>0.7944193931587249</v>
      </c>
      <c r="F74" s="71">
        <f>Natural!F74</f>
        <v>0.80637254934533864</v>
      </c>
      <c r="G74" s="71">
        <f>Natural!G74</f>
        <v>0.80350954489590343</v>
      </c>
      <c r="H74" s="71">
        <f>Natural!H74</f>
        <v>0.80297411135058672</v>
      </c>
      <c r="I74" s="71">
        <f>Natural!I74</f>
        <v>0.8042322259419864</v>
      </c>
      <c r="J74" s="71">
        <f>Natural!J74</f>
        <v>0.80214592691790865</v>
      </c>
      <c r="K74" s="71">
        <f>Natural!K74</f>
        <v>0.80257656327168603</v>
      </c>
      <c r="L74" s="71">
        <f>Natural!L74</f>
        <v>0.80172476639300183</v>
      </c>
      <c r="M74" s="71">
        <f>Natural!M74</f>
        <v>0.80108228383343982</v>
      </c>
      <c r="N74" s="71">
        <f>Natural!N74</f>
        <v>0.80036318922571925</v>
      </c>
      <c r="P74" s="71">
        <f>P73/P59</f>
        <v>0.79666105535575193</v>
      </c>
      <c r="Q74" s="71">
        <f t="shared" ref="Q74:U74" si="48">Q73/Q59</f>
        <v>0.80429739823906854</v>
      </c>
      <c r="R74" s="71">
        <f t="shared" si="48"/>
        <v>0.80298653880401338</v>
      </c>
      <c r="S74" s="71">
        <f t="shared" si="48"/>
        <v>0.80106090145019371</v>
      </c>
      <c r="T74" s="79"/>
      <c r="U74" s="71">
        <f t="shared" si="48"/>
        <v>0.8012567147374331</v>
      </c>
    </row>
    <row r="75" spans="2:21" ht="15" customHeight="1" x14ac:dyDescent="0.2">
      <c r="T75" s="79"/>
    </row>
    <row r="76" spans="2:21" ht="15" customHeight="1" x14ac:dyDescent="0.2">
      <c r="B76" s="52" t="s">
        <v>26</v>
      </c>
      <c r="T76" s="79"/>
    </row>
    <row r="77" spans="2:21" ht="15" customHeight="1" x14ac:dyDescent="0.2">
      <c r="B77" s="56" t="s">
        <v>47</v>
      </c>
      <c r="C77" s="26">
        <f>Natural!C77</f>
        <v>997378.75000000012</v>
      </c>
      <c r="D77" s="26">
        <f>Natural!D77</f>
        <v>1012322.3015294424</v>
      </c>
      <c r="E77" s="26">
        <f>Natural!E77</f>
        <v>1019547.4095979217</v>
      </c>
      <c r="F77" s="26">
        <f>Natural!F77</f>
        <v>1042819.330340306</v>
      </c>
      <c r="G77" s="26">
        <f>Natural!G77</f>
        <v>1032040.7966347273</v>
      </c>
      <c r="H77" s="26">
        <f>Natural!H77</f>
        <v>1020875.2968405201</v>
      </c>
      <c r="I77" s="26">
        <f>Natural!I77</f>
        <v>1028896.3499559042</v>
      </c>
      <c r="J77" s="26">
        <f>Natural!J77</f>
        <v>1033430.6888156205</v>
      </c>
      <c r="K77" s="26">
        <f>Natural!K77</f>
        <v>1007301.1592156664</v>
      </c>
      <c r="L77" s="26">
        <f>Natural!L77</f>
        <v>1025565.3699181359</v>
      </c>
      <c r="M77" s="26">
        <f>Natural!M77</f>
        <v>1000899.052205026</v>
      </c>
      <c r="N77" s="26">
        <f>Natural!N77</f>
        <v>1006487.3140220515</v>
      </c>
      <c r="P77" s="26">
        <f t="shared" ref="P77:P81" si="49">SUM(C77:E77)</f>
        <v>3029248.4611273641</v>
      </c>
      <c r="Q77" s="26">
        <f t="shared" ref="Q77:Q81" si="50">SUM(F77:H77)</f>
        <v>3095735.4238155535</v>
      </c>
      <c r="R77" s="26">
        <f t="shared" ref="R77:R81" si="51">SUM(I77:K77)</f>
        <v>3069628.1979871909</v>
      </c>
      <c r="S77" s="26">
        <f t="shared" ref="S77:S81" si="52">SUM(L77:N77)</f>
        <v>3032951.7361452137</v>
      </c>
      <c r="T77" s="79"/>
      <c r="U77" s="26">
        <f t="shared" ref="U77:U81" si="53">SUM(P77:S77)</f>
        <v>12227563.819075322</v>
      </c>
    </row>
    <row r="78" spans="2:21" ht="15" customHeight="1" x14ac:dyDescent="0.2">
      <c r="B78" s="56" t="s">
        <v>48</v>
      </c>
      <c r="C78" s="26">
        <f>Natural!C78</f>
        <v>595450</v>
      </c>
      <c r="D78" s="26">
        <f>Natural!D78</f>
        <v>604371.52330115961</v>
      </c>
      <c r="E78" s="26">
        <f>Natural!E78</f>
        <v>608685.02065547556</v>
      </c>
      <c r="F78" s="26">
        <f>Natural!F78</f>
        <v>521409.66517015302</v>
      </c>
      <c r="G78" s="26">
        <f>Natural!G78</f>
        <v>516020.39831736364</v>
      </c>
      <c r="H78" s="26">
        <f>Natural!H78</f>
        <v>510437.64842026005</v>
      </c>
      <c r="I78" s="26">
        <f>Natural!I78</f>
        <v>514448.17497795209</v>
      </c>
      <c r="J78" s="26">
        <f>Natural!J78</f>
        <v>516715.34440781025</v>
      </c>
      <c r="K78" s="26">
        <f>Natural!K78</f>
        <v>503650.57960783318</v>
      </c>
      <c r="L78" s="26">
        <f>Natural!L78</f>
        <v>512782.68495906796</v>
      </c>
      <c r="M78" s="26">
        <f>Natural!M78</f>
        <v>500449.52610251302</v>
      </c>
      <c r="N78" s="26">
        <f>Natural!N78</f>
        <v>503243.65701102576</v>
      </c>
      <c r="P78" s="26">
        <f t="shared" si="49"/>
        <v>1808506.5439566351</v>
      </c>
      <c r="Q78" s="26">
        <f t="shared" si="50"/>
        <v>1547867.7119077768</v>
      </c>
      <c r="R78" s="26">
        <f t="shared" si="51"/>
        <v>1534814.0989935955</v>
      </c>
      <c r="S78" s="26">
        <f t="shared" si="52"/>
        <v>1516475.8680726069</v>
      </c>
      <c r="T78" s="79"/>
      <c r="U78" s="26">
        <f t="shared" si="53"/>
        <v>6407664.2229306139</v>
      </c>
    </row>
    <row r="79" spans="2:21" ht="15" customHeight="1" x14ac:dyDescent="0.2">
      <c r="B79" s="56" t="s">
        <v>49</v>
      </c>
      <c r="C79" s="26">
        <f>Natural!C79</f>
        <v>476360</v>
      </c>
      <c r="D79" s="26">
        <f>Natural!D79</f>
        <v>483497.21864092769</v>
      </c>
      <c r="E79" s="26">
        <f>Natural!E79</f>
        <v>486948.01652438048</v>
      </c>
      <c r="F79" s="26">
        <f>Natural!F79</f>
        <v>245369.25419771907</v>
      </c>
      <c r="G79" s="26">
        <f>Natural!G79</f>
        <v>242833.12861993583</v>
      </c>
      <c r="H79" s="26">
        <f>Natural!H79</f>
        <v>240205.95219776942</v>
      </c>
      <c r="I79" s="26">
        <f>Natural!I79</f>
        <v>242093.25881315392</v>
      </c>
      <c r="J79" s="26">
        <f>Natural!J79</f>
        <v>243160.16207426362</v>
      </c>
      <c r="K79" s="26">
        <f>Natural!K79</f>
        <v>237012.03746250973</v>
      </c>
      <c r="L79" s="26">
        <f>Natural!L79</f>
        <v>241309.49880426726</v>
      </c>
      <c r="M79" s="26">
        <f>Natural!M79</f>
        <v>235505.65934235905</v>
      </c>
      <c r="N79" s="26">
        <f>Natural!N79</f>
        <v>236820.54447577681</v>
      </c>
      <c r="P79" s="26">
        <f t="shared" si="49"/>
        <v>1446805.2351653082</v>
      </c>
      <c r="Q79" s="26">
        <f t="shared" si="50"/>
        <v>728408.33501542429</v>
      </c>
      <c r="R79" s="26">
        <f t="shared" si="51"/>
        <v>722265.45834992721</v>
      </c>
      <c r="S79" s="26">
        <f t="shared" si="52"/>
        <v>713635.70262240316</v>
      </c>
      <c r="T79" s="79"/>
      <c r="U79" s="26">
        <f t="shared" si="53"/>
        <v>3611114.7311530635</v>
      </c>
    </row>
    <row r="80" spans="2:21" ht="15" customHeight="1" x14ac:dyDescent="0.2">
      <c r="B80" s="90" t="s">
        <v>50</v>
      </c>
      <c r="C80" s="32">
        <f>Natural!C80</f>
        <v>89317.5</v>
      </c>
      <c r="D80" s="32">
        <f>Natural!D80</f>
        <v>90655.728495173942</v>
      </c>
      <c r="E80" s="32">
        <f>Natural!E80</f>
        <v>91302.753098321336</v>
      </c>
      <c r="F80" s="32">
        <f>Natural!F80</f>
        <v>184026.94064828928</v>
      </c>
      <c r="G80" s="32">
        <f>Natural!G80</f>
        <v>182124.84646495184</v>
      </c>
      <c r="H80" s="32">
        <f>Natural!H80</f>
        <v>180154.46414832707</v>
      </c>
      <c r="I80" s="32">
        <f>Natural!I80</f>
        <v>181569.94410986544</v>
      </c>
      <c r="J80" s="32">
        <f>Natural!J80</f>
        <v>182370.1215556977</v>
      </c>
      <c r="K80" s="32">
        <f>Natural!K80</f>
        <v>177759.02809688228</v>
      </c>
      <c r="L80" s="32">
        <f>Natural!L80</f>
        <v>180982.12410320045</v>
      </c>
      <c r="M80" s="32">
        <f>Natural!M80</f>
        <v>176629.24450676929</v>
      </c>
      <c r="N80" s="32">
        <f>Natural!N80</f>
        <v>177615.4083568326</v>
      </c>
      <c r="P80" s="32">
        <f t="shared" si="49"/>
        <v>271275.98159349529</v>
      </c>
      <c r="Q80" s="32">
        <f t="shared" si="50"/>
        <v>546306.25126156816</v>
      </c>
      <c r="R80" s="32">
        <f t="shared" si="51"/>
        <v>541699.09376244538</v>
      </c>
      <c r="S80" s="32">
        <f t="shared" si="52"/>
        <v>535226.77696680231</v>
      </c>
      <c r="T80" s="79"/>
      <c r="U80" s="32">
        <f t="shared" si="53"/>
        <v>1894508.103584311</v>
      </c>
    </row>
    <row r="81" spans="2:21" ht="15" customHeight="1" x14ac:dyDescent="0.2">
      <c r="B81" s="52" t="s">
        <v>51</v>
      </c>
      <c r="C81" s="28">
        <f>Natural!C81</f>
        <v>2158506.25</v>
      </c>
      <c r="D81" s="28">
        <f>Natural!D81</f>
        <v>2190846.7719667037</v>
      </c>
      <c r="E81" s="28">
        <f>Natural!E81</f>
        <v>2206483.1998760989</v>
      </c>
      <c r="F81" s="28">
        <f>Natural!F81</f>
        <v>1993625.1903564674</v>
      </c>
      <c r="G81" s="28">
        <f>Natural!G81</f>
        <v>1973019.1700369786</v>
      </c>
      <c r="H81" s="28">
        <f>Natural!H81</f>
        <v>1951673.3616068766</v>
      </c>
      <c r="I81" s="28">
        <f>Natural!I81</f>
        <v>1967007.7278568756</v>
      </c>
      <c r="J81" s="28">
        <f>Natural!J81</f>
        <v>1975676.3168533919</v>
      </c>
      <c r="K81" s="28">
        <f>Natural!K81</f>
        <v>1925722.8043828914</v>
      </c>
      <c r="L81" s="28">
        <f>Natural!L81</f>
        <v>1960639.6777846715</v>
      </c>
      <c r="M81" s="28">
        <f>Natural!M81</f>
        <v>1913483.4821566674</v>
      </c>
      <c r="N81" s="28">
        <f>Natural!N81</f>
        <v>1924166.9238656866</v>
      </c>
      <c r="P81" s="28">
        <f t="shared" si="49"/>
        <v>6555836.2218428021</v>
      </c>
      <c r="Q81" s="28">
        <f t="shared" si="50"/>
        <v>5918317.7220003223</v>
      </c>
      <c r="R81" s="28">
        <f t="shared" si="51"/>
        <v>5868406.8490931587</v>
      </c>
      <c r="S81" s="28">
        <f t="shared" si="52"/>
        <v>5798290.0838070251</v>
      </c>
      <c r="T81" s="79"/>
      <c r="U81" s="28">
        <f t="shared" si="53"/>
        <v>24140850.876743309</v>
      </c>
    </row>
    <row r="82" spans="2:21" ht="15" customHeight="1" x14ac:dyDescent="0.2">
      <c r="T82" s="79"/>
    </row>
    <row r="83" spans="2:21" ht="15" customHeight="1" x14ac:dyDescent="0.2">
      <c r="B83" s="56" t="s">
        <v>52</v>
      </c>
      <c r="C83" s="26">
        <f>Natural!C83</f>
        <v>893.17499999999995</v>
      </c>
      <c r="D83" s="26">
        <f>Natural!D83</f>
        <v>906.55728495173935</v>
      </c>
      <c r="E83" s="26">
        <f>Natural!E83</f>
        <v>913.0275309832133</v>
      </c>
      <c r="F83" s="26">
        <f>Natural!F83</f>
        <v>920.13470324144635</v>
      </c>
      <c r="G83" s="26">
        <f>Natural!G83</f>
        <v>910.62423232475919</v>
      </c>
      <c r="H83" s="26">
        <f>Natural!H83</f>
        <v>900.77232074163533</v>
      </c>
      <c r="I83" s="26">
        <f>Natural!I83</f>
        <v>907.84972054932712</v>
      </c>
      <c r="J83" s="26">
        <f>Natural!J83</f>
        <v>911.85060777848844</v>
      </c>
      <c r="K83" s="26">
        <f>Natural!K83</f>
        <v>888.79514048441138</v>
      </c>
      <c r="L83" s="26">
        <f>Natural!L83</f>
        <v>904.91062051600215</v>
      </c>
      <c r="M83" s="26">
        <f>Natural!M83</f>
        <v>883.1462225338463</v>
      </c>
      <c r="N83" s="26">
        <f>Natural!N83</f>
        <v>888.07704178416293</v>
      </c>
      <c r="P83" s="26">
        <f t="shared" ref="P83:P92" si="54">SUM(C83:E83)</f>
        <v>2712.7598159349527</v>
      </c>
      <c r="Q83" s="26">
        <f t="shared" ref="Q83:Q92" si="55">SUM(F83:H83)</f>
        <v>2731.531256307841</v>
      </c>
      <c r="R83" s="26">
        <f t="shared" ref="R83:R92" si="56">SUM(I83:K83)</f>
        <v>2708.495468812227</v>
      </c>
      <c r="S83" s="26">
        <f t="shared" ref="S83:S92" si="57">SUM(L83:N83)</f>
        <v>2676.133884834011</v>
      </c>
      <c r="T83" s="79"/>
      <c r="U83" s="26">
        <f t="shared" ref="U83:U92" si="58">SUM(P83:S83)</f>
        <v>10828.920425889031</v>
      </c>
    </row>
    <row r="84" spans="2:21" ht="15" customHeight="1" x14ac:dyDescent="0.2">
      <c r="B84" s="56" t="s">
        <v>53</v>
      </c>
      <c r="C84" s="26">
        <f>Natural!C84</f>
        <v>1012.2650000000001</v>
      </c>
      <c r="D84" s="26">
        <f>Natural!D84</f>
        <v>1027.4315896119713</v>
      </c>
      <c r="E84" s="26">
        <f>Natural!E84</f>
        <v>1034.7645351143085</v>
      </c>
      <c r="F84" s="26">
        <f>Natural!F84</f>
        <v>1042.8193303403061</v>
      </c>
      <c r="G84" s="26">
        <f>Natural!G84</f>
        <v>1032.0407966347273</v>
      </c>
      <c r="H84" s="26">
        <f>Natural!H84</f>
        <v>1020.8752968405201</v>
      </c>
      <c r="I84" s="26">
        <f>Natural!I84</f>
        <v>1028.8963499559043</v>
      </c>
      <c r="J84" s="26">
        <f>Natural!J84</f>
        <v>1033.4306888156204</v>
      </c>
      <c r="K84" s="26">
        <f>Natural!K84</f>
        <v>1007.3011592156664</v>
      </c>
      <c r="L84" s="26">
        <f>Natural!L84</f>
        <v>1025.565369918136</v>
      </c>
      <c r="M84" s="26">
        <f>Natural!M84</f>
        <v>1000.899052205026</v>
      </c>
      <c r="N84" s="26">
        <f>Natural!N84</f>
        <v>1006.4873140220516</v>
      </c>
      <c r="P84" s="26">
        <f t="shared" si="54"/>
        <v>3074.4611247262801</v>
      </c>
      <c r="Q84" s="26">
        <f t="shared" si="55"/>
        <v>3095.7354238155535</v>
      </c>
      <c r="R84" s="26">
        <f t="shared" si="56"/>
        <v>3069.628197987191</v>
      </c>
      <c r="S84" s="26">
        <f t="shared" si="57"/>
        <v>3032.9517361452135</v>
      </c>
      <c r="T84" s="79"/>
      <c r="U84" s="26">
        <f t="shared" si="58"/>
        <v>12272.776482674239</v>
      </c>
    </row>
    <row r="85" spans="2:21" ht="15" customHeight="1" x14ac:dyDescent="0.2">
      <c r="B85" s="56" t="s">
        <v>54</v>
      </c>
      <c r="C85" s="26">
        <f>Natural!C85</f>
        <v>297.72500000000002</v>
      </c>
      <c r="D85" s="26">
        <f>Natural!D85</f>
        <v>302.18576165057982</v>
      </c>
      <c r="E85" s="26">
        <f>Natural!E85</f>
        <v>304.34251032773778</v>
      </c>
      <c r="F85" s="26">
        <f>Natural!F85</f>
        <v>306.71156774714882</v>
      </c>
      <c r="G85" s="26">
        <f>Natural!G85</f>
        <v>303.54141077491977</v>
      </c>
      <c r="H85" s="26">
        <f>Natural!H85</f>
        <v>300.25744024721183</v>
      </c>
      <c r="I85" s="26">
        <f>Natural!I85</f>
        <v>302.61657351644243</v>
      </c>
      <c r="J85" s="26">
        <f>Natural!J85</f>
        <v>303.95020259282956</v>
      </c>
      <c r="K85" s="26">
        <f>Natural!K85</f>
        <v>296.26504682813714</v>
      </c>
      <c r="L85" s="26">
        <f>Natural!L85</f>
        <v>301.63687350533411</v>
      </c>
      <c r="M85" s="26">
        <f>Natural!M85</f>
        <v>294.38207417794882</v>
      </c>
      <c r="N85" s="26">
        <f>Natural!N85</f>
        <v>296.02568059472105</v>
      </c>
      <c r="P85" s="26">
        <f t="shared" si="54"/>
        <v>904.25327197831757</v>
      </c>
      <c r="Q85" s="26">
        <f t="shared" si="55"/>
        <v>910.51041876928048</v>
      </c>
      <c r="R85" s="26">
        <f t="shared" si="56"/>
        <v>902.83182293740924</v>
      </c>
      <c r="S85" s="26">
        <f t="shared" si="57"/>
        <v>892.04462827800398</v>
      </c>
      <c r="T85" s="79"/>
      <c r="U85" s="26">
        <f t="shared" si="58"/>
        <v>3609.640141963011</v>
      </c>
    </row>
    <row r="86" spans="2:21" ht="15" customHeight="1" x14ac:dyDescent="0.2">
      <c r="B86" s="56" t="s">
        <v>55</v>
      </c>
      <c r="C86" s="26">
        <f>Natural!C86</f>
        <v>14886.25</v>
      </c>
      <c r="D86" s="26">
        <f>Natural!D86</f>
        <v>15109.28808252899</v>
      </c>
      <c r="E86" s="26">
        <f>Natural!E86</f>
        <v>15217.12551638689</v>
      </c>
      <c r="F86" s="26">
        <f>Natural!F86</f>
        <v>15335.578387357442</v>
      </c>
      <c r="G86" s="26">
        <f>Natural!G86</f>
        <v>15177.070538745989</v>
      </c>
      <c r="H86" s="26">
        <f>Natural!H86</f>
        <v>15012.872012360589</v>
      </c>
      <c r="I86" s="26">
        <f>Natural!I86</f>
        <v>15130.82867582212</v>
      </c>
      <c r="J86" s="26">
        <f>Natural!J86</f>
        <v>15197.510129641476</v>
      </c>
      <c r="K86" s="26">
        <f>Natural!K86</f>
        <v>14813.252341406858</v>
      </c>
      <c r="L86" s="26">
        <f>Natural!L86</f>
        <v>15081.843675266704</v>
      </c>
      <c r="M86" s="26">
        <f>Natural!M86</f>
        <v>14719.103708897441</v>
      </c>
      <c r="N86" s="26">
        <f>Natural!N86</f>
        <v>14801.284029736051</v>
      </c>
      <c r="P86" s="26">
        <f t="shared" si="54"/>
        <v>45212.663598915882</v>
      </c>
      <c r="Q86" s="26">
        <f t="shared" si="55"/>
        <v>45525.520938464018</v>
      </c>
      <c r="R86" s="26">
        <f t="shared" si="56"/>
        <v>45141.591146870451</v>
      </c>
      <c r="S86" s="26">
        <f t="shared" si="57"/>
        <v>44602.231413900197</v>
      </c>
      <c r="T86" s="79"/>
      <c r="U86" s="26">
        <f t="shared" si="58"/>
        <v>180482.00709815056</v>
      </c>
    </row>
    <row r="87" spans="2:21" ht="15" customHeight="1" x14ac:dyDescent="0.2">
      <c r="B87" s="56" t="s">
        <v>56</v>
      </c>
      <c r="C87" s="26">
        <f>Natural!C87</f>
        <v>20840.75</v>
      </c>
      <c r="D87" s="26">
        <f>Natural!D87</f>
        <v>21153.003315540587</v>
      </c>
      <c r="E87" s="26">
        <f>Natural!E87</f>
        <v>21303.975722941646</v>
      </c>
      <c r="F87" s="26">
        <f>Natural!F87</f>
        <v>21469.809742300418</v>
      </c>
      <c r="G87" s="26">
        <f>Natural!G87</f>
        <v>21247.898754244383</v>
      </c>
      <c r="H87" s="26">
        <f>Natural!H87</f>
        <v>21018.020817304827</v>
      </c>
      <c r="I87" s="26">
        <f>Natural!I87</f>
        <v>21183.160146150967</v>
      </c>
      <c r="J87" s="26">
        <f>Natural!J87</f>
        <v>21276.514181498067</v>
      </c>
      <c r="K87" s="26">
        <f>Natural!K87</f>
        <v>20738.5532779696</v>
      </c>
      <c r="L87" s="26">
        <f>Natural!L87</f>
        <v>21114.581145373388</v>
      </c>
      <c r="M87" s="26">
        <f>Natural!M87</f>
        <v>20606.745192456416</v>
      </c>
      <c r="N87" s="26">
        <f>Natural!N87</f>
        <v>20721.79764163047</v>
      </c>
      <c r="P87" s="26">
        <f t="shared" si="54"/>
        <v>63297.729038482226</v>
      </c>
      <c r="Q87" s="26">
        <f t="shared" si="55"/>
        <v>63735.729313849632</v>
      </c>
      <c r="R87" s="26">
        <f t="shared" si="56"/>
        <v>63198.227605618631</v>
      </c>
      <c r="S87" s="26">
        <f t="shared" si="57"/>
        <v>62443.123979460273</v>
      </c>
      <c r="U87" s="26">
        <f t="shared" si="58"/>
        <v>252674.80993741076</v>
      </c>
    </row>
    <row r="88" spans="2:21" ht="15" customHeight="1" x14ac:dyDescent="0.2">
      <c r="B88" s="56" t="s">
        <v>57</v>
      </c>
      <c r="C88" s="26">
        <f>Natural!C88</f>
        <v>2977.25</v>
      </c>
      <c r="D88" s="26">
        <f>Natural!D88</f>
        <v>3021.857616505798</v>
      </c>
      <c r="E88" s="26">
        <f>Natural!E88</f>
        <v>3043.4251032773777</v>
      </c>
      <c r="F88" s="26">
        <f>Natural!F88</f>
        <v>3067.1156774714882</v>
      </c>
      <c r="G88" s="26">
        <f>Natural!G88</f>
        <v>3035.4141077491977</v>
      </c>
      <c r="H88" s="26">
        <f>Natural!H88</f>
        <v>3002.574402472118</v>
      </c>
      <c r="I88" s="26">
        <f>Natural!I88</f>
        <v>3026.1657351644239</v>
      </c>
      <c r="J88" s="26">
        <f>Natural!J88</f>
        <v>3039.5020259282951</v>
      </c>
      <c r="K88" s="26">
        <f>Natural!K88</f>
        <v>2962.6504682813716</v>
      </c>
      <c r="L88" s="26">
        <f>Natural!L88</f>
        <v>3016.368735053341</v>
      </c>
      <c r="M88" s="26">
        <f>Natural!M88</f>
        <v>2943.8207417794879</v>
      </c>
      <c r="N88" s="26">
        <f>Natural!N88</f>
        <v>2960.2568059472101</v>
      </c>
      <c r="P88" s="26">
        <f t="shared" si="54"/>
        <v>9042.5327197831757</v>
      </c>
      <c r="Q88" s="26">
        <f t="shared" si="55"/>
        <v>9105.104187692803</v>
      </c>
      <c r="R88" s="26">
        <f t="shared" si="56"/>
        <v>9028.3182293740902</v>
      </c>
      <c r="S88" s="26">
        <f t="shared" si="57"/>
        <v>8920.4462827800398</v>
      </c>
      <c r="U88" s="26">
        <f t="shared" si="58"/>
        <v>36096.401419630107</v>
      </c>
    </row>
    <row r="89" spans="2:21" ht="15" customHeight="1" x14ac:dyDescent="0.2">
      <c r="B89" s="56" t="s">
        <v>58</v>
      </c>
      <c r="C89" s="26">
        <f>Natural!C89</f>
        <v>38704.25</v>
      </c>
      <c r="D89" s="26">
        <f>Natural!D89</f>
        <v>39284.149014575371</v>
      </c>
      <c r="E89" s="26">
        <f>Natural!E89</f>
        <v>39564.52634260591</v>
      </c>
      <c r="F89" s="26">
        <f>Natural!F89</f>
        <v>39872.503807129346</v>
      </c>
      <c r="G89" s="26">
        <f>Natural!G89</f>
        <v>39460.383400739571</v>
      </c>
      <c r="H89" s="26">
        <f>Natural!H89</f>
        <v>39033.467232137533</v>
      </c>
      <c r="I89" s="26">
        <f>Natural!I89</f>
        <v>39340.15455713751</v>
      </c>
      <c r="J89" s="26">
        <f>Natural!J89</f>
        <v>39513.526337067837</v>
      </c>
      <c r="K89" s="26">
        <f>Natural!K89</f>
        <v>38514.456087657825</v>
      </c>
      <c r="L89" s="26">
        <f>Natural!L89</f>
        <v>39212.793555693432</v>
      </c>
      <c r="M89" s="26">
        <f>Natural!M89</f>
        <v>38269.66964313334</v>
      </c>
      <c r="N89" s="26">
        <f>Natural!N89</f>
        <v>38483.33847731373</v>
      </c>
      <c r="P89" s="26">
        <f t="shared" si="54"/>
        <v>117552.92535718129</v>
      </c>
      <c r="Q89" s="26">
        <f t="shared" si="55"/>
        <v>118366.35444000646</v>
      </c>
      <c r="R89" s="26">
        <f t="shared" si="56"/>
        <v>117368.13698186318</v>
      </c>
      <c r="S89" s="26">
        <f t="shared" si="57"/>
        <v>115965.80167614049</v>
      </c>
      <c r="U89" s="26">
        <f t="shared" si="58"/>
        <v>469253.21845519147</v>
      </c>
    </row>
    <row r="90" spans="2:21" ht="15" customHeight="1" x14ac:dyDescent="0.2">
      <c r="B90" s="56" t="s">
        <v>59</v>
      </c>
      <c r="C90" s="26">
        <f>Natural!C90</f>
        <v>44658.75</v>
      </c>
      <c r="D90" s="26">
        <f>Natural!D90</f>
        <v>45327.864247586971</v>
      </c>
      <c r="E90" s="26">
        <f>Natural!E90</f>
        <v>45651.376549160668</v>
      </c>
      <c r="F90" s="26">
        <f>Natural!F90</f>
        <v>46006.73516207232</v>
      </c>
      <c r="G90" s="26">
        <f>Natural!G90</f>
        <v>45531.211616237961</v>
      </c>
      <c r="H90" s="26">
        <f>Natural!H90</f>
        <v>45038.616037081767</v>
      </c>
      <c r="I90" s="26">
        <f>Natural!I90</f>
        <v>45392.486027466359</v>
      </c>
      <c r="J90" s="26">
        <f>Natural!J90</f>
        <v>45592.530388924424</v>
      </c>
      <c r="K90" s="26">
        <f>Natural!K90</f>
        <v>44439.757024220569</v>
      </c>
      <c r="L90" s="26">
        <f>Natural!L90</f>
        <v>45245.531025800112</v>
      </c>
      <c r="M90" s="26">
        <f>Natural!M90</f>
        <v>44157.311126692322</v>
      </c>
      <c r="N90" s="26">
        <f>Natural!N90</f>
        <v>44403.852089208151</v>
      </c>
      <c r="P90" s="26">
        <f t="shared" si="54"/>
        <v>135637.99079674765</v>
      </c>
      <c r="Q90" s="26">
        <f t="shared" si="55"/>
        <v>136576.56281539204</v>
      </c>
      <c r="R90" s="26">
        <f t="shared" si="56"/>
        <v>135424.77344061134</v>
      </c>
      <c r="S90" s="26">
        <f t="shared" si="57"/>
        <v>133806.69424170058</v>
      </c>
      <c r="U90" s="26">
        <f t="shared" si="58"/>
        <v>541446.02129445155</v>
      </c>
    </row>
    <row r="91" spans="2:21" ht="15" customHeight="1" x14ac:dyDescent="0.2">
      <c r="B91" s="90" t="s">
        <v>60</v>
      </c>
      <c r="C91" s="32">
        <f>Natural!C91</f>
        <v>44658.75</v>
      </c>
      <c r="D91" s="32">
        <f>Natural!D91</f>
        <v>45327.864247586971</v>
      </c>
      <c r="E91" s="32">
        <f>Natural!E91</f>
        <v>45651.376549160668</v>
      </c>
      <c r="F91" s="32">
        <f>Natural!F91</f>
        <v>46006.73516207232</v>
      </c>
      <c r="G91" s="32">
        <f>Natural!G91</f>
        <v>45531.211616237961</v>
      </c>
      <c r="H91" s="32">
        <f>Natural!H91</f>
        <v>45038.616037081767</v>
      </c>
      <c r="I91" s="32">
        <f>Natural!I91</f>
        <v>45392.486027466359</v>
      </c>
      <c r="J91" s="32">
        <f>Natural!J91</f>
        <v>45592.530388924424</v>
      </c>
      <c r="K91" s="32">
        <f>Natural!K91</f>
        <v>44439.757024220569</v>
      </c>
      <c r="L91" s="32">
        <f>Natural!L91</f>
        <v>45245.531025800112</v>
      </c>
      <c r="M91" s="32">
        <f>Natural!M91</f>
        <v>44157.311126692322</v>
      </c>
      <c r="N91" s="32">
        <f>Natural!N91</f>
        <v>44403.852089208151</v>
      </c>
      <c r="P91" s="32">
        <f t="shared" si="54"/>
        <v>135637.99079674765</v>
      </c>
      <c r="Q91" s="32">
        <f t="shared" si="55"/>
        <v>136576.56281539204</v>
      </c>
      <c r="R91" s="32">
        <f t="shared" si="56"/>
        <v>135424.77344061134</v>
      </c>
      <c r="S91" s="32">
        <f t="shared" si="57"/>
        <v>133806.69424170058</v>
      </c>
      <c r="U91" s="32">
        <f t="shared" si="58"/>
        <v>541446.02129445155</v>
      </c>
    </row>
    <row r="92" spans="2:21" ht="15" customHeight="1" x14ac:dyDescent="0.2">
      <c r="B92" s="52" t="s">
        <v>61</v>
      </c>
      <c r="C92" s="28">
        <f>Natural!C92</f>
        <v>168929.16500000001</v>
      </c>
      <c r="D92" s="28">
        <f>Natural!D92</f>
        <v>171460.20116053897</v>
      </c>
      <c r="E92" s="28">
        <f>Natural!E92</f>
        <v>172683.94035995842</v>
      </c>
      <c r="F92" s="28">
        <f>Natural!F92</f>
        <v>174028.14353973223</v>
      </c>
      <c r="G92" s="28">
        <f>Natural!G92</f>
        <v>172229.39647368947</v>
      </c>
      <c r="H92" s="28">
        <f>Natural!H92</f>
        <v>170366.07159626798</v>
      </c>
      <c r="I92" s="28">
        <f>Natural!I92</f>
        <v>171704.64381322943</v>
      </c>
      <c r="J92" s="28">
        <f>Natural!J92</f>
        <v>172461.34495117146</v>
      </c>
      <c r="K92" s="28">
        <f>Natural!K92</f>
        <v>168100.787570285</v>
      </c>
      <c r="L92" s="28">
        <f>Natural!L92</f>
        <v>171148.76202692656</v>
      </c>
      <c r="M92" s="28">
        <f>Natural!M92</f>
        <v>167032.38888856815</v>
      </c>
      <c r="N92" s="28">
        <f>Natural!N92</f>
        <v>167964.97116944467</v>
      </c>
      <c r="P92" s="28">
        <f t="shared" si="54"/>
        <v>513073.30652049743</v>
      </c>
      <c r="Q92" s="28">
        <f t="shared" si="55"/>
        <v>516623.61160968966</v>
      </c>
      <c r="R92" s="28">
        <f t="shared" si="56"/>
        <v>512266.77633468586</v>
      </c>
      <c r="S92" s="28">
        <f t="shared" si="57"/>
        <v>506146.12208493939</v>
      </c>
      <c r="U92" s="28">
        <f t="shared" si="58"/>
        <v>2048109.8165498124</v>
      </c>
    </row>
    <row r="94" spans="2:21" ht="15" customHeight="1" x14ac:dyDescent="0.2">
      <c r="B94" s="52" t="s">
        <v>33</v>
      </c>
      <c r="C94" s="28">
        <f>Natural!C94</f>
        <v>2421386.7570386082</v>
      </c>
      <c r="D94" s="28">
        <f>Natural!D94</f>
        <v>2461026.3267576252</v>
      </c>
      <c r="E94" s="28">
        <f>Natural!E94</f>
        <v>2456344.707103231</v>
      </c>
      <c r="F94" s="28">
        <f>Natural!F94</f>
        <v>2778822.442063279</v>
      </c>
      <c r="G94" s="28">
        <f>Natural!G94</f>
        <v>2732719.8500656569</v>
      </c>
      <c r="H94" s="28">
        <f>Natural!H94</f>
        <v>2699939.5919749909</v>
      </c>
      <c r="I94" s="28">
        <f>Natural!I94</f>
        <v>2728767.6388511998</v>
      </c>
      <c r="J94" s="28">
        <f>Natural!J94</f>
        <v>2728110.6781096635</v>
      </c>
      <c r="K94" s="28">
        <f>Natural!K94</f>
        <v>2661684.0700638522</v>
      </c>
      <c r="L94" s="28">
        <f>Natural!L94</f>
        <v>2704806.5991199906</v>
      </c>
      <c r="M94" s="28">
        <f>Natural!M94</f>
        <v>2635969.414996691</v>
      </c>
      <c r="N94" s="28">
        <f>Natural!N94</f>
        <v>2646429.2612349694</v>
      </c>
      <c r="P94" s="28">
        <f>P73-P81-P92</f>
        <v>7338757.7908994658</v>
      </c>
      <c r="Q94" s="28">
        <f t="shared" ref="Q94:S94" si="59">Q73-Q81-Q92</f>
        <v>8211481.8841039278</v>
      </c>
      <c r="R94" s="28">
        <f t="shared" si="59"/>
        <v>8118562.3870247137</v>
      </c>
      <c r="S94" s="28">
        <f t="shared" si="59"/>
        <v>7987205.2753516529</v>
      </c>
      <c r="U94" s="28">
        <f t="shared" ref="U94" si="60">U73-U81-U92</f>
        <v>31656007.337379757</v>
      </c>
    </row>
    <row r="95" spans="2:21" ht="15" customHeight="1" x14ac:dyDescent="0.2">
      <c r="B95" s="52" t="s">
        <v>34</v>
      </c>
      <c r="C95" s="71">
        <f>Natural!C95</f>
        <v>0.40664820842028854</v>
      </c>
      <c r="D95" s="71">
        <f>Natural!D95</f>
        <v>0.40720421659100747</v>
      </c>
      <c r="E95" s="71">
        <f>Natural!E95</f>
        <v>0.4035493931587249</v>
      </c>
      <c r="F95" s="71">
        <f>Natural!F95</f>
        <v>0.45300254934533862</v>
      </c>
      <c r="G95" s="71">
        <f>Natural!G95</f>
        <v>0.45013954489590341</v>
      </c>
      <c r="H95" s="71">
        <f>Natural!H95</f>
        <v>0.4496041113505867</v>
      </c>
      <c r="I95" s="71">
        <f>Natural!I95</f>
        <v>0.45086222594198638</v>
      </c>
      <c r="J95" s="71">
        <f>Natural!J95</f>
        <v>0.44877592691790863</v>
      </c>
      <c r="K95" s="71">
        <f>Natural!K95</f>
        <v>0.44920656327168601</v>
      </c>
      <c r="L95" s="71">
        <f>Natural!L95</f>
        <v>0.44835476639300192</v>
      </c>
      <c r="M95" s="71">
        <f>Natural!M95</f>
        <v>0.44771228383343981</v>
      </c>
      <c r="N95" s="71">
        <f>Natural!N95</f>
        <v>0.44699318922571929</v>
      </c>
      <c r="P95" s="71">
        <f>P94/P59</f>
        <v>0.40579105535575194</v>
      </c>
      <c r="Q95" s="71">
        <f t="shared" ref="Q95:U95" si="61">Q94/Q59</f>
        <v>0.45092739823906852</v>
      </c>
      <c r="R95" s="71">
        <f t="shared" si="61"/>
        <v>0.44961653880401337</v>
      </c>
      <c r="S95" s="71">
        <f t="shared" si="61"/>
        <v>0.4476909014501938</v>
      </c>
      <c r="U95" s="71">
        <f t="shared" si="61"/>
        <v>0.43849256563515004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B7DA-E1AA-4B9F-9BB5-CD5A246CEE5E}">
  <dimension ref="B2:U95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101</v>
      </c>
    </row>
    <row r="3" spans="2:21" ht="15" customHeight="1" x14ac:dyDescent="0.2">
      <c r="B3" s="52"/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v>918241.81085671578</v>
      </c>
      <c r="D5" s="96">
        <v>1098822.1071652398</v>
      </c>
      <c r="E5" s="96">
        <v>1389108.8186953156</v>
      </c>
      <c r="F5" s="96">
        <v>1060457.1162919106</v>
      </c>
      <c r="G5" s="96">
        <v>1080187.977512805</v>
      </c>
      <c r="H5" s="96">
        <v>1449758.253748731</v>
      </c>
      <c r="I5" s="96">
        <v>1270033.6214879407</v>
      </c>
      <c r="J5" s="96">
        <v>1137642.609668985</v>
      </c>
      <c r="K5" s="96">
        <v>1505986.0966062024</v>
      </c>
      <c r="L5" s="96">
        <v>825220.26826456212</v>
      </c>
      <c r="M5" s="96">
        <v>1232003.1532279779</v>
      </c>
      <c r="N5" s="96">
        <v>1753899.7673868714</v>
      </c>
      <c r="P5" s="96">
        <v>3406172.7367172712</v>
      </c>
      <c r="Q5" s="96">
        <v>3590403.3475534469</v>
      </c>
      <c r="R5" s="96">
        <v>3913662.3277631281</v>
      </c>
      <c r="S5" s="96">
        <v>3811123.1888794117</v>
      </c>
      <c r="T5" s="91"/>
      <c r="U5" s="96">
        <v>14721361.600913256</v>
      </c>
    </row>
    <row r="6" spans="2:21" s="25" customFormat="1" ht="15" customHeight="1" x14ac:dyDescent="0.2">
      <c r="B6" s="78" t="s">
        <v>10</v>
      </c>
      <c r="C6" s="81">
        <v>622514.35130164481</v>
      </c>
      <c r="D6" s="81">
        <v>935097.23442405579</v>
      </c>
      <c r="E6" s="81">
        <v>1179236.180272124</v>
      </c>
      <c r="F6" s="81">
        <v>777579.95049804996</v>
      </c>
      <c r="G6" s="81">
        <v>753453.09429011669</v>
      </c>
      <c r="H6" s="81">
        <v>1159929.2819288557</v>
      </c>
      <c r="I6" s="81">
        <v>1011896.7065513673</v>
      </c>
      <c r="J6" s="81">
        <v>874189.60777134181</v>
      </c>
      <c r="K6" s="81">
        <v>1000548.9055383139</v>
      </c>
      <c r="L6" s="81">
        <v>766538.84680967382</v>
      </c>
      <c r="M6" s="81">
        <v>1069760.2684737833</v>
      </c>
      <c r="N6" s="81">
        <v>1248360.343877424</v>
      </c>
      <c r="P6" s="81">
        <v>2736847.7659978243</v>
      </c>
      <c r="Q6" s="81">
        <v>2690962.3267170223</v>
      </c>
      <c r="R6" s="81">
        <v>2886635.2198610231</v>
      </c>
      <c r="S6" s="81">
        <v>3084659.4591608811</v>
      </c>
      <c r="T6" s="91"/>
      <c r="U6" s="81">
        <v>11399104.77173675</v>
      </c>
    </row>
    <row r="7" spans="2:21" ht="15" customHeight="1" x14ac:dyDescent="0.2">
      <c r="B7" s="78" t="s">
        <v>11</v>
      </c>
      <c r="C7" s="81">
        <v>295727.45955507096</v>
      </c>
      <c r="D7" s="81">
        <v>163724.87274118402</v>
      </c>
      <c r="E7" s="81">
        <v>209872.6384231917</v>
      </c>
      <c r="F7" s="81">
        <v>282877.16579386062</v>
      </c>
      <c r="G7" s="81">
        <v>326734.8832226884</v>
      </c>
      <c r="H7" s="81">
        <v>289828.97181987535</v>
      </c>
      <c r="I7" s="81">
        <v>258136.91493657327</v>
      </c>
      <c r="J7" s="81">
        <v>263453.00189764332</v>
      </c>
      <c r="K7" s="81">
        <v>505437.1910678884</v>
      </c>
      <c r="L7" s="81">
        <v>58681.421454888339</v>
      </c>
      <c r="M7" s="81">
        <v>162242.88475419473</v>
      </c>
      <c r="N7" s="81">
        <v>505539.42350944749</v>
      </c>
      <c r="P7" s="81">
        <v>669324.97071944666</v>
      </c>
      <c r="Q7" s="81">
        <v>899441.02083642432</v>
      </c>
      <c r="R7" s="81">
        <v>1027027.107902105</v>
      </c>
      <c r="S7" s="81">
        <v>726463.72971853055</v>
      </c>
      <c r="T7" s="79"/>
      <c r="U7" s="81">
        <v>3322256.8291765065</v>
      </c>
    </row>
    <row r="8" spans="2:21" s="25" customFormat="1" ht="15" customHeight="1" x14ac:dyDescent="0.2">
      <c r="B8" s="51" t="s">
        <v>12</v>
      </c>
      <c r="C8" s="96">
        <v>721374.25132581848</v>
      </c>
      <c r="D8" s="96">
        <v>595242.65474325209</v>
      </c>
      <c r="E8" s="96">
        <v>1249710.3438458135</v>
      </c>
      <c r="F8" s="96">
        <v>708675.28488725773</v>
      </c>
      <c r="G8" s="96">
        <v>903837.01582346321</v>
      </c>
      <c r="H8" s="96">
        <v>1378195.5446574034</v>
      </c>
      <c r="I8" s="96">
        <v>1037250.3520580088</v>
      </c>
      <c r="J8" s="96">
        <v>767663.40366682317</v>
      </c>
      <c r="K8" s="96">
        <v>1064955.3437205083</v>
      </c>
      <c r="L8" s="96">
        <v>978466.69816156151</v>
      </c>
      <c r="M8" s="96">
        <v>1432889.9008914893</v>
      </c>
      <c r="N8" s="96">
        <v>944729.99244707869</v>
      </c>
      <c r="P8" s="96">
        <v>2566327.2499148841</v>
      </c>
      <c r="Q8" s="96">
        <v>2990707.8453681245</v>
      </c>
      <c r="R8" s="96">
        <v>2869869.0994453402</v>
      </c>
      <c r="S8" s="96">
        <v>3356086.5915001296</v>
      </c>
      <c r="T8" s="91"/>
      <c r="U8" s="96">
        <v>11782990.786228478</v>
      </c>
    </row>
    <row r="9" spans="2:21" s="25" customFormat="1" ht="15" customHeight="1" x14ac:dyDescent="0.2">
      <c r="B9" s="78" t="s">
        <v>10</v>
      </c>
      <c r="C9" s="81">
        <v>280387.13024097512</v>
      </c>
      <c r="D9" s="81">
        <v>371671.55899892846</v>
      </c>
      <c r="E9" s="81">
        <v>506998.66365879396</v>
      </c>
      <c r="F9" s="81">
        <v>513002.39174325723</v>
      </c>
      <c r="G9" s="81">
        <v>588858.86338006426</v>
      </c>
      <c r="H9" s="81">
        <v>1062092.8353568551</v>
      </c>
      <c r="I9" s="81">
        <v>792710.35184878763</v>
      </c>
      <c r="J9" s="81">
        <v>683730.56914685224</v>
      </c>
      <c r="K9" s="81">
        <v>798742.06590077106</v>
      </c>
      <c r="L9" s="81">
        <v>699678.83003006235</v>
      </c>
      <c r="M9" s="81">
        <v>1139585.0260586068</v>
      </c>
      <c r="N9" s="81">
        <v>650505.02564016473</v>
      </c>
      <c r="P9" s="81">
        <v>1159057.3528986976</v>
      </c>
      <c r="Q9" s="81">
        <v>2163954.0904801767</v>
      </c>
      <c r="R9" s="81">
        <v>2275182.9868964111</v>
      </c>
      <c r="S9" s="81">
        <v>2489768.8817288335</v>
      </c>
      <c r="T9" s="91"/>
      <c r="U9" s="81">
        <v>8087963.3120041192</v>
      </c>
    </row>
    <row r="10" spans="2:21" ht="15" customHeight="1" x14ac:dyDescent="0.2">
      <c r="B10" s="78" t="s">
        <v>11</v>
      </c>
      <c r="C10" s="81">
        <v>440987.1210848433</v>
      </c>
      <c r="D10" s="81">
        <v>223571.0957443236</v>
      </c>
      <c r="E10" s="81">
        <v>742711.68018701964</v>
      </c>
      <c r="F10" s="81">
        <v>195672.89314400047</v>
      </c>
      <c r="G10" s="81">
        <v>314978.1524433989</v>
      </c>
      <c r="H10" s="81">
        <v>316102.7093005483</v>
      </c>
      <c r="I10" s="81">
        <v>244540.00020922109</v>
      </c>
      <c r="J10" s="81">
        <v>83932.834519970944</v>
      </c>
      <c r="K10" s="81">
        <v>266213.27781973733</v>
      </c>
      <c r="L10" s="81">
        <v>278787.8681314991</v>
      </c>
      <c r="M10" s="81">
        <v>293304.87483288266</v>
      </c>
      <c r="N10" s="81">
        <v>294224.96680691402</v>
      </c>
      <c r="P10" s="81">
        <v>1407269.8970161865</v>
      </c>
      <c r="Q10" s="81">
        <v>826753.7548879477</v>
      </c>
      <c r="R10" s="81">
        <v>594686.11254892941</v>
      </c>
      <c r="S10" s="81">
        <v>866317.70977129578</v>
      </c>
      <c r="T10" s="79"/>
      <c r="U10" s="81">
        <v>3695027.4742243597</v>
      </c>
    </row>
    <row r="11" spans="2:21" ht="15" customHeight="1" x14ac:dyDescent="0.2">
      <c r="B11" s="31" t="s">
        <v>13</v>
      </c>
      <c r="C11" s="97">
        <v>198666.7339566247</v>
      </c>
      <c r="D11" s="97">
        <v>335025.21674858825</v>
      </c>
      <c r="E11" s="97">
        <v>544202.91708709358</v>
      </c>
      <c r="F11" s="97">
        <v>191992.52524787508</v>
      </c>
      <c r="G11" s="97">
        <v>275618.66244316887</v>
      </c>
      <c r="H11" s="97">
        <v>502574.68270423537</v>
      </c>
      <c r="I11" s="97">
        <v>521998.84660045261</v>
      </c>
      <c r="J11" s="97">
        <v>551237.32488633774</v>
      </c>
      <c r="K11" s="97">
        <v>705812.77652360452</v>
      </c>
      <c r="L11" s="97">
        <v>533039.95028882893</v>
      </c>
      <c r="M11" s="97">
        <v>230840.85304030988</v>
      </c>
      <c r="N11" s="97">
        <v>401875.72776858194</v>
      </c>
      <c r="P11" s="97">
        <v>1077894.8677923065</v>
      </c>
      <c r="Q11" s="97">
        <v>970185.87039527926</v>
      </c>
      <c r="R11" s="97">
        <v>1779048.9480103948</v>
      </c>
      <c r="S11" s="97">
        <v>1165756.5310977208</v>
      </c>
      <c r="T11" s="79"/>
      <c r="U11" s="97">
        <v>4992886.2172957007</v>
      </c>
    </row>
    <row r="12" spans="2:21" ht="15" customHeight="1" x14ac:dyDescent="0.2">
      <c r="B12" s="52" t="s">
        <v>14</v>
      </c>
      <c r="C12" s="82">
        <v>1838282.796139159</v>
      </c>
      <c r="D12" s="82">
        <v>2029089.9786570801</v>
      </c>
      <c r="E12" s="82">
        <v>3183022.0796282226</v>
      </c>
      <c r="F12" s="82">
        <v>1961124.9264270435</v>
      </c>
      <c r="G12" s="82">
        <v>2259643.6557794372</v>
      </c>
      <c r="H12" s="82">
        <v>3330528.4811103698</v>
      </c>
      <c r="I12" s="82">
        <v>2829282.8201464019</v>
      </c>
      <c r="J12" s="82">
        <v>2456543.338222146</v>
      </c>
      <c r="K12" s="82">
        <v>3276754.2168503152</v>
      </c>
      <c r="L12" s="82">
        <v>2336726.9167149523</v>
      </c>
      <c r="M12" s="82">
        <v>2895733.9071597774</v>
      </c>
      <c r="N12" s="82">
        <v>3100505.4876025319</v>
      </c>
      <c r="P12" s="82">
        <v>7050394.8544244617</v>
      </c>
      <c r="Q12" s="82">
        <v>7551297.06331685</v>
      </c>
      <c r="R12" s="82">
        <v>8562580.3752188645</v>
      </c>
      <c r="S12" s="82">
        <v>8332966.3114772616</v>
      </c>
      <c r="T12" s="79"/>
      <c r="U12" s="82"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v>6.7393931455971043E-2</v>
      </c>
      <c r="D15" s="101">
        <v>0.14484668328968767</v>
      </c>
      <c r="E15" s="101">
        <v>0.11567215284129743</v>
      </c>
      <c r="F15" s="101">
        <v>0.1462793629016185</v>
      </c>
      <c r="G15" s="101">
        <v>0.11740251602634331</v>
      </c>
      <c r="H15" s="101">
        <v>0.20384898186803421</v>
      </c>
      <c r="I15" s="101">
        <v>0.12675550059165933</v>
      </c>
      <c r="J15" s="101">
        <v>0.17077228679600875</v>
      </c>
      <c r="K15" s="101">
        <v>0.19781124572277028</v>
      </c>
      <c r="L15" s="101">
        <v>0.33258751868872005</v>
      </c>
      <c r="M15" s="101">
        <v>0.17732830917255957</v>
      </c>
      <c r="N15" s="101">
        <v>0.20561240301531233</v>
      </c>
      <c r="P15" s="101">
        <v>0.11465475654137559</v>
      </c>
      <c r="Q15" s="101">
        <v>0.16083750648016584</v>
      </c>
      <c r="R15" s="101">
        <v>0.16689292753926907</v>
      </c>
      <c r="S15" s="101">
        <v>0.22396298964093894</v>
      </c>
      <c r="T15" s="79"/>
      <c r="U15" s="101">
        <v>0.16810391600890268</v>
      </c>
    </row>
    <row r="16" spans="2:21" ht="15" customHeight="1" x14ac:dyDescent="0.2">
      <c r="B16" s="94" t="s">
        <v>10</v>
      </c>
      <c r="C16" s="99">
        <v>8.269779157262673E-2</v>
      </c>
      <c r="D16" s="99">
        <v>0.14520413222718045</v>
      </c>
      <c r="E16" s="99">
        <v>0.13561154879632886</v>
      </c>
      <c r="F16" s="99">
        <v>0.17832635139258812</v>
      </c>
      <c r="G16" s="99">
        <v>0.13885500252245264</v>
      </c>
      <c r="H16" s="99">
        <v>0.18952940132167459</v>
      </c>
      <c r="I16" s="99">
        <v>0.13185705933438946</v>
      </c>
      <c r="J16" s="99">
        <v>0.17459490622063628</v>
      </c>
      <c r="K16" s="99">
        <v>0.25025408643068464</v>
      </c>
      <c r="L16" s="99">
        <v>0.25312276989029103</v>
      </c>
      <c r="M16" s="99">
        <v>0.17053504999123692</v>
      </c>
      <c r="N16" s="99">
        <v>0.23583693040225787</v>
      </c>
      <c r="P16" s="99">
        <v>0.12685345296298783</v>
      </c>
      <c r="Q16" s="99">
        <v>0.17210364655718491</v>
      </c>
      <c r="R16" s="99">
        <v>0.1858379005624578</v>
      </c>
      <c r="S16" s="99">
        <v>0.21748576703966052</v>
      </c>
      <c r="T16" s="79"/>
      <c r="U16" s="99">
        <v>0.17699800259839513</v>
      </c>
    </row>
    <row r="17" spans="2:21" ht="15" customHeight="1" x14ac:dyDescent="0.2">
      <c r="B17" s="94" t="s">
        <v>11</v>
      </c>
      <c r="C17" s="100">
        <v>3.5178889378835419E-2</v>
      </c>
      <c r="D17" s="100">
        <v>0.14280515161950749</v>
      </c>
      <c r="E17" s="100">
        <v>4.5604790246004716E-2</v>
      </c>
      <c r="F17" s="100">
        <v>5.8187785575158441E-2</v>
      </c>
      <c r="G17" s="100">
        <v>6.7932921071297683E-2</v>
      </c>
      <c r="H17" s="100">
        <v>0.26115761004404708</v>
      </c>
      <c r="I17" s="100">
        <v>0.10675739032015726</v>
      </c>
      <c r="J17" s="100">
        <v>0.15808807309791401</v>
      </c>
      <c r="K17" s="100">
        <v>9.3996908746969907E-2</v>
      </c>
      <c r="L17" s="100">
        <v>1.3706131049093142</v>
      </c>
      <c r="M17" s="100">
        <v>0.22212015799005139</v>
      </c>
      <c r="N17" s="100">
        <v>0.13097707360742727</v>
      </c>
      <c r="P17" s="100">
        <v>6.4774688547365178E-2</v>
      </c>
      <c r="Q17" s="100">
        <v>0.1271312847130262</v>
      </c>
      <c r="R17" s="100">
        <v>0.11364484290033255</v>
      </c>
      <c r="S17" s="100">
        <v>0.25146611904543847</v>
      </c>
      <c r="T17" s="79"/>
      <c r="U17" s="100">
        <v>0.13758712272785661</v>
      </c>
    </row>
    <row r="18" spans="2:21" ht="15" customHeight="1" x14ac:dyDescent="0.2">
      <c r="B18" s="93" t="s">
        <v>12</v>
      </c>
      <c r="C18" s="101">
        <v>0.17841142091049092</v>
      </c>
      <c r="D18" s="101">
        <v>0.16576614011777902</v>
      </c>
      <c r="E18" s="101">
        <v>8.7735600019642646E-2</v>
      </c>
      <c r="F18" s="101">
        <v>0.19496123355955849</v>
      </c>
      <c r="G18" s="101">
        <v>0.12927223517600184</v>
      </c>
      <c r="H18" s="101">
        <v>0.12033628224965125</v>
      </c>
      <c r="I18" s="101">
        <v>0.12118049769423624</v>
      </c>
      <c r="J18" s="101">
        <v>9.4538332549951906E-2</v>
      </c>
      <c r="K18" s="101">
        <v>0.16041499448777996</v>
      </c>
      <c r="L18" s="101">
        <v>0.11049149223598738</v>
      </c>
      <c r="M18" s="101">
        <v>9.8512058859721238E-2</v>
      </c>
      <c r="N18" s="101">
        <v>0.16380225226010331</v>
      </c>
      <c r="P18" s="101">
        <v>0.130464673959654</v>
      </c>
      <c r="Q18" s="101">
        <v>0.14071991943780132</v>
      </c>
      <c r="R18" s="101">
        <v>0.12861316138153725</v>
      </c>
      <c r="S18" s="101">
        <v>0.12038368777580427</v>
      </c>
      <c r="T18" s="79"/>
      <c r="U18" s="101">
        <v>0.12974534740309565</v>
      </c>
    </row>
    <row r="19" spans="2:21" ht="15" customHeight="1" x14ac:dyDescent="0.2">
      <c r="B19" s="94" t="s">
        <v>10</v>
      </c>
      <c r="C19" s="99">
        <v>0.25513485939404251</v>
      </c>
      <c r="D19" s="99">
        <v>0.13216248357945287</v>
      </c>
      <c r="E19" s="99">
        <v>0.1076882767868082</v>
      </c>
      <c r="F19" s="99">
        <v>0.15435124114687773</v>
      </c>
      <c r="G19" s="99">
        <v>0.11540937166472348</v>
      </c>
      <c r="H19" s="99">
        <v>9.0990282613901921E-2</v>
      </c>
      <c r="I19" s="99">
        <v>0.10240525647455437</v>
      </c>
      <c r="J19" s="99">
        <v>4.614145810641769E-2</v>
      </c>
      <c r="K19" s="99">
        <v>0.1553360702956525</v>
      </c>
      <c r="L19" s="99">
        <v>0.10728859254871663</v>
      </c>
      <c r="M19" s="99">
        <v>9.4760413813254091E-2</v>
      </c>
      <c r="N19" s="99">
        <v>0.16792263506510405</v>
      </c>
      <c r="P19" s="99">
        <v>0.15120509726926629</v>
      </c>
      <c r="Q19" s="99">
        <v>0.11265604738223021</v>
      </c>
      <c r="R19" s="99">
        <v>0.10407931465914845</v>
      </c>
      <c r="S19" s="99">
        <v>0.1173962875543655</v>
      </c>
      <c r="T19" s="79"/>
      <c r="U19" s="99">
        <v>0.11722691700545769</v>
      </c>
    </row>
    <row r="20" spans="2:21" ht="15" customHeight="1" x14ac:dyDescent="0.2">
      <c r="B20" s="94" t="s">
        <v>11</v>
      </c>
      <c r="C20" s="99">
        <v>0.12962935061850114</v>
      </c>
      <c r="D20" s="99">
        <v>0.22162990628166296</v>
      </c>
      <c r="E20" s="99">
        <v>7.1151099980620497E-2</v>
      </c>
      <c r="F20" s="99">
        <v>0.30142985525591814</v>
      </c>
      <c r="G20" s="99">
        <v>0.15518917572289023</v>
      </c>
      <c r="H20" s="99">
        <v>0.21893770211245839</v>
      </c>
      <c r="I20" s="99">
        <v>0.18204304803596411</v>
      </c>
      <c r="J20" s="99">
        <v>0.48878717089143386</v>
      </c>
      <c r="K20" s="99">
        <v>0.17565371749587982</v>
      </c>
      <c r="L20" s="99">
        <v>0.11852986607525422</v>
      </c>
      <c r="M20" s="99">
        <v>0.11308842251708248</v>
      </c>
      <c r="N20" s="99">
        <v>0.15469245525238268</v>
      </c>
      <c r="P20" s="99">
        <v>0.11338242115924385</v>
      </c>
      <c r="Q20" s="99">
        <v>0.21417459729118007</v>
      </c>
      <c r="R20" s="99">
        <v>0.22247610771242296</v>
      </c>
      <c r="S20" s="99">
        <v>0.12896937871195249</v>
      </c>
      <c r="T20" s="79"/>
      <c r="U20" s="99">
        <v>0.1571466607860838</v>
      </c>
    </row>
    <row r="21" spans="2:21" s="36" customFormat="1" ht="15" customHeight="1" x14ac:dyDescent="0.2">
      <c r="B21" s="19" t="s">
        <v>13</v>
      </c>
      <c r="C21" s="102">
        <v>0.15169917201438265</v>
      </c>
      <c r="D21" s="102">
        <v>3.1052479234059648E-2</v>
      </c>
      <c r="E21" s="102">
        <v>0.13756140402794095</v>
      </c>
      <c r="F21" s="102">
        <v>0.19289808628569899</v>
      </c>
      <c r="G21" s="102">
        <v>0.29362421360352814</v>
      </c>
      <c r="H21" s="102">
        <v>0.20370342944125933</v>
      </c>
      <c r="I21" s="102">
        <v>6.3543024716316024E-2</v>
      </c>
      <c r="J21" s="102">
        <v>0.11695201728276121</v>
      </c>
      <c r="K21" s="102">
        <v>0.10441280328015808</v>
      </c>
      <c r="L21" s="102">
        <v>0.1948682263338565</v>
      </c>
      <c r="M21" s="102">
        <v>0.23822191395150702</v>
      </c>
      <c r="N21" s="102">
        <v>0.15173049442597039</v>
      </c>
      <c r="P21" s="102">
        <v>0.10706263053367782</v>
      </c>
      <c r="Q21" s="102">
        <v>0.22711059484224291</v>
      </c>
      <c r="R21" s="102">
        <v>9.6306284061393493E-2</v>
      </c>
      <c r="S21" s="102">
        <v>0.18858200363024816</v>
      </c>
      <c r="T21" s="85"/>
      <c r="U21" s="102">
        <v>0.1455903487896815</v>
      </c>
    </row>
    <row r="22" spans="2:21" ht="15" customHeight="1" x14ac:dyDescent="0.2">
      <c r="B22" s="95" t="s">
        <v>14</v>
      </c>
      <c r="C22" s="98">
        <v>9.9549306149495281E-2</v>
      </c>
      <c r="D22" s="98">
        <v>0.10960177195157539</v>
      </c>
      <c r="E22" s="98">
        <v>8.7049858779637571E-2</v>
      </c>
      <c r="F22" s="98">
        <v>0.13964829458312192</v>
      </c>
      <c r="G22" s="98">
        <v>0.11909489594017039</v>
      </c>
      <c r="H22" s="98">
        <v>0.1403396189289258</v>
      </c>
      <c r="I22" s="98">
        <v>9.3728128359109347E-2</v>
      </c>
      <c r="J22" s="98">
        <v>0.11182169263736468</v>
      </c>
      <c r="K22" s="98">
        <v>0.13724746376650401</v>
      </c>
      <c r="L22" s="98">
        <v>0.17259448997409876</v>
      </c>
      <c r="M22" s="98">
        <v>0.11871126583876601</v>
      </c>
      <c r="N22" s="98">
        <v>0.15411906819048526</v>
      </c>
      <c r="P22" s="98">
        <v>0.11924881246290682</v>
      </c>
      <c r="Q22" s="98">
        <v>0.16138461626597198</v>
      </c>
      <c r="R22" s="98">
        <v>0.13939712586080016</v>
      </c>
      <c r="S22" s="98">
        <v>0.1772969277453611</v>
      </c>
      <c r="T22" s="79"/>
      <c r="U22" s="98"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v>61883.925660884226</v>
      </c>
      <c r="D25" s="96">
        <v>159160.73774827071</v>
      </c>
      <c r="E25" s="96">
        <v>169489.24245703485</v>
      </c>
      <c r="F25" s="96">
        <v>155122.99135566823</v>
      </c>
      <c r="G25" s="96">
        <v>126816.78634141046</v>
      </c>
      <c r="H25" s="96">
        <v>295531.74398145801</v>
      </c>
      <c r="I25" s="96">
        <v>160983.74745994189</v>
      </c>
      <c r="J25" s="96">
        <v>194277.83000975178</v>
      </c>
      <c r="K25" s="96">
        <v>297900.98581084522</v>
      </c>
      <c r="L25" s="96">
        <v>274457.96139375068</v>
      </c>
      <c r="M25" s="96">
        <v>218469.0360571791</v>
      </c>
      <c r="N25" s="96">
        <v>360623.54582041199</v>
      </c>
      <c r="P25" s="96">
        <v>390533.90586618974</v>
      </c>
      <c r="Q25" s="96">
        <v>577471.52167853666</v>
      </c>
      <c r="R25" s="96">
        <v>653162.56328053889</v>
      </c>
      <c r="S25" s="96">
        <v>853550.54327134183</v>
      </c>
      <c r="T25" s="79"/>
      <c r="U25" s="96">
        <v>2474718.534096607</v>
      </c>
    </row>
    <row r="26" spans="2:21" ht="15" customHeight="1" x14ac:dyDescent="0.2">
      <c r="B26" s="78" t="s">
        <v>10</v>
      </c>
      <c r="C26" s="81">
        <v>51480.562074912355</v>
      </c>
      <c r="D26" s="81">
        <v>135779.98247258135</v>
      </c>
      <c r="E26" s="81">
        <v>159918.04480336962</v>
      </c>
      <c r="F26" s="81">
        <v>138662.99548834653</v>
      </c>
      <c r="G26" s="81">
        <v>104620.7313082039</v>
      </c>
      <c r="H26" s="81">
        <v>219840.70237945591</v>
      </c>
      <c r="I26" s="81">
        <v>133425.72407601692</v>
      </c>
      <c r="J26" s="81">
        <v>152629.05258789225</v>
      </c>
      <c r="K26" s="81">
        <v>250391.45228471214</v>
      </c>
      <c r="L26" s="81">
        <v>194028.43613297411</v>
      </c>
      <c r="M26" s="81">
        <v>182431.62086281565</v>
      </c>
      <c r="N26" s="81">
        <v>294409.47153595876</v>
      </c>
      <c r="P26" s="81">
        <v>347178.58935086336</v>
      </c>
      <c r="Q26" s="81">
        <v>463124.42917600635</v>
      </c>
      <c r="R26" s="81">
        <v>536446.22894862131</v>
      </c>
      <c r="S26" s="81">
        <v>670869.52853174857</v>
      </c>
      <c r="T26" s="79"/>
      <c r="U26" s="81">
        <v>2017618.7760072395</v>
      </c>
    </row>
    <row r="27" spans="2:21" ht="15" customHeight="1" x14ac:dyDescent="0.2">
      <c r="B27" s="78" t="s">
        <v>11</v>
      </c>
      <c r="C27" s="81">
        <v>10403.363585971867</v>
      </c>
      <c r="D27" s="81">
        <v>23380.755275689353</v>
      </c>
      <c r="E27" s="81">
        <v>9571.1976536652473</v>
      </c>
      <c r="F27" s="81">
        <v>16459.995867321704</v>
      </c>
      <c r="G27" s="81">
        <v>22196.055033206558</v>
      </c>
      <c r="H27" s="81">
        <v>75691.041602002122</v>
      </c>
      <c r="I27" s="81">
        <v>27558.023383924985</v>
      </c>
      <c r="J27" s="81">
        <v>41648.777421859515</v>
      </c>
      <c r="K27" s="81">
        <v>47509.533526133098</v>
      </c>
      <c r="L27" s="81">
        <v>80429.525260776558</v>
      </c>
      <c r="M27" s="81">
        <v>36037.415194363435</v>
      </c>
      <c r="N27" s="81">
        <v>66214.074284453251</v>
      </c>
      <c r="P27" s="81">
        <v>43355.316515326471</v>
      </c>
      <c r="Q27" s="81">
        <v>114347.09250253039</v>
      </c>
      <c r="R27" s="81">
        <v>116716.33433191761</v>
      </c>
      <c r="S27" s="81">
        <v>182681.01473959326</v>
      </c>
      <c r="T27" s="79"/>
      <c r="U27" s="81">
        <v>457099.75808936777</v>
      </c>
    </row>
    <row r="28" spans="2:21" ht="15" customHeight="1" x14ac:dyDescent="0.2">
      <c r="B28" s="51" t="s">
        <v>12</v>
      </c>
      <c r="C28" s="96">
        <v>128701.40518728085</v>
      </c>
      <c r="D28" s="96">
        <v>98671.077310248656</v>
      </c>
      <c r="E28" s="96">
        <v>107442.56543639135</v>
      </c>
      <c r="F28" s="96">
        <v>138164.20773479133</v>
      </c>
      <c r="G28" s="96">
        <v>116841.03127030641</v>
      </c>
      <c r="H28" s="96">
        <v>165846.92805710511</v>
      </c>
      <c r="I28" s="96">
        <v>125694.51389591125</v>
      </c>
      <c r="J28" s="96">
        <v>72573.618142282081</v>
      </c>
      <c r="K28" s="96">
        <v>170834.80559265718</v>
      </c>
      <c r="L28" s="96">
        <v>108112.24558309035</v>
      </c>
      <c r="M28" s="96">
        <v>141156.93425612256</v>
      </c>
      <c r="N28" s="96">
        <v>154748.90054050187</v>
      </c>
      <c r="P28" s="96">
        <v>334815.04793392087</v>
      </c>
      <c r="Q28" s="96">
        <v>420852.16706220282</v>
      </c>
      <c r="R28" s="96">
        <v>369102.93763085053</v>
      </c>
      <c r="S28" s="96">
        <v>404018.08037971478</v>
      </c>
      <c r="T28" s="79"/>
      <c r="U28" s="96">
        <v>1528788.233006689</v>
      </c>
    </row>
    <row r="29" spans="2:21" ht="15" customHeight="1" x14ac:dyDescent="0.2">
      <c r="B29" s="78" t="s">
        <v>10</v>
      </c>
      <c r="C29" s="81">
        <v>71536.531049930272</v>
      </c>
      <c r="D29" s="81">
        <v>49121.036313145531</v>
      </c>
      <c r="E29" s="81">
        <v>54597.812422630079</v>
      </c>
      <c r="F29" s="81">
        <v>79182.555876888538</v>
      </c>
      <c r="G29" s="81">
        <v>67959.831421896466</v>
      </c>
      <c r="H29" s="81">
        <v>96640.12725132065</v>
      </c>
      <c r="I29" s="81">
        <v>81177.706891109337</v>
      </c>
      <c r="J29" s="81">
        <v>31548.325412366608</v>
      </c>
      <c r="K29" s="81">
        <v>124073.45369685687</v>
      </c>
      <c r="L29" s="81">
        <v>75067.55691005812</v>
      </c>
      <c r="M29" s="81">
        <v>107987.54864470153</v>
      </c>
      <c r="N29" s="81">
        <v>109234.51802858953</v>
      </c>
      <c r="P29" s="81">
        <v>175255.37978570588</v>
      </c>
      <c r="Q29" s="81">
        <v>243782.51455010567</v>
      </c>
      <c r="R29" s="81">
        <v>236799.48600033281</v>
      </c>
      <c r="S29" s="81">
        <v>292289.62358334917</v>
      </c>
      <c r="T29" s="79"/>
      <c r="U29" s="81">
        <v>948127.00391949352</v>
      </c>
    </row>
    <row r="30" spans="2:21" ht="15" customHeight="1" x14ac:dyDescent="0.2">
      <c r="B30" s="78" t="s">
        <v>11</v>
      </c>
      <c r="C30" s="81">
        <v>57164.874137350569</v>
      </c>
      <c r="D30" s="81">
        <v>49550.040997103133</v>
      </c>
      <c r="E30" s="81">
        <v>52844.75301376127</v>
      </c>
      <c r="F30" s="81">
        <v>58981.651857902798</v>
      </c>
      <c r="G30" s="81">
        <v>48881.199848409939</v>
      </c>
      <c r="H30" s="81">
        <v>69206.800805784471</v>
      </c>
      <c r="I30" s="81">
        <v>44516.807004801907</v>
      </c>
      <c r="J30" s="81">
        <v>41025.292729915476</v>
      </c>
      <c r="K30" s="81">
        <v>46761.351895800311</v>
      </c>
      <c r="L30" s="81">
        <v>33044.688673032222</v>
      </c>
      <c r="M30" s="81">
        <v>33169.385611421028</v>
      </c>
      <c r="N30" s="81">
        <v>45514.382511912328</v>
      </c>
      <c r="P30" s="81">
        <v>159559.66814821499</v>
      </c>
      <c r="Q30" s="81">
        <v>177069.65251209721</v>
      </c>
      <c r="R30" s="81">
        <v>132303.45163051769</v>
      </c>
      <c r="S30" s="81">
        <v>111728.45679636559</v>
      </c>
      <c r="T30" s="79"/>
      <c r="U30" s="81">
        <v>580661.22908719548</v>
      </c>
    </row>
    <row r="31" spans="2:21" ht="15" customHeight="1" x14ac:dyDescent="0.2">
      <c r="B31" s="31" t="s">
        <v>13</v>
      </c>
      <c r="C31" s="97">
        <v>30137.579048021606</v>
      </c>
      <c r="D31" s="97">
        <v>10403.363585971869</v>
      </c>
      <c r="E31" s="97">
        <v>74861.317350601734</v>
      </c>
      <c r="F31" s="97">
        <v>37034.990701473849</v>
      </c>
      <c r="G31" s="97">
        <v>80928.313014331739</v>
      </c>
      <c r="H31" s="97">
        <v>102376.18641720551</v>
      </c>
      <c r="I31" s="97">
        <v>33169.385611421014</v>
      </c>
      <c r="J31" s="97">
        <v>64468.317147010028</v>
      </c>
      <c r="K31" s="97">
        <v>73695.890587781294</v>
      </c>
      <c r="L31" s="97">
        <v>103872.54967787114</v>
      </c>
      <c r="M31" s="97">
        <v>54991.349829461178</v>
      </c>
      <c r="N31" s="97">
        <v>60976.802872123619</v>
      </c>
      <c r="O31" s="36"/>
      <c r="P31" s="97">
        <v>115402.25998459521</v>
      </c>
      <c r="Q31" s="97">
        <v>220339.49013301107</v>
      </c>
      <c r="R31" s="97">
        <v>171333.59334621235</v>
      </c>
      <c r="S31" s="97">
        <v>219840.70237945591</v>
      </c>
      <c r="T31" s="85"/>
      <c r="U31" s="97">
        <v>726916.04584327457</v>
      </c>
    </row>
    <row r="32" spans="2:21" ht="15" customHeight="1" x14ac:dyDescent="0.2">
      <c r="B32" s="52" t="s">
        <v>14</v>
      </c>
      <c r="C32" s="82">
        <v>220722.9098961867</v>
      </c>
      <c r="D32" s="82">
        <v>268235.17864449124</v>
      </c>
      <c r="E32" s="82">
        <v>351793.12524402793</v>
      </c>
      <c r="F32" s="82">
        <v>330322.1897919334</v>
      </c>
      <c r="G32" s="82">
        <v>324586.1306260486</v>
      </c>
      <c r="H32" s="82">
        <v>563754.85845576867</v>
      </c>
      <c r="I32" s="82">
        <v>319847.6469672742</v>
      </c>
      <c r="J32" s="82">
        <v>331319.76529904385</v>
      </c>
      <c r="K32" s="82">
        <v>542431.68199128367</v>
      </c>
      <c r="L32" s="82">
        <v>486442.75665471214</v>
      </c>
      <c r="M32" s="82">
        <v>414617.32014276285</v>
      </c>
      <c r="N32" s="82">
        <v>576349.24923303747</v>
      </c>
      <c r="P32" s="82">
        <v>840751.21378470585</v>
      </c>
      <c r="Q32" s="82">
        <v>1218663.1788737508</v>
      </c>
      <c r="R32" s="82">
        <v>1193599.0942576015</v>
      </c>
      <c r="S32" s="82">
        <v>1477409.3260305123</v>
      </c>
      <c r="T32" s="79"/>
      <c r="U32" s="82"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v>168</v>
      </c>
      <c r="D34" s="86">
        <v>160</v>
      </c>
      <c r="E34" s="86">
        <v>184</v>
      </c>
      <c r="F34" s="86">
        <v>160</v>
      </c>
      <c r="G34" s="86">
        <v>184</v>
      </c>
      <c r="H34" s="86">
        <v>168</v>
      </c>
      <c r="I34" s="86">
        <v>160</v>
      </c>
      <c r="J34" s="86">
        <v>184</v>
      </c>
      <c r="K34" s="86">
        <v>160</v>
      </c>
      <c r="L34" s="86">
        <v>176</v>
      </c>
      <c r="M34" s="86">
        <v>168</v>
      </c>
      <c r="N34" s="86">
        <v>168</v>
      </c>
      <c r="O34" s="38"/>
      <c r="P34" s="86">
        <v>512</v>
      </c>
      <c r="Q34" s="86">
        <v>512</v>
      </c>
      <c r="R34" s="86">
        <v>504</v>
      </c>
      <c r="S34" s="86">
        <v>512</v>
      </c>
      <c r="T34" s="86"/>
      <c r="U34" s="86"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v>16</v>
      </c>
      <c r="D36" s="103">
        <v>16</v>
      </c>
      <c r="E36" s="103">
        <v>16</v>
      </c>
      <c r="F36" s="103">
        <v>17</v>
      </c>
      <c r="G36" s="103">
        <v>18</v>
      </c>
      <c r="H36" s="103">
        <v>18</v>
      </c>
      <c r="I36" s="103">
        <v>18</v>
      </c>
      <c r="J36" s="103">
        <v>19</v>
      </c>
      <c r="K36" s="103">
        <v>19</v>
      </c>
      <c r="L36" s="103">
        <v>19</v>
      </c>
      <c r="M36" s="103">
        <v>19</v>
      </c>
      <c r="N36" s="103">
        <v>20</v>
      </c>
      <c r="O36" s="37"/>
      <c r="P36" s="103">
        <v>16</v>
      </c>
      <c r="Q36" s="103">
        <v>17.70064874884152</v>
      </c>
      <c r="R36" s="103">
        <v>18.694915254237287</v>
      </c>
      <c r="S36" s="103">
        <v>19.339270568278202</v>
      </c>
      <c r="T36" s="87"/>
      <c r="U36" s="103">
        <v>18.038498912362567</v>
      </c>
    </row>
    <row r="37" spans="2:21" ht="15" customHeight="1" x14ac:dyDescent="0.2">
      <c r="B37" s="51" t="s">
        <v>1</v>
      </c>
      <c r="C37" s="103">
        <v>225</v>
      </c>
      <c r="D37" s="103">
        <v>225</v>
      </c>
      <c r="E37" s="103">
        <v>225</v>
      </c>
      <c r="F37" s="103">
        <v>235</v>
      </c>
      <c r="G37" s="103">
        <v>235</v>
      </c>
      <c r="H37" s="103">
        <v>235</v>
      </c>
      <c r="I37" s="103">
        <v>235</v>
      </c>
      <c r="J37" s="103">
        <v>235</v>
      </c>
      <c r="K37" s="103">
        <v>235</v>
      </c>
      <c r="L37" s="103">
        <v>235</v>
      </c>
      <c r="M37" s="103">
        <v>235</v>
      </c>
      <c r="N37" s="103">
        <v>235</v>
      </c>
      <c r="O37" s="37"/>
      <c r="P37" s="103">
        <v>225</v>
      </c>
      <c r="Q37" s="103">
        <v>235</v>
      </c>
      <c r="R37" s="103">
        <v>235</v>
      </c>
      <c r="S37" s="103">
        <v>235</v>
      </c>
      <c r="T37" s="87"/>
      <c r="U37" s="103">
        <v>232.83360380401808</v>
      </c>
    </row>
    <row r="38" spans="2:21" ht="15" customHeight="1" x14ac:dyDescent="0.2">
      <c r="B38" s="51" t="s">
        <v>2</v>
      </c>
      <c r="C38" s="103">
        <v>128</v>
      </c>
      <c r="D38" s="103">
        <v>128</v>
      </c>
      <c r="E38" s="103">
        <v>128</v>
      </c>
      <c r="F38" s="103">
        <v>136</v>
      </c>
      <c r="G38" s="103">
        <v>144</v>
      </c>
      <c r="H38" s="103">
        <v>144</v>
      </c>
      <c r="I38" s="103">
        <v>144</v>
      </c>
      <c r="J38" s="103">
        <v>152</v>
      </c>
      <c r="K38" s="103">
        <v>152</v>
      </c>
      <c r="L38" s="103">
        <v>152</v>
      </c>
      <c r="M38" s="103">
        <v>152</v>
      </c>
      <c r="N38" s="103">
        <v>160</v>
      </c>
      <c r="O38" s="38"/>
      <c r="P38" s="103">
        <v>384</v>
      </c>
      <c r="Q38" s="103">
        <v>424</v>
      </c>
      <c r="R38" s="103">
        <v>448</v>
      </c>
      <c r="S38" s="103">
        <v>464</v>
      </c>
      <c r="T38" s="86"/>
      <c r="U38" s="103">
        <v>1720</v>
      </c>
    </row>
    <row r="39" spans="2:21" ht="15" customHeight="1" x14ac:dyDescent="0.2">
      <c r="B39" s="51" t="s">
        <v>3</v>
      </c>
      <c r="C39" s="84">
        <v>0.75</v>
      </c>
      <c r="D39" s="84">
        <v>0.75</v>
      </c>
      <c r="E39" s="84">
        <v>0.75</v>
      </c>
      <c r="F39" s="84">
        <v>0.75</v>
      </c>
      <c r="G39" s="84">
        <v>0.75</v>
      </c>
      <c r="H39" s="84">
        <v>0.75</v>
      </c>
      <c r="I39" s="84">
        <v>0.75</v>
      </c>
      <c r="J39" s="84">
        <v>0.75</v>
      </c>
      <c r="K39" s="84">
        <v>0.75</v>
      </c>
      <c r="L39" s="84">
        <v>0.75</v>
      </c>
      <c r="M39" s="84">
        <v>0.75</v>
      </c>
      <c r="N39" s="84">
        <v>0.75</v>
      </c>
      <c r="P39" s="84">
        <v>0.75</v>
      </c>
      <c r="Q39" s="84">
        <v>0.75</v>
      </c>
      <c r="R39" s="84">
        <v>0.75</v>
      </c>
      <c r="S39" s="84">
        <v>0.75</v>
      </c>
      <c r="T39" s="79"/>
      <c r="U39" s="84">
        <v>0.75</v>
      </c>
    </row>
    <row r="40" spans="2:21" ht="15" customHeight="1" x14ac:dyDescent="0.2">
      <c r="B40" s="31" t="s">
        <v>6</v>
      </c>
      <c r="C40" s="104">
        <v>0.625</v>
      </c>
      <c r="D40" s="104">
        <v>0.625</v>
      </c>
      <c r="E40" s="104">
        <v>0.625</v>
      </c>
      <c r="F40" s="104">
        <v>0.625</v>
      </c>
      <c r="G40" s="104">
        <v>0.625</v>
      </c>
      <c r="H40" s="104">
        <v>0.625</v>
      </c>
      <c r="I40" s="104">
        <v>0.625</v>
      </c>
      <c r="J40" s="104">
        <v>0.625</v>
      </c>
      <c r="K40" s="104">
        <v>0.625</v>
      </c>
      <c r="L40" s="104">
        <v>0.625</v>
      </c>
      <c r="M40" s="104">
        <v>0.625</v>
      </c>
      <c r="N40" s="104">
        <v>0.625</v>
      </c>
      <c r="P40" s="104">
        <v>0.625</v>
      </c>
      <c r="Q40" s="104">
        <v>0.625</v>
      </c>
      <c r="R40" s="104">
        <v>0.625</v>
      </c>
      <c r="S40" s="104">
        <v>0.625</v>
      </c>
      <c r="T40" s="79"/>
      <c r="U40" s="104">
        <v>0.625</v>
      </c>
    </row>
    <row r="41" spans="2:21" ht="15" customHeight="1" x14ac:dyDescent="0.2">
      <c r="B41" s="52" t="s">
        <v>25</v>
      </c>
      <c r="C41" s="82">
        <v>360000</v>
      </c>
      <c r="D41" s="82">
        <v>342000</v>
      </c>
      <c r="E41" s="82">
        <v>396000</v>
      </c>
      <c r="F41" s="82">
        <v>379525</v>
      </c>
      <c r="G41" s="82">
        <v>465300</v>
      </c>
      <c r="H41" s="82">
        <v>423000</v>
      </c>
      <c r="I41" s="82">
        <v>401850</v>
      </c>
      <c r="J41" s="82">
        <v>491150</v>
      </c>
      <c r="K41" s="82">
        <v>424175</v>
      </c>
      <c r="L41" s="82">
        <v>468825</v>
      </c>
      <c r="M41" s="82">
        <v>446500</v>
      </c>
      <c r="N41" s="82">
        <v>470000</v>
      </c>
      <c r="P41" s="82">
        <v>1098000</v>
      </c>
      <c r="Q41" s="82">
        <v>1267825</v>
      </c>
      <c r="R41" s="82">
        <v>1317175</v>
      </c>
      <c r="S41" s="82">
        <v>1385325</v>
      </c>
      <c r="T41" s="79"/>
      <c r="U41" s="82"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v>5</v>
      </c>
      <c r="D43" s="103">
        <v>5</v>
      </c>
      <c r="E43" s="103">
        <v>5</v>
      </c>
      <c r="F43" s="103">
        <v>6</v>
      </c>
      <c r="G43" s="103">
        <v>6</v>
      </c>
      <c r="H43" s="103">
        <v>6</v>
      </c>
      <c r="I43" s="103">
        <v>6</v>
      </c>
      <c r="J43" s="103">
        <v>6</v>
      </c>
      <c r="K43" s="103">
        <v>6</v>
      </c>
      <c r="L43" s="103">
        <v>7</v>
      </c>
      <c r="M43" s="103">
        <v>7</v>
      </c>
      <c r="N43" s="103">
        <v>7</v>
      </c>
      <c r="P43" s="103">
        <v>5</v>
      </c>
      <c r="Q43" s="103">
        <v>6</v>
      </c>
      <c r="R43" s="103">
        <v>6</v>
      </c>
      <c r="S43" s="103">
        <v>7</v>
      </c>
      <c r="T43" s="87"/>
      <c r="U43" s="103">
        <v>6.0906966864910794</v>
      </c>
    </row>
    <row r="44" spans="2:21" ht="15" customHeight="1" x14ac:dyDescent="0.2">
      <c r="B44" s="51" t="s">
        <v>5</v>
      </c>
      <c r="C44" s="103">
        <v>315</v>
      </c>
      <c r="D44" s="103">
        <v>315</v>
      </c>
      <c r="E44" s="103">
        <v>315</v>
      </c>
      <c r="F44" s="103">
        <v>325</v>
      </c>
      <c r="G44" s="103">
        <v>325</v>
      </c>
      <c r="H44" s="103">
        <v>325</v>
      </c>
      <c r="I44" s="103">
        <v>325</v>
      </c>
      <c r="J44" s="103">
        <v>325</v>
      </c>
      <c r="K44" s="103">
        <v>325</v>
      </c>
      <c r="L44" s="103">
        <v>325</v>
      </c>
      <c r="M44" s="103">
        <v>325</v>
      </c>
      <c r="N44" s="103">
        <v>325</v>
      </c>
      <c r="P44" s="103">
        <v>315</v>
      </c>
      <c r="Q44" s="103">
        <v>325</v>
      </c>
      <c r="R44" s="103">
        <v>325</v>
      </c>
      <c r="S44" s="103">
        <v>325</v>
      </c>
      <c r="T44" s="87"/>
      <c r="U44" s="103">
        <v>322.95932455395069</v>
      </c>
    </row>
    <row r="45" spans="2:21" ht="15" customHeight="1" x14ac:dyDescent="0.2">
      <c r="B45" s="51" t="s">
        <v>2</v>
      </c>
      <c r="C45" s="103">
        <v>40</v>
      </c>
      <c r="D45" s="103">
        <v>40</v>
      </c>
      <c r="E45" s="103">
        <v>40</v>
      </c>
      <c r="F45" s="103">
        <v>48</v>
      </c>
      <c r="G45" s="103">
        <v>48</v>
      </c>
      <c r="H45" s="103">
        <v>48</v>
      </c>
      <c r="I45" s="103">
        <v>48</v>
      </c>
      <c r="J45" s="103">
        <v>48</v>
      </c>
      <c r="K45" s="103">
        <v>48</v>
      </c>
      <c r="L45" s="103">
        <v>56</v>
      </c>
      <c r="M45" s="103">
        <v>56</v>
      </c>
      <c r="N45" s="103">
        <v>56</v>
      </c>
      <c r="P45" s="103">
        <v>120</v>
      </c>
      <c r="Q45" s="103">
        <v>144</v>
      </c>
      <c r="R45" s="103">
        <v>144</v>
      </c>
      <c r="S45" s="103">
        <v>168</v>
      </c>
      <c r="T45" s="86"/>
      <c r="U45" s="103">
        <v>576</v>
      </c>
    </row>
    <row r="46" spans="2:21" ht="15" customHeight="1" x14ac:dyDescent="0.2">
      <c r="B46" s="31" t="s">
        <v>6</v>
      </c>
      <c r="C46" s="104">
        <v>0.375</v>
      </c>
      <c r="D46" s="104">
        <v>0.375</v>
      </c>
      <c r="E46" s="104">
        <v>0.375</v>
      </c>
      <c r="F46" s="104">
        <v>0.375</v>
      </c>
      <c r="G46" s="104">
        <v>0.375</v>
      </c>
      <c r="H46" s="104">
        <v>0.375</v>
      </c>
      <c r="I46" s="104">
        <v>0.375</v>
      </c>
      <c r="J46" s="104">
        <v>0.375</v>
      </c>
      <c r="K46" s="104">
        <v>0.375</v>
      </c>
      <c r="L46" s="104">
        <v>0.375</v>
      </c>
      <c r="M46" s="104">
        <v>0.375</v>
      </c>
      <c r="N46" s="104">
        <v>0.375</v>
      </c>
      <c r="P46" s="104">
        <v>0.375</v>
      </c>
      <c r="Q46" s="104">
        <v>0.375</v>
      </c>
      <c r="R46" s="104">
        <v>0.375</v>
      </c>
      <c r="S46" s="104">
        <v>0.375</v>
      </c>
      <c r="T46" s="79"/>
      <c r="U46" s="104">
        <v>0.375</v>
      </c>
    </row>
    <row r="47" spans="2:21" ht="15" customHeight="1" x14ac:dyDescent="0.2">
      <c r="B47" s="52" t="s">
        <v>25</v>
      </c>
      <c r="C47" s="82">
        <v>94500</v>
      </c>
      <c r="D47" s="82">
        <v>89775</v>
      </c>
      <c r="E47" s="82">
        <v>103950</v>
      </c>
      <c r="F47" s="82">
        <v>111150</v>
      </c>
      <c r="G47" s="82">
        <v>128700</v>
      </c>
      <c r="H47" s="82">
        <v>117000</v>
      </c>
      <c r="I47" s="82">
        <v>111150</v>
      </c>
      <c r="J47" s="82">
        <v>128700</v>
      </c>
      <c r="K47" s="82">
        <v>111150</v>
      </c>
      <c r="L47" s="82">
        <v>143325</v>
      </c>
      <c r="M47" s="82">
        <v>136500</v>
      </c>
      <c r="N47" s="82">
        <v>136500</v>
      </c>
      <c r="P47" s="82">
        <v>288225</v>
      </c>
      <c r="Q47" s="82">
        <v>356850</v>
      </c>
      <c r="R47" s="82">
        <v>351000</v>
      </c>
      <c r="S47" s="82">
        <v>416325</v>
      </c>
      <c r="T47" s="79"/>
      <c r="U47" s="82"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v>0</v>
      </c>
      <c r="D50" s="96">
        <v>153190.23301159657</v>
      </c>
      <c r="E50" s="96">
        <v>169090.83155475667</v>
      </c>
      <c r="F50" s="96">
        <v>265251.83996901853</v>
      </c>
      <c r="G50" s="96">
        <v>163427.07720225363</v>
      </c>
      <c r="H50" s="96">
        <v>188303.63798161977</v>
      </c>
      <c r="I50" s="96">
        <v>277544.04009253083</v>
      </c>
      <c r="J50" s="96">
        <v>235773.56834553348</v>
      </c>
      <c r="K50" s="96">
        <v>204711.9448518455</v>
      </c>
      <c r="L50" s="96">
        <v>273062.85140419292</v>
      </c>
      <c r="M50" s="96">
        <v>194727.24305957937</v>
      </c>
      <c r="N50" s="96">
        <v>241311.15892998144</v>
      </c>
      <c r="P50" s="96">
        <v>322281.06456635322</v>
      </c>
      <c r="Q50" s="96">
        <v>616982.5551528919</v>
      </c>
      <c r="R50" s="96">
        <v>718029.55328990985</v>
      </c>
      <c r="S50" s="96">
        <v>709101.25339375366</v>
      </c>
      <c r="T50" s="79"/>
      <c r="U50" s="96">
        <v>2366394.4264029087</v>
      </c>
    </row>
    <row r="51" spans="2:21" ht="15" customHeight="1" x14ac:dyDescent="0.2">
      <c r="B51" s="55" t="s">
        <v>67</v>
      </c>
      <c r="C51" s="96">
        <v>5500000</v>
      </c>
      <c r="D51" s="96">
        <v>5458749.9999999991</v>
      </c>
      <c r="E51" s="96">
        <v>5417809.3749999991</v>
      </c>
      <c r="F51" s="96">
        <v>5377175.8046874991</v>
      </c>
      <c r="G51" s="96">
        <v>5336846.9861523435</v>
      </c>
      <c r="H51" s="96">
        <v>5296820.6337562008</v>
      </c>
      <c r="I51" s="96">
        <v>5257094.4790030289</v>
      </c>
      <c r="J51" s="96">
        <v>5217666.2704105061</v>
      </c>
      <c r="K51" s="96">
        <v>5178533.7733824272</v>
      </c>
      <c r="L51" s="96">
        <v>5139694.7700820584</v>
      </c>
      <c r="M51" s="96">
        <v>5101147.0593064427</v>
      </c>
      <c r="N51" s="96">
        <v>5062888.456361644</v>
      </c>
      <c r="P51" s="96">
        <v>16376559.375</v>
      </c>
      <c r="Q51" s="96">
        <v>16010843.424596045</v>
      </c>
      <c r="R51" s="96">
        <v>15653294.522795962</v>
      </c>
      <c r="S51" s="96">
        <v>15303730.285750145</v>
      </c>
      <c r="T51" s="79"/>
      <c r="U51" s="96">
        <v>63344427.608142152</v>
      </c>
    </row>
    <row r="52" spans="2:21" ht="15" customHeight="1" x14ac:dyDescent="0.2">
      <c r="B52" s="105" t="s">
        <v>70</v>
      </c>
      <c r="C52" s="81">
        <v>2530000</v>
      </c>
      <c r="D52" s="81">
        <v>2511024.9999999995</v>
      </c>
      <c r="E52" s="81">
        <v>2492192.3124999995</v>
      </c>
      <c r="F52" s="81">
        <v>2473500.8701562495</v>
      </c>
      <c r="G52" s="81">
        <v>2454949.6136300783</v>
      </c>
      <c r="H52" s="81">
        <v>2436537.4915278526</v>
      </c>
      <c r="I52" s="81">
        <v>2418263.4603413935</v>
      </c>
      <c r="J52" s="81">
        <v>2400126.4843888329</v>
      </c>
      <c r="K52" s="81">
        <v>2382125.5357559165</v>
      </c>
      <c r="L52" s="81">
        <v>2364259.5942377471</v>
      </c>
      <c r="M52" s="81">
        <v>2346527.6472809636</v>
      </c>
      <c r="N52" s="81">
        <v>2328928.6899263565</v>
      </c>
      <c r="P52" s="81">
        <v>7533217.3125</v>
      </c>
      <c r="Q52" s="81">
        <v>7364987.9753141804</v>
      </c>
      <c r="R52" s="81">
        <v>7200515.4804861424</v>
      </c>
      <c r="S52" s="81">
        <v>7039715.9314450677</v>
      </c>
      <c r="T52" s="79"/>
      <c r="U52" s="81">
        <v>29138436.699745394</v>
      </c>
    </row>
    <row r="53" spans="2:21" ht="15" customHeight="1" x14ac:dyDescent="0.2">
      <c r="B53" s="105" t="s">
        <v>71</v>
      </c>
      <c r="C53" s="81">
        <v>2420000</v>
      </c>
      <c r="D53" s="81">
        <v>2401849.9999999995</v>
      </c>
      <c r="E53" s="81">
        <v>2383836.1249999995</v>
      </c>
      <c r="F53" s="81">
        <v>2365957.3540624995</v>
      </c>
      <c r="G53" s="81">
        <v>2348212.6739070313</v>
      </c>
      <c r="H53" s="81">
        <v>2330601.0788527285</v>
      </c>
      <c r="I53" s="81">
        <v>2313121.5707613328</v>
      </c>
      <c r="J53" s="81">
        <v>2295773.1589806229</v>
      </c>
      <c r="K53" s="81">
        <v>2278554.860288268</v>
      </c>
      <c r="L53" s="81">
        <v>2261465.6988361059</v>
      </c>
      <c r="M53" s="81">
        <v>2244504.706094835</v>
      </c>
      <c r="N53" s="81">
        <v>2227670.9207991236</v>
      </c>
      <c r="P53" s="81">
        <v>7205686.125</v>
      </c>
      <c r="Q53" s="81">
        <v>7044771.1068222597</v>
      </c>
      <c r="R53" s="81">
        <v>6887449.5900302231</v>
      </c>
      <c r="S53" s="81">
        <v>6733641.3257300649</v>
      </c>
      <c r="T53" s="79"/>
      <c r="U53" s="81">
        <v>27871548.147582546</v>
      </c>
    </row>
    <row r="54" spans="2:21" ht="15" customHeight="1" x14ac:dyDescent="0.2">
      <c r="B54" s="105" t="s">
        <v>72</v>
      </c>
      <c r="C54" s="81">
        <v>385000.00000000006</v>
      </c>
      <c r="D54" s="81">
        <v>382112.5</v>
      </c>
      <c r="E54" s="81">
        <v>379246.65625</v>
      </c>
      <c r="F54" s="81">
        <v>376402.30632812495</v>
      </c>
      <c r="G54" s="81">
        <v>373579.28903066408</v>
      </c>
      <c r="H54" s="81">
        <v>370777.4443629341</v>
      </c>
      <c r="I54" s="81">
        <v>367996.61353021208</v>
      </c>
      <c r="J54" s="81">
        <v>365236.63892873545</v>
      </c>
      <c r="K54" s="81">
        <v>362497.36413676996</v>
      </c>
      <c r="L54" s="81">
        <v>359778.63390574412</v>
      </c>
      <c r="M54" s="81">
        <v>357080.29415145103</v>
      </c>
      <c r="N54" s="81">
        <v>354402.19194531511</v>
      </c>
      <c r="P54" s="81">
        <v>1146359.15625</v>
      </c>
      <c r="Q54" s="81">
        <v>1120759.0397217232</v>
      </c>
      <c r="R54" s="81">
        <v>1095730.6165957174</v>
      </c>
      <c r="S54" s="81">
        <v>1071261.1200025103</v>
      </c>
      <c r="T54" s="79"/>
      <c r="U54" s="81">
        <v>4434109.9325699508</v>
      </c>
    </row>
    <row r="55" spans="2:21" ht="15" customHeight="1" x14ac:dyDescent="0.2">
      <c r="B55" s="105" t="s">
        <v>73</v>
      </c>
      <c r="C55" s="81">
        <v>165000</v>
      </c>
      <c r="D55" s="81">
        <v>163762.49999999997</v>
      </c>
      <c r="E55" s="81">
        <v>162534.28124999997</v>
      </c>
      <c r="F55" s="81">
        <v>161315.27414062497</v>
      </c>
      <c r="G55" s="81">
        <v>160105.4095845703</v>
      </c>
      <c r="H55" s="81">
        <v>158904.61901268602</v>
      </c>
      <c r="I55" s="81">
        <v>157712.83437009086</v>
      </c>
      <c r="J55" s="81">
        <v>156529.98811231519</v>
      </c>
      <c r="K55" s="81">
        <v>155356.01320147282</v>
      </c>
      <c r="L55" s="81">
        <v>154190.84310246175</v>
      </c>
      <c r="M55" s="81">
        <v>153034.41177919327</v>
      </c>
      <c r="N55" s="81">
        <v>151886.65369084931</v>
      </c>
      <c r="P55" s="81">
        <v>491296.78125</v>
      </c>
      <c r="Q55" s="81">
        <v>480325.30273788125</v>
      </c>
      <c r="R55" s="81">
        <v>469598.83568387886</v>
      </c>
      <c r="S55" s="81">
        <v>459111.9085725043</v>
      </c>
      <c r="T55" s="79"/>
      <c r="U55" s="81">
        <v>1900332.8282442642</v>
      </c>
    </row>
    <row r="56" spans="2:21" ht="15" customHeight="1" x14ac:dyDescent="0.2">
      <c r="B56" s="55" t="s">
        <v>68</v>
      </c>
      <c r="C56" s="107">
        <v>454500</v>
      </c>
      <c r="D56" s="107">
        <v>431775</v>
      </c>
      <c r="E56" s="107">
        <v>499950</v>
      </c>
      <c r="F56" s="107">
        <v>490675</v>
      </c>
      <c r="G56" s="107">
        <v>594000</v>
      </c>
      <c r="H56" s="107">
        <v>540000</v>
      </c>
      <c r="I56" s="107">
        <v>513000</v>
      </c>
      <c r="J56" s="107">
        <v>619850</v>
      </c>
      <c r="K56" s="107">
        <v>535325</v>
      </c>
      <c r="L56" s="107">
        <v>612150</v>
      </c>
      <c r="M56" s="107">
        <v>583000</v>
      </c>
      <c r="N56" s="107">
        <v>606500</v>
      </c>
      <c r="P56" s="107">
        <v>1386225</v>
      </c>
      <c r="Q56" s="107">
        <v>1624675</v>
      </c>
      <c r="R56" s="107">
        <v>1668175</v>
      </c>
      <c r="S56" s="107">
        <v>1801650</v>
      </c>
      <c r="T56" s="79"/>
      <c r="U56" s="107">
        <v>6480725</v>
      </c>
    </row>
    <row r="57" spans="2:21" ht="15" customHeight="1" x14ac:dyDescent="0.2">
      <c r="B57" s="105" t="s">
        <v>22</v>
      </c>
      <c r="C57" s="27">
        <v>360000</v>
      </c>
      <c r="D57" s="27">
        <v>342000</v>
      </c>
      <c r="E57" s="27">
        <v>396000</v>
      </c>
      <c r="F57" s="27">
        <v>379525</v>
      </c>
      <c r="G57" s="27">
        <v>465300</v>
      </c>
      <c r="H57" s="27">
        <v>423000</v>
      </c>
      <c r="I57" s="27">
        <v>401850</v>
      </c>
      <c r="J57" s="27">
        <v>491150</v>
      </c>
      <c r="K57" s="27">
        <v>424175</v>
      </c>
      <c r="L57" s="27">
        <v>468825</v>
      </c>
      <c r="M57" s="27">
        <v>446500</v>
      </c>
      <c r="N57" s="27">
        <v>470000</v>
      </c>
      <c r="P57" s="27">
        <v>1098000</v>
      </c>
      <c r="Q57" s="27">
        <v>1267825</v>
      </c>
      <c r="R57" s="27">
        <v>1317175</v>
      </c>
      <c r="S57" s="27">
        <v>1385325</v>
      </c>
      <c r="T57" s="79"/>
      <c r="U57" s="27">
        <v>5068325</v>
      </c>
    </row>
    <row r="58" spans="2:21" ht="15" customHeight="1" x14ac:dyDescent="0.2">
      <c r="B58" s="69" t="s">
        <v>23</v>
      </c>
      <c r="C58" s="106">
        <v>94500</v>
      </c>
      <c r="D58" s="106">
        <v>89775</v>
      </c>
      <c r="E58" s="106">
        <v>103950</v>
      </c>
      <c r="F58" s="106">
        <v>111150</v>
      </c>
      <c r="G58" s="106">
        <v>128700</v>
      </c>
      <c r="H58" s="106">
        <v>117000</v>
      </c>
      <c r="I58" s="106">
        <v>111150</v>
      </c>
      <c r="J58" s="106">
        <v>128700</v>
      </c>
      <c r="K58" s="106">
        <v>111150</v>
      </c>
      <c r="L58" s="106">
        <v>143325</v>
      </c>
      <c r="M58" s="106">
        <v>136500</v>
      </c>
      <c r="N58" s="106">
        <v>136500</v>
      </c>
      <c r="P58" s="106">
        <v>288225</v>
      </c>
      <c r="Q58" s="106">
        <v>356850</v>
      </c>
      <c r="R58" s="106">
        <v>351000</v>
      </c>
      <c r="S58" s="106">
        <v>416325</v>
      </c>
      <c r="T58" s="79"/>
      <c r="U58" s="106">
        <v>1412400</v>
      </c>
    </row>
    <row r="59" spans="2:21" ht="15" customHeight="1" x14ac:dyDescent="0.2">
      <c r="B59" s="52" t="s">
        <v>69</v>
      </c>
      <c r="C59" s="28">
        <v>5954500</v>
      </c>
      <c r="D59" s="28">
        <v>6043715.2330115959</v>
      </c>
      <c r="E59" s="28">
        <v>6086850.2065547556</v>
      </c>
      <c r="F59" s="28">
        <v>6133102.6446565175</v>
      </c>
      <c r="G59" s="28">
        <v>6094274.0633545974</v>
      </c>
      <c r="H59" s="28">
        <v>6025124.2717378205</v>
      </c>
      <c r="I59" s="28">
        <v>6047638.5190955596</v>
      </c>
      <c r="J59" s="28">
        <v>6073289.8387560397</v>
      </c>
      <c r="K59" s="28">
        <v>5918570.7182342727</v>
      </c>
      <c r="L59" s="28">
        <v>6024907.6214862512</v>
      </c>
      <c r="M59" s="28">
        <v>5878874.302366022</v>
      </c>
      <c r="N59" s="28">
        <v>5910699.6152916253</v>
      </c>
      <c r="P59" s="28">
        <v>18085065.439566351</v>
      </c>
      <c r="Q59" s="28">
        <v>18252500.979748935</v>
      </c>
      <c r="R59" s="28">
        <v>18039499.076085873</v>
      </c>
      <c r="S59" s="28">
        <v>17814481.539143898</v>
      </c>
      <c r="T59" s="79"/>
      <c r="U59" s="28">
        <v>72191547.034545064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v>357270</v>
      </c>
      <c r="D62" s="26">
        <v>362622.91398069577</v>
      </c>
      <c r="E62" s="26">
        <v>365211.01239328535</v>
      </c>
      <c r="F62" s="26">
        <v>367986.15867939102</v>
      </c>
      <c r="G62" s="26">
        <v>365656.4438012758</v>
      </c>
      <c r="H62" s="26">
        <v>361507.4563042692</v>
      </c>
      <c r="I62" s="26">
        <v>362858.31114573358</v>
      </c>
      <c r="J62" s="26">
        <v>364397.39032536239</v>
      </c>
      <c r="K62" s="26">
        <v>355114.24309405632</v>
      </c>
      <c r="L62" s="26">
        <v>361494.45728917507</v>
      </c>
      <c r="M62" s="26">
        <v>352732.45814196131</v>
      </c>
      <c r="N62" s="26">
        <v>354641.97691749752</v>
      </c>
      <c r="P62" s="26">
        <v>1085103.9263739812</v>
      </c>
      <c r="Q62" s="26">
        <v>1095150.0587849361</v>
      </c>
      <c r="R62" s="26">
        <v>1082369.9445651523</v>
      </c>
      <c r="S62" s="26">
        <v>1068868.8923486338</v>
      </c>
      <c r="T62" s="79"/>
      <c r="U62" s="26">
        <v>4331492.8220727034</v>
      </c>
    </row>
    <row r="63" spans="2:21" ht="15" customHeight="1" x14ac:dyDescent="0.2">
      <c r="B63" s="57" t="s">
        <v>45</v>
      </c>
      <c r="C63" s="26">
        <v>238180</v>
      </c>
      <c r="D63" s="26">
        <v>241748.60932046385</v>
      </c>
      <c r="E63" s="26">
        <v>243474.00826219024</v>
      </c>
      <c r="F63" s="26">
        <v>245324.10578626071</v>
      </c>
      <c r="G63" s="26">
        <v>243770.9625341839</v>
      </c>
      <c r="H63" s="26">
        <v>241004.97086951282</v>
      </c>
      <c r="I63" s="26">
        <v>241905.54076382238</v>
      </c>
      <c r="J63" s="26">
        <v>242931.59355024158</v>
      </c>
      <c r="K63" s="26">
        <v>236742.8287293709</v>
      </c>
      <c r="L63" s="26">
        <v>240996.30485945006</v>
      </c>
      <c r="M63" s="26">
        <v>235154.97209464089</v>
      </c>
      <c r="N63" s="26">
        <v>236427.98461166502</v>
      </c>
      <c r="P63" s="26">
        <v>723402.61758265411</v>
      </c>
      <c r="Q63" s="26">
        <v>730100.03918995743</v>
      </c>
      <c r="R63" s="26">
        <v>721579.96304343478</v>
      </c>
      <c r="S63" s="26">
        <v>712579.26156575594</v>
      </c>
      <c r="T63" s="79"/>
      <c r="U63" s="26">
        <v>2887661.8813818023</v>
      </c>
    </row>
    <row r="64" spans="2:21" ht="15" customHeight="1" x14ac:dyDescent="0.2">
      <c r="B64" s="57" t="s">
        <v>74</v>
      </c>
      <c r="C64" s="26">
        <v>244134.5</v>
      </c>
      <c r="D64" s="26">
        <v>247792.32455347545</v>
      </c>
      <c r="E64" s="26">
        <v>249560.85846874499</v>
      </c>
      <c r="F64" s="26">
        <v>251457.20843091724</v>
      </c>
      <c r="G64" s="26">
        <v>249865.23659753852</v>
      </c>
      <c r="H64" s="26">
        <v>247030.09514125064</v>
      </c>
      <c r="I64" s="26">
        <v>247953.17928291796</v>
      </c>
      <c r="J64" s="26">
        <v>249004.88338899764</v>
      </c>
      <c r="K64" s="26">
        <v>242661.39944760519</v>
      </c>
      <c r="L64" s="26">
        <v>247021.21248093632</v>
      </c>
      <c r="M64" s="26">
        <v>241033.84639700691</v>
      </c>
      <c r="N64" s="26">
        <v>242338.68422695666</v>
      </c>
      <c r="P64" s="26">
        <v>741487.6830222205</v>
      </c>
      <c r="Q64" s="26">
        <v>748352.54016970634</v>
      </c>
      <c r="R64" s="26">
        <v>739619.46211952087</v>
      </c>
      <c r="S64" s="26">
        <v>730393.74310489988</v>
      </c>
      <c r="T64" s="79"/>
      <c r="U64" s="26">
        <v>2959853.4284163476</v>
      </c>
    </row>
    <row r="65" spans="2:21" ht="15" customHeight="1" x14ac:dyDescent="0.2">
      <c r="B65" s="89" t="s">
        <v>75</v>
      </c>
      <c r="C65" s="32">
        <v>267952.5</v>
      </c>
      <c r="D65" s="32">
        <v>271967.1854855218</v>
      </c>
      <c r="E65" s="32">
        <v>273908.25929496397</v>
      </c>
      <c r="F65" s="32">
        <v>275989.61900954327</v>
      </c>
      <c r="G65" s="32">
        <v>274242.33285095688</v>
      </c>
      <c r="H65" s="32">
        <v>271130.59222820192</v>
      </c>
      <c r="I65" s="32">
        <v>272143.73335930018</v>
      </c>
      <c r="J65" s="32">
        <v>273298.0427440218</v>
      </c>
      <c r="K65" s="32">
        <v>266335.68232054228</v>
      </c>
      <c r="L65" s="32">
        <v>271120.84296688129</v>
      </c>
      <c r="M65" s="32">
        <v>264549.34360647097</v>
      </c>
      <c r="N65" s="32">
        <v>265981.48268812313</v>
      </c>
      <c r="P65" s="32">
        <v>813827.9447804857</v>
      </c>
      <c r="Q65" s="32">
        <v>821362.54408870207</v>
      </c>
      <c r="R65" s="32">
        <v>811777.45842386421</v>
      </c>
      <c r="S65" s="32">
        <v>801651.66926147533</v>
      </c>
      <c r="T65" s="79"/>
      <c r="U65" s="32">
        <v>3248619.6165545275</v>
      </c>
    </row>
    <row r="66" spans="2:21" ht="15" customHeight="1" x14ac:dyDescent="0.2">
      <c r="B66" s="52" t="s">
        <v>46</v>
      </c>
      <c r="C66" s="28">
        <v>1107537</v>
      </c>
      <c r="D66" s="28">
        <v>1124131.033340157</v>
      </c>
      <c r="E66" s="28">
        <v>1132154.1384191846</v>
      </c>
      <c r="F66" s="28">
        <v>1140757.0919061122</v>
      </c>
      <c r="G66" s="28">
        <v>1133534.9757839551</v>
      </c>
      <c r="H66" s="28">
        <v>1120673.1145432345</v>
      </c>
      <c r="I66" s="28">
        <v>1124860.7645517741</v>
      </c>
      <c r="J66" s="28">
        <v>1129631.9100086235</v>
      </c>
      <c r="K66" s="28">
        <v>1100854.1535915746</v>
      </c>
      <c r="L66" s="28">
        <v>1120632.8175964428</v>
      </c>
      <c r="M66" s="28">
        <v>1093470.6202400802</v>
      </c>
      <c r="N66" s="28">
        <v>1099390.1284442423</v>
      </c>
      <c r="P66" s="28">
        <v>3363822.1717593418</v>
      </c>
      <c r="Q66" s="28">
        <v>3394965.1822333015</v>
      </c>
      <c r="R66" s="28">
        <v>3355346.8281519725</v>
      </c>
      <c r="S66" s="28">
        <v>3313493.5662807655</v>
      </c>
      <c r="T66" s="79"/>
      <c r="U66" s="28">
        <v>13427627.748425381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v>45360</v>
      </c>
      <c r="D68" s="26">
        <v>43200</v>
      </c>
      <c r="E68" s="26">
        <v>49680</v>
      </c>
      <c r="F68" s="26">
        <v>47940</v>
      </c>
      <c r="G68" s="26">
        <v>58374</v>
      </c>
      <c r="H68" s="26">
        <v>53298</v>
      </c>
      <c r="I68" s="26">
        <v>50760</v>
      </c>
      <c r="J68" s="26">
        <v>61617</v>
      </c>
      <c r="K68" s="26">
        <v>53580</v>
      </c>
      <c r="L68" s="26">
        <v>58938</v>
      </c>
      <c r="M68" s="26">
        <v>56259</v>
      </c>
      <c r="N68" s="26">
        <v>59220</v>
      </c>
      <c r="P68" s="26">
        <v>138240</v>
      </c>
      <c r="Q68" s="26">
        <v>159612</v>
      </c>
      <c r="R68" s="26">
        <v>165957</v>
      </c>
      <c r="S68" s="26">
        <v>174417</v>
      </c>
      <c r="T68" s="79"/>
      <c r="U68" s="26">
        <v>638226</v>
      </c>
    </row>
    <row r="69" spans="2:21" ht="15" customHeight="1" x14ac:dyDescent="0.2">
      <c r="B69" s="57" t="s">
        <v>77</v>
      </c>
      <c r="C69" s="26">
        <v>34398</v>
      </c>
      <c r="D69" s="26">
        <v>32760.000000000004</v>
      </c>
      <c r="E69" s="26">
        <v>37674</v>
      </c>
      <c r="F69" s="26">
        <v>40560</v>
      </c>
      <c r="G69" s="26">
        <v>46644</v>
      </c>
      <c r="H69" s="26">
        <v>42588</v>
      </c>
      <c r="I69" s="26">
        <v>40560</v>
      </c>
      <c r="J69" s="26">
        <v>46644</v>
      </c>
      <c r="K69" s="26">
        <v>40560</v>
      </c>
      <c r="L69" s="26">
        <v>52052</v>
      </c>
      <c r="M69" s="26">
        <v>49686</v>
      </c>
      <c r="N69" s="26">
        <v>49686</v>
      </c>
      <c r="P69" s="26">
        <v>104832</v>
      </c>
      <c r="Q69" s="26">
        <v>129792</v>
      </c>
      <c r="R69" s="26">
        <v>127764</v>
      </c>
      <c r="S69" s="26">
        <v>151424</v>
      </c>
      <c r="T69" s="79"/>
      <c r="U69" s="26">
        <v>513812</v>
      </c>
    </row>
    <row r="70" spans="2:21" ht="15" customHeight="1" x14ac:dyDescent="0.2">
      <c r="B70" s="89" t="s">
        <v>27</v>
      </c>
      <c r="C70" s="32">
        <v>18382.827961391591</v>
      </c>
      <c r="D70" s="32">
        <v>20290.899786570801</v>
      </c>
      <c r="E70" s="32">
        <v>31830.220796282229</v>
      </c>
      <c r="F70" s="32">
        <v>19611.249264270435</v>
      </c>
      <c r="G70" s="32">
        <v>22596.436557794372</v>
      </c>
      <c r="H70" s="32">
        <v>33305.284811103702</v>
      </c>
      <c r="I70" s="32">
        <v>28292.828201464021</v>
      </c>
      <c r="J70" s="32">
        <v>24565.433382221461</v>
      </c>
      <c r="K70" s="32">
        <v>32767.542168503154</v>
      </c>
      <c r="L70" s="32">
        <v>23367.269167149523</v>
      </c>
      <c r="M70" s="32">
        <v>28957.339071597773</v>
      </c>
      <c r="N70" s="32">
        <v>31005.054876025319</v>
      </c>
      <c r="P70" s="32">
        <v>70503.948544244617</v>
      </c>
      <c r="Q70" s="32">
        <v>75512.970633168501</v>
      </c>
      <c r="R70" s="32">
        <v>85625.803752188629</v>
      </c>
      <c r="S70" s="32">
        <v>83329.663114772615</v>
      </c>
      <c r="T70" s="79"/>
      <c r="U70" s="32">
        <v>314972.38604437432</v>
      </c>
    </row>
    <row r="71" spans="2:21" ht="15" customHeight="1" x14ac:dyDescent="0.2">
      <c r="B71" s="52" t="s">
        <v>24</v>
      </c>
      <c r="C71" s="28">
        <v>98140.827961391595</v>
      </c>
      <c r="D71" s="28">
        <v>96250.899786570808</v>
      </c>
      <c r="E71" s="28">
        <v>119184.22079628223</v>
      </c>
      <c r="F71" s="28">
        <v>108111.24926427043</v>
      </c>
      <c r="G71" s="28">
        <v>127614.43655779437</v>
      </c>
      <c r="H71" s="28">
        <v>129191.2848111037</v>
      </c>
      <c r="I71" s="28">
        <v>119612.82820146403</v>
      </c>
      <c r="J71" s="28">
        <v>132826.43338222147</v>
      </c>
      <c r="K71" s="28">
        <v>126907.54216850316</v>
      </c>
      <c r="L71" s="28">
        <v>134357.26916714953</v>
      </c>
      <c r="M71" s="28">
        <v>134902.33907159779</v>
      </c>
      <c r="N71" s="28">
        <v>139911.05487602533</v>
      </c>
      <c r="P71" s="28">
        <v>313575.94854424463</v>
      </c>
      <c r="Q71" s="28">
        <v>364916.97063316853</v>
      </c>
      <c r="R71" s="28">
        <v>379346.80375218869</v>
      </c>
      <c r="S71" s="28">
        <v>409170.66311477264</v>
      </c>
      <c r="T71" s="79"/>
      <c r="U71" s="28">
        <v>1467010.3860443747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v>4748822.1720386082</v>
      </c>
      <c r="D73" s="28">
        <v>4823333.2998848679</v>
      </c>
      <c r="E73" s="28">
        <v>4835511.8473392883</v>
      </c>
      <c r="F73" s="28">
        <v>4884234.3034861349</v>
      </c>
      <c r="G73" s="28">
        <v>4833124.6510128481</v>
      </c>
      <c r="H73" s="28">
        <v>4775259.8723834828</v>
      </c>
      <c r="I73" s="28">
        <v>4803164.9263423206</v>
      </c>
      <c r="J73" s="28">
        <v>4810831.495365195</v>
      </c>
      <c r="K73" s="28">
        <v>4690809.0224741939</v>
      </c>
      <c r="L73" s="28">
        <v>4769917.5347226588</v>
      </c>
      <c r="M73" s="28">
        <v>4650501.3430543439</v>
      </c>
      <c r="N73" s="28">
        <v>4671398.4319713572</v>
      </c>
      <c r="P73" s="28">
        <v>14407667.319262765</v>
      </c>
      <c r="Q73" s="28">
        <v>14492618.826882465</v>
      </c>
      <c r="R73" s="28">
        <v>14304805.44418171</v>
      </c>
      <c r="S73" s="28">
        <v>14091817.309748359</v>
      </c>
      <c r="T73" s="79"/>
      <c r="U73" s="28">
        <v>57296908.900075309</v>
      </c>
    </row>
    <row r="74" spans="2:21" ht="15" customHeight="1" x14ac:dyDescent="0.2">
      <c r="B74" s="52" t="s">
        <v>29</v>
      </c>
      <c r="C74" s="71">
        <v>0.79751820842028853</v>
      </c>
      <c r="D74" s="71">
        <v>0.79807421659100752</v>
      </c>
      <c r="E74" s="71">
        <v>0.7944193931587249</v>
      </c>
      <c r="F74" s="71">
        <v>0.79637250287039263</v>
      </c>
      <c r="G74" s="71">
        <v>0.79305994459206375</v>
      </c>
      <c r="H74" s="71">
        <v>0.792557905366848</v>
      </c>
      <c r="I74" s="71">
        <v>0.79422156452906623</v>
      </c>
      <c r="J74" s="71">
        <v>0.79212940977481361</v>
      </c>
      <c r="K74" s="71">
        <v>0.79255773831044718</v>
      </c>
      <c r="L74" s="71">
        <v>0.79169969639235638</v>
      </c>
      <c r="M74" s="71">
        <v>0.79105303224168189</v>
      </c>
      <c r="N74" s="71">
        <v>0.79032918876234881</v>
      </c>
      <c r="P74" s="71">
        <v>0.79666105535575193</v>
      </c>
      <c r="Q74" s="71">
        <v>0.79400728935513865</v>
      </c>
      <c r="R74" s="71">
        <v>0.79297132275390769</v>
      </c>
      <c r="S74" s="71">
        <v>0.79103157051100814</v>
      </c>
      <c r="T74" s="79"/>
      <c r="U74" s="71">
        <v>0.79367891745909835</v>
      </c>
    </row>
    <row r="75" spans="2:21" ht="15" customHeight="1" x14ac:dyDescent="0.2">
      <c r="T75" s="79"/>
    </row>
    <row r="76" spans="2:21" ht="15" customHeight="1" x14ac:dyDescent="0.2">
      <c r="B76" s="52" t="s">
        <v>26</v>
      </c>
      <c r="T76" s="79"/>
    </row>
    <row r="77" spans="2:21" ht="15" customHeight="1" x14ac:dyDescent="0.2">
      <c r="B77" s="56" t="s">
        <v>47</v>
      </c>
      <c r="C77" s="26">
        <v>997378.75000000012</v>
      </c>
      <c r="D77" s="26">
        <v>1012322.3015294424</v>
      </c>
      <c r="E77" s="26">
        <v>1019547.4095979217</v>
      </c>
      <c r="F77" s="26">
        <v>1027294.6929799668</v>
      </c>
      <c r="G77" s="26">
        <v>1020790.9056118951</v>
      </c>
      <c r="H77" s="26">
        <v>1009208.315516085</v>
      </c>
      <c r="I77" s="26">
        <v>1012979.4519485063</v>
      </c>
      <c r="J77" s="26">
        <v>1017276.0479916367</v>
      </c>
      <c r="K77" s="26">
        <v>991360.59530424071</v>
      </c>
      <c r="L77" s="26">
        <v>1009172.0265989471</v>
      </c>
      <c r="M77" s="26">
        <v>984711.44564630871</v>
      </c>
      <c r="N77" s="26">
        <v>990042.18556134729</v>
      </c>
      <c r="P77" s="26">
        <v>3029248.4611273641</v>
      </c>
      <c r="Q77" s="26">
        <v>3057293.9141079467</v>
      </c>
      <c r="R77" s="26">
        <v>3021616.0952443834</v>
      </c>
      <c r="S77" s="26">
        <v>2983925.6578066032</v>
      </c>
      <c r="T77" s="79"/>
      <c r="U77" s="26">
        <v>12092084.128286297</v>
      </c>
    </row>
    <row r="78" spans="2:21" ht="15" customHeight="1" x14ac:dyDescent="0.2">
      <c r="B78" s="56" t="s">
        <v>48</v>
      </c>
      <c r="C78" s="26">
        <v>595450</v>
      </c>
      <c r="D78" s="26">
        <v>604371.52330115961</v>
      </c>
      <c r="E78" s="26">
        <v>608685.02065547556</v>
      </c>
      <c r="F78" s="26">
        <v>613310.26446565182</v>
      </c>
      <c r="G78" s="26">
        <v>609427.40633545979</v>
      </c>
      <c r="H78" s="26">
        <v>602512.42717378202</v>
      </c>
      <c r="I78" s="26">
        <v>604763.85190955596</v>
      </c>
      <c r="J78" s="26">
        <v>607328.983875604</v>
      </c>
      <c r="K78" s="26">
        <v>591857.07182342734</v>
      </c>
      <c r="L78" s="26">
        <v>602490.7621486251</v>
      </c>
      <c r="M78" s="26">
        <v>587887.4302366022</v>
      </c>
      <c r="N78" s="26">
        <v>591069.9615291626</v>
      </c>
      <c r="P78" s="26">
        <v>1808506.5439566351</v>
      </c>
      <c r="Q78" s="26">
        <v>1825250.0979748936</v>
      </c>
      <c r="R78" s="26">
        <v>1803949.9076085873</v>
      </c>
      <c r="S78" s="26">
        <v>1781448.1539143901</v>
      </c>
      <c r="T78" s="79"/>
      <c r="U78" s="26">
        <v>7219154.7034545057</v>
      </c>
    </row>
    <row r="79" spans="2:21" ht="15" customHeight="1" x14ac:dyDescent="0.2">
      <c r="B79" s="56" t="s">
        <v>49</v>
      </c>
      <c r="C79" s="26">
        <v>476360</v>
      </c>
      <c r="D79" s="26">
        <v>483497.21864092769</v>
      </c>
      <c r="E79" s="26">
        <v>486948.01652438048</v>
      </c>
      <c r="F79" s="26">
        <v>490648.21157252142</v>
      </c>
      <c r="G79" s="26">
        <v>487541.9250683678</v>
      </c>
      <c r="H79" s="26">
        <v>482009.94173902564</v>
      </c>
      <c r="I79" s="26">
        <v>483811.08152764477</v>
      </c>
      <c r="J79" s="26">
        <v>485863.18710048316</v>
      </c>
      <c r="K79" s="26">
        <v>473485.6574587418</v>
      </c>
      <c r="L79" s="26">
        <v>481992.60971890012</v>
      </c>
      <c r="M79" s="26">
        <v>470309.94418928178</v>
      </c>
      <c r="N79" s="26">
        <v>472855.96922333003</v>
      </c>
      <c r="P79" s="26">
        <v>1446805.2351653082</v>
      </c>
      <c r="Q79" s="26">
        <v>1460200.0783799149</v>
      </c>
      <c r="R79" s="26">
        <v>1443159.9260868696</v>
      </c>
      <c r="S79" s="26">
        <v>1425158.5231315119</v>
      </c>
      <c r="T79" s="79"/>
      <c r="U79" s="26">
        <v>5775323.7627636045</v>
      </c>
    </row>
    <row r="80" spans="2:21" ht="15" customHeight="1" x14ac:dyDescent="0.2">
      <c r="B80" s="90" t="s">
        <v>50</v>
      </c>
      <c r="C80" s="32">
        <v>89317.5</v>
      </c>
      <c r="D80" s="32">
        <v>90655.728495173942</v>
      </c>
      <c r="E80" s="32">
        <v>91302.753098321336</v>
      </c>
      <c r="F80" s="32">
        <v>91996.539669847756</v>
      </c>
      <c r="G80" s="32">
        <v>91414.110950318951</v>
      </c>
      <c r="H80" s="32">
        <v>90376.864076067301</v>
      </c>
      <c r="I80" s="32">
        <v>90714.577786433394</v>
      </c>
      <c r="J80" s="32">
        <v>91099.347581340597</v>
      </c>
      <c r="K80" s="32">
        <v>88778.56077351408</v>
      </c>
      <c r="L80" s="32">
        <v>90373.614322293768</v>
      </c>
      <c r="M80" s="32">
        <v>88183.114535490327</v>
      </c>
      <c r="N80" s="32">
        <v>88660.494229374381</v>
      </c>
      <c r="P80" s="32">
        <v>271275.98159349529</v>
      </c>
      <c r="Q80" s="32">
        <v>273787.51469623402</v>
      </c>
      <c r="R80" s="32">
        <v>270592.48614128807</v>
      </c>
      <c r="S80" s="32">
        <v>267217.22308715846</v>
      </c>
      <c r="T80" s="79"/>
      <c r="U80" s="32">
        <v>1082873.2055181758</v>
      </c>
    </row>
    <row r="81" spans="2:21" ht="15" customHeight="1" x14ac:dyDescent="0.2">
      <c r="B81" s="52" t="s">
        <v>51</v>
      </c>
      <c r="C81" s="28">
        <v>2158506.25</v>
      </c>
      <c r="D81" s="28">
        <v>2190846.7719667037</v>
      </c>
      <c r="E81" s="28">
        <v>2206483.1998760989</v>
      </c>
      <c r="F81" s="28">
        <v>2223249.7086879876</v>
      </c>
      <c r="G81" s="28">
        <v>2209174.3479660419</v>
      </c>
      <c r="H81" s="28">
        <v>2184107.5485049598</v>
      </c>
      <c r="I81" s="28">
        <v>2192268.9631721405</v>
      </c>
      <c r="J81" s="28">
        <v>2201567.5665490641</v>
      </c>
      <c r="K81" s="28">
        <v>2145481.8853599238</v>
      </c>
      <c r="L81" s="28">
        <v>2184029.0127887661</v>
      </c>
      <c r="M81" s="28">
        <v>2131091.9346076832</v>
      </c>
      <c r="N81" s="28">
        <v>2142628.6105432143</v>
      </c>
      <c r="P81" s="28">
        <v>6555836.2218428021</v>
      </c>
      <c r="Q81" s="28">
        <v>6616531.6051589893</v>
      </c>
      <c r="R81" s="28">
        <v>6539318.4150811285</v>
      </c>
      <c r="S81" s="28">
        <v>6457749.5579396635</v>
      </c>
      <c r="T81" s="79"/>
      <c r="U81" s="28">
        <v>26169435.800022583</v>
      </c>
    </row>
    <row r="82" spans="2:21" ht="15" customHeight="1" x14ac:dyDescent="0.2">
      <c r="T82" s="79"/>
    </row>
    <row r="83" spans="2:21" ht="15" customHeight="1" x14ac:dyDescent="0.2">
      <c r="B83" s="56" t="s">
        <v>52</v>
      </c>
      <c r="C83" s="26">
        <v>893.17499999999995</v>
      </c>
      <c r="D83" s="26">
        <v>906.55728495173935</v>
      </c>
      <c r="E83" s="26">
        <v>913.0275309832133</v>
      </c>
      <c r="F83" s="26">
        <v>919.96539669847755</v>
      </c>
      <c r="G83" s="26">
        <v>914.14110950318957</v>
      </c>
      <c r="H83" s="26">
        <v>903.76864076067295</v>
      </c>
      <c r="I83" s="26">
        <v>907.14577786433381</v>
      </c>
      <c r="J83" s="26">
        <v>910.99347581340589</v>
      </c>
      <c r="K83" s="26">
        <v>887.78560773514084</v>
      </c>
      <c r="L83" s="26">
        <v>903.73614322293759</v>
      </c>
      <c r="M83" s="26">
        <v>881.83114535490324</v>
      </c>
      <c r="N83" s="26">
        <v>886.60494229374376</v>
      </c>
      <c r="P83" s="26">
        <v>2712.7598159349527</v>
      </c>
      <c r="Q83" s="26">
        <v>2737.8751469623403</v>
      </c>
      <c r="R83" s="26">
        <v>2705.9248614128805</v>
      </c>
      <c r="S83" s="26">
        <v>2672.1722308715844</v>
      </c>
      <c r="T83" s="79"/>
      <c r="U83" s="26">
        <v>10828.732055181757</v>
      </c>
    </row>
    <row r="84" spans="2:21" ht="15" customHeight="1" x14ac:dyDescent="0.2">
      <c r="B84" s="56" t="s">
        <v>53</v>
      </c>
      <c r="C84" s="26">
        <v>1012.2650000000001</v>
      </c>
      <c r="D84" s="26">
        <v>1027.4315896119713</v>
      </c>
      <c r="E84" s="26">
        <v>1034.7645351143085</v>
      </c>
      <c r="F84" s="26">
        <v>1042.627449591608</v>
      </c>
      <c r="G84" s="26">
        <v>1036.0265907702817</v>
      </c>
      <c r="H84" s="26">
        <v>1024.2711261954296</v>
      </c>
      <c r="I84" s="26">
        <v>1028.0985482462452</v>
      </c>
      <c r="J84" s="26">
        <v>1032.4592725885268</v>
      </c>
      <c r="K84" s="26">
        <v>1006.1570220998265</v>
      </c>
      <c r="L84" s="26">
        <v>1024.2342956526627</v>
      </c>
      <c r="M84" s="26">
        <v>999.40863140222382</v>
      </c>
      <c r="N84" s="26">
        <v>1004.8189345995763</v>
      </c>
      <c r="P84" s="26">
        <v>3074.4611247262801</v>
      </c>
      <c r="Q84" s="26">
        <v>3102.9251665573192</v>
      </c>
      <c r="R84" s="26">
        <v>3066.7148429345984</v>
      </c>
      <c r="S84" s="26">
        <v>3028.4618616544631</v>
      </c>
      <c r="T84" s="79"/>
      <c r="U84" s="26">
        <v>12272.56299587266</v>
      </c>
    </row>
    <row r="85" spans="2:21" ht="15" customHeight="1" x14ac:dyDescent="0.2">
      <c r="B85" s="56" t="s">
        <v>54</v>
      </c>
      <c r="C85" s="26">
        <v>297.72500000000002</v>
      </c>
      <c r="D85" s="26">
        <v>302.18576165057982</v>
      </c>
      <c r="E85" s="26">
        <v>304.34251032773778</v>
      </c>
      <c r="F85" s="26">
        <v>306.65513223282591</v>
      </c>
      <c r="G85" s="26">
        <v>304.71370316772988</v>
      </c>
      <c r="H85" s="26">
        <v>301.25621358689102</v>
      </c>
      <c r="I85" s="26">
        <v>302.38192595477801</v>
      </c>
      <c r="J85" s="26">
        <v>303.66449193780198</v>
      </c>
      <c r="K85" s="26">
        <v>295.92853591171365</v>
      </c>
      <c r="L85" s="26">
        <v>301.2453810743126</v>
      </c>
      <c r="M85" s="26">
        <v>293.9437151183011</v>
      </c>
      <c r="N85" s="26">
        <v>295.53498076458129</v>
      </c>
      <c r="P85" s="26">
        <v>904.25327197831757</v>
      </c>
      <c r="Q85" s="26">
        <v>912.6250489874468</v>
      </c>
      <c r="R85" s="26">
        <v>901.97495380429359</v>
      </c>
      <c r="S85" s="26">
        <v>890.72407695719505</v>
      </c>
      <c r="T85" s="79"/>
      <c r="U85" s="26">
        <v>3609.5773517272532</v>
      </c>
    </row>
    <row r="86" spans="2:21" ht="15" customHeight="1" x14ac:dyDescent="0.2">
      <c r="B86" s="56" t="s">
        <v>55</v>
      </c>
      <c r="C86" s="26">
        <v>14886.25</v>
      </c>
      <c r="D86" s="26">
        <v>15109.28808252899</v>
      </c>
      <c r="E86" s="26">
        <v>15217.12551638689</v>
      </c>
      <c r="F86" s="26">
        <v>15332.756611641295</v>
      </c>
      <c r="G86" s="26">
        <v>15235.685158386494</v>
      </c>
      <c r="H86" s="26">
        <v>15062.810679344551</v>
      </c>
      <c r="I86" s="26">
        <v>15119.096297738899</v>
      </c>
      <c r="J86" s="26">
        <v>15183.224596890099</v>
      </c>
      <c r="K86" s="26">
        <v>14796.426795585681</v>
      </c>
      <c r="L86" s="26">
        <v>15062.269053715629</v>
      </c>
      <c r="M86" s="26">
        <v>14697.185755915056</v>
      </c>
      <c r="N86" s="26">
        <v>14776.749038229063</v>
      </c>
      <c r="P86" s="26">
        <v>45212.663598915882</v>
      </c>
      <c r="Q86" s="26">
        <v>45631.252449372339</v>
      </c>
      <c r="R86" s="26">
        <v>45098.747690214674</v>
      </c>
      <c r="S86" s="26">
        <v>44536.203847859746</v>
      </c>
      <c r="T86" s="79"/>
      <c r="U86" s="26">
        <v>180478.86758636264</v>
      </c>
    </row>
    <row r="87" spans="2:21" ht="15" customHeight="1" x14ac:dyDescent="0.2">
      <c r="B87" s="56" t="s">
        <v>56</v>
      </c>
      <c r="C87" s="26">
        <v>20840.75</v>
      </c>
      <c r="D87" s="26">
        <v>21153.003315540587</v>
      </c>
      <c r="E87" s="26">
        <v>21303.975722941646</v>
      </c>
      <c r="F87" s="26">
        <v>21465.859256297812</v>
      </c>
      <c r="G87" s="26">
        <v>21329.95922174109</v>
      </c>
      <c r="H87" s="26">
        <v>21087.93495108237</v>
      </c>
      <c r="I87" s="26">
        <v>21166.734816834458</v>
      </c>
      <c r="J87" s="26">
        <v>21256.514435646139</v>
      </c>
      <c r="K87" s="26">
        <v>20714.997513819955</v>
      </c>
      <c r="L87" s="26">
        <v>21087.176675201881</v>
      </c>
      <c r="M87" s="26">
        <v>20576.060058281077</v>
      </c>
      <c r="N87" s="26">
        <v>20687.448653520689</v>
      </c>
      <c r="P87" s="26">
        <v>63297.729038482226</v>
      </c>
      <c r="Q87" s="26">
        <v>63883.753429121265</v>
      </c>
      <c r="R87" s="26">
        <v>63138.246766300552</v>
      </c>
      <c r="S87" s="26">
        <v>62350.68538700365</v>
      </c>
      <c r="U87" s="26">
        <v>252670.41462090769</v>
      </c>
    </row>
    <row r="88" spans="2:21" ht="15" customHeight="1" x14ac:dyDescent="0.2">
      <c r="B88" s="56" t="s">
        <v>57</v>
      </c>
      <c r="C88" s="26">
        <v>2977.25</v>
      </c>
      <c r="D88" s="26">
        <v>3021.857616505798</v>
      </c>
      <c r="E88" s="26">
        <v>3043.4251032773777</v>
      </c>
      <c r="F88" s="26">
        <v>3066.5513223282587</v>
      </c>
      <c r="G88" s="26">
        <v>3047.1370316772986</v>
      </c>
      <c r="H88" s="26">
        <v>3012.5621358689104</v>
      </c>
      <c r="I88" s="26">
        <v>3023.8192595477799</v>
      </c>
      <c r="J88" s="26">
        <v>3036.6449193780199</v>
      </c>
      <c r="K88" s="26">
        <v>2959.2853591171365</v>
      </c>
      <c r="L88" s="26">
        <v>3012.4538107431258</v>
      </c>
      <c r="M88" s="26">
        <v>2939.4371511830109</v>
      </c>
      <c r="N88" s="26">
        <v>2955.3498076458127</v>
      </c>
      <c r="P88" s="26">
        <v>9042.5327197831757</v>
      </c>
      <c r="Q88" s="26">
        <v>9126.2504898744664</v>
      </c>
      <c r="R88" s="26">
        <v>9019.7495380429373</v>
      </c>
      <c r="S88" s="26">
        <v>8907.2407695719485</v>
      </c>
      <c r="U88" s="26">
        <v>36095.773517272522</v>
      </c>
    </row>
    <row r="89" spans="2:21" ht="15" customHeight="1" x14ac:dyDescent="0.2">
      <c r="B89" s="56" t="s">
        <v>58</v>
      </c>
      <c r="C89" s="26">
        <v>38704.25</v>
      </c>
      <c r="D89" s="26">
        <v>39284.149014575371</v>
      </c>
      <c r="E89" s="26">
        <v>39564.52634260591</v>
      </c>
      <c r="F89" s="26">
        <v>39865.167190267362</v>
      </c>
      <c r="G89" s="26">
        <v>39612.781411804885</v>
      </c>
      <c r="H89" s="26">
        <v>39163.307766295831</v>
      </c>
      <c r="I89" s="26">
        <v>39309.650374121135</v>
      </c>
      <c r="J89" s="26">
        <v>39476.383951914257</v>
      </c>
      <c r="K89" s="26">
        <v>38470.709668522773</v>
      </c>
      <c r="L89" s="26">
        <v>39161.899539660633</v>
      </c>
      <c r="M89" s="26">
        <v>38212.682965379143</v>
      </c>
      <c r="N89" s="26">
        <v>38419.547499395565</v>
      </c>
      <c r="P89" s="26">
        <v>117552.92535718129</v>
      </c>
      <c r="Q89" s="26">
        <v>118641.25636836808</v>
      </c>
      <c r="R89" s="26">
        <v>117256.74399455816</v>
      </c>
      <c r="S89" s="26">
        <v>115794.13000443534</v>
      </c>
      <c r="U89" s="26">
        <v>469245.05572454282</v>
      </c>
    </row>
    <row r="90" spans="2:21" ht="15" customHeight="1" x14ac:dyDescent="0.2">
      <c r="B90" s="56" t="s">
        <v>59</v>
      </c>
      <c r="C90" s="26">
        <v>44658.75</v>
      </c>
      <c r="D90" s="26">
        <v>45327.864247586971</v>
      </c>
      <c r="E90" s="26">
        <v>45651.376549160668</v>
      </c>
      <c r="F90" s="26">
        <v>45998.269834923878</v>
      </c>
      <c r="G90" s="26">
        <v>45707.055475159475</v>
      </c>
      <c r="H90" s="26">
        <v>45188.43203803365</v>
      </c>
      <c r="I90" s="26">
        <v>45357.288893216697</v>
      </c>
      <c r="J90" s="26">
        <v>45549.673790670298</v>
      </c>
      <c r="K90" s="26">
        <v>44389.28038675704</v>
      </c>
      <c r="L90" s="26">
        <v>45186.807161146884</v>
      </c>
      <c r="M90" s="26">
        <v>44091.557267745164</v>
      </c>
      <c r="N90" s="26">
        <v>44330.24711468719</v>
      </c>
      <c r="P90" s="26">
        <v>135637.99079674765</v>
      </c>
      <c r="Q90" s="26">
        <v>136893.75734811701</v>
      </c>
      <c r="R90" s="26">
        <v>135296.24307064404</v>
      </c>
      <c r="S90" s="26">
        <v>133608.61154357923</v>
      </c>
      <c r="U90" s="26">
        <v>541436.60275908792</v>
      </c>
    </row>
    <row r="91" spans="2:21" ht="15" customHeight="1" x14ac:dyDescent="0.2">
      <c r="B91" s="90" t="s">
        <v>60</v>
      </c>
      <c r="C91" s="32">
        <v>44658.75</v>
      </c>
      <c r="D91" s="32">
        <v>45327.864247586971</v>
      </c>
      <c r="E91" s="32">
        <v>45651.376549160668</v>
      </c>
      <c r="F91" s="32">
        <v>45998.269834923878</v>
      </c>
      <c r="G91" s="32">
        <v>45707.055475159475</v>
      </c>
      <c r="H91" s="32">
        <v>45188.43203803365</v>
      </c>
      <c r="I91" s="32">
        <v>45357.288893216697</v>
      </c>
      <c r="J91" s="32">
        <v>45549.673790670298</v>
      </c>
      <c r="K91" s="32">
        <v>44389.28038675704</v>
      </c>
      <c r="L91" s="32">
        <v>45186.807161146884</v>
      </c>
      <c r="M91" s="32">
        <v>44091.557267745164</v>
      </c>
      <c r="N91" s="32">
        <v>44330.24711468719</v>
      </c>
      <c r="P91" s="32">
        <v>135637.99079674765</v>
      </c>
      <c r="Q91" s="32">
        <v>136893.75734811701</v>
      </c>
      <c r="R91" s="32">
        <v>135296.24307064404</v>
      </c>
      <c r="S91" s="32">
        <v>133608.61154357923</v>
      </c>
      <c r="U91" s="32">
        <v>541436.60275908792</v>
      </c>
    </row>
    <row r="92" spans="2:21" ht="15" customHeight="1" x14ac:dyDescent="0.2">
      <c r="B92" s="52" t="s">
        <v>61</v>
      </c>
      <c r="C92" s="28">
        <v>168929.16500000001</v>
      </c>
      <c r="D92" s="28">
        <v>171460.20116053897</v>
      </c>
      <c r="E92" s="28">
        <v>172683.94035995842</v>
      </c>
      <c r="F92" s="28">
        <v>173996.1220289054</v>
      </c>
      <c r="G92" s="28">
        <v>172894.55517736991</v>
      </c>
      <c r="H92" s="28">
        <v>170932.77558920195</v>
      </c>
      <c r="I92" s="28">
        <v>171571.50478674102</v>
      </c>
      <c r="J92" s="28">
        <v>172299.23272550883</v>
      </c>
      <c r="K92" s="28">
        <v>167909.85127630632</v>
      </c>
      <c r="L92" s="28">
        <v>170926.62922156497</v>
      </c>
      <c r="M92" s="28">
        <v>166783.66395812406</v>
      </c>
      <c r="N92" s="28">
        <v>167686.54808582342</v>
      </c>
      <c r="P92" s="28">
        <v>513073.30652049743</v>
      </c>
      <c r="Q92" s="28">
        <v>517823.45279547723</v>
      </c>
      <c r="R92" s="28">
        <v>511780.58878855617</v>
      </c>
      <c r="S92" s="28">
        <v>505396.84126551246</v>
      </c>
      <c r="U92" s="28">
        <v>2048074.1893700433</v>
      </c>
    </row>
    <row r="94" spans="2:21" ht="15" customHeight="1" x14ac:dyDescent="0.2">
      <c r="B94" s="52" t="s">
        <v>33</v>
      </c>
      <c r="C94" s="28">
        <v>2421386.7570386082</v>
      </c>
      <c r="D94" s="28">
        <v>2461026.3267576252</v>
      </c>
      <c r="E94" s="28">
        <v>2456344.707103231</v>
      </c>
      <c r="F94" s="28">
        <v>2486988.4727692418</v>
      </c>
      <c r="G94" s="28">
        <v>2451055.7478694362</v>
      </c>
      <c r="H94" s="28">
        <v>2420219.5482893209</v>
      </c>
      <c r="I94" s="28">
        <v>2439324.4583834391</v>
      </c>
      <c r="J94" s="28">
        <v>2436964.6960906219</v>
      </c>
      <c r="K94" s="28">
        <v>2377417.2858379637</v>
      </c>
      <c r="L94" s="28">
        <v>2414961.8927123277</v>
      </c>
      <c r="M94" s="28">
        <v>2352625.7444885368</v>
      </c>
      <c r="N94" s="28">
        <v>2361083.2733423198</v>
      </c>
      <c r="P94" s="28">
        <v>7338757.7908994658</v>
      </c>
      <c r="Q94" s="28">
        <v>7358263.7689279979</v>
      </c>
      <c r="R94" s="28">
        <v>7253706.4403120261</v>
      </c>
      <c r="S94" s="28">
        <v>7128670.9105431829</v>
      </c>
      <c r="U94" s="28">
        <v>29079398.910682682</v>
      </c>
    </row>
    <row r="95" spans="2:21" ht="15" customHeight="1" x14ac:dyDescent="0.2">
      <c r="B95" s="52" t="s">
        <v>34</v>
      </c>
      <c r="C95" s="71">
        <v>0.40664820842028854</v>
      </c>
      <c r="D95" s="71">
        <v>0.40720421659100747</v>
      </c>
      <c r="E95" s="71">
        <v>0.4035493931587249</v>
      </c>
      <c r="F95" s="71">
        <v>0.40550250287039258</v>
      </c>
      <c r="G95" s="71">
        <v>0.40218994459206364</v>
      </c>
      <c r="H95" s="71">
        <v>0.40168790536684806</v>
      </c>
      <c r="I95" s="71">
        <v>0.40335156452906623</v>
      </c>
      <c r="J95" s="71">
        <v>0.40125940977481367</v>
      </c>
      <c r="K95" s="71">
        <v>0.40168773831044713</v>
      </c>
      <c r="L95" s="71">
        <v>0.40082969639235633</v>
      </c>
      <c r="M95" s="71">
        <v>0.40018303224168189</v>
      </c>
      <c r="N95" s="71">
        <v>0.39945918876234882</v>
      </c>
      <c r="P95" s="71">
        <v>0.40579105535575194</v>
      </c>
      <c r="Q95" s="71">
        <v>0.40313728935513865</v>
      </c>
      <c r="R95" s="71">
        <v>0.40210132275390775</v>
      </c>
      <c r="S95" s="71">
        <v>0.40016157051100809</v>
      </c>
      <c r="U95" s="71">
        <v>0.40280891745909841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611E4-30F5-42F6-B934-43E39024BDE9}">
  <dimension ref="B2:U95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99</v>
      </c>
    </row>
    <row r="3" spans="2:21" ht="15" customHeight="1" x14ac:dyDescent="0.2">
      <c r="B3" s="52"/>
      <c r="C3" s="3">
        <v>44927</v>
      </c>
      <c r="D3" s="3">
        <v>44958</v>
      </c>
      <c r="E3" s="3">
        <v>44986</v>
      </c>
      <c r="F3" s="3">
        <v>45017</v>
      </c>
      <c r="G3" s="3">
        <v>45047</v>
      </c>
      <c r="H3" s="3">
        <v>45078</v>
      </c>
      <c r="I3" s="3">
        <v>45108</v>
      </c>
      <c r="J3" s="3">
        <v>45139</v>
      </c>
      <c r="K3" s="3">
        <v>45170</v>
      </c>
      <c r="L3" s="3">
        <v>45200</v>
      </c>
      <c r="M3" s="3">
        <v>45231</v>
      </c>
      <c r="N3" s="3"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v>918241.81085671578</v>
      </c>
      <c r="D5" s="96">
        <v>1098822.1071652398</v>
      </c>
      <c r="E5" s="96">
        <v>1389108.8186953156</v>
      </c>
      <c r="F5" s="96">
        <v>1060457.1162919106</v>
      </c>
      <c r="G5" s="96">
        <v>1080187.977512805</v>
      </c>
      <c r="H5" s="96">
        <v>1449758.253748731</v>
      </c>
      <c r="I5" s="96">
        <v>1270033.6214879407</v>
      </c>
      <c r="J5" s="96">
        <v>1137642.609668985</v>
      </c>
      <c r="K5" s="96">
        <v>1505986.0966062024</v>
      </c>
      <c r="L5" s="96">
        <v>825220.26826456212</v>
      </c>
      <c r="M5" s="96">
        <v>1232003.1532279779</v>
      </c>
      <c r="N5" s="96">
        <v>1753899.7673868714</v>
      </c>
      <c r="P5" s="96">
        <v>3406172.7367172712</v>
      </c>
      <c r="Q5" s="96">
        <v>3590403.3475534469</v>
      </c>
      <c r="R5" s="96">
        <v>3913662.3277631281</v>
      </c>
      <c r="S5" s="96">
        <v>3811123.1888794117</v>
      </c>
      <c r="T5" s="91"/>
      <c r="U5" s="96">
        <v>14721361.600913256</v>
      </c>
    </row>
    <row r="6" spans="2:21" s="25" customFormat="1" ht="15" customHeight="1" x14ac:dyDescent="0.2">
      <c r="B6" s="78" t="s">
        <v>10</v>
      </c>
      <c r="C6" s="81">
        <v>622514.35130164481</v>
      </c>
      <c r="D6" s="81">
        <v>935097.23442405579</v>
      </c>
      <c r="E6" s="81">
        <v>1179236.180272124</v>
      </c>
      <c r="F6" s="81">
        <v>777579.95049804996</v>
      </c>
      <c r="G6" s="81">
        <v>753453.09429011669</v>
      </c>
      <c r="H6" s="81">
        <v>1159929.2819288557</v>
      </c>
      <c r="I6" s="81">
        <v>1011896.7065513673</v>
      </c>
      <c r="J6" s="81">
        <v>874189.60777134181</v>
      </c>
      <c r="K6" s="81">
        <v>1000548.9055383139</v>
      </c>
      <c r="L6" s="81">
        <v>766538.84680967382</v>
      </c>
      <c r="M6" s="81">
        <v>1069760.2684737833</v>
      </c>
      <c r="N6" s="81">
        <v>1248360.343877424</v>
      </c>
      <c r="P6" s="81">
        <v>2736847.7659978243</v>
      </c>
      <c r="Q6" s="81">
        <v>2690962.3267170223</v>
      </c>
      <c r="R6" s="81">
        <v>2886635.2198610231</v>
      </c>
      <c r="S6" s="81">
        <v>3084659.4591608811</v>
      </c>
      <c r="T6" s="91"/>
      <c r="U6" s="81">
        <v>11399104.77173675</v>
      </c>
    </row>
    <row r="7" spans="2:21" ht="15" customHeight="1" x14ac:dyDescent="0.2">
      <c r="B7" s="78" t="s">
        <v>11</v>
      </c>
      <c r="C7" s="81">
        <v>295727.45955507096</v>
      </c>
      <c r="D7" s="81">
        <v>163724.87274118402</v>
      </c>
      <c r="E7" s="81">
        <v>209872.6384231917</v>
      </c>
      <c r="F7" s="81">
        <v>282877.16579386062</v>
      </c>
      <c r="G7" s="81">
        <v>326734.8832226884</v>
      </c>
      <c r="H7" s="81">
        <v>289828.97181987535</v>
      </c>
      <c r="I7" s="81">
        <v>258136.91493657327</v>
      </c>
      <c r="J7" s="81">
        <v>263453.00189764332</v>
      </c>
      <c r="K7" s="81">
        <v>505437.1910678884</v>
      </c>
      <c r="L7" s="81">
        <v>58681.421454888339</v>
      </c>
      <c r="M7" s="81">
        <v>162242.88475419473</v>
      </c>
      <c r="N7" s="81">
        <v>505539.42350944749</v>
      </c>
      <c r="P7" s="81">
        <v>669324.97071944666</v>
      </c>
      <c r="Q7" s="81">
        <v>899441.02083642432</v>
      </c>
      <c r="R7" s="81">
        <v>1027027.107902105</v>
      </c>
      <c r="S7" s="81">
        <v>726463.72971853055</v>
      </c>
      <c r="T7" s="79"/>
      <c r="U7" s="81">
        <v>3322256.8291765065</v>
      </c>
    </row>
    <row r="8" spans="2:21" s="25" customFormat="1" ht="15" customHeight="1" x14ac:dyDescent="0.2">
      <c r="B8" s="51" t="s">
        <v>12</v>
      </c>
      <c r="C8" s="96">
        <v>721374.25132581848</v>
      </c>
      <c r="D8" s="96">
        <v>595242.65474325209</v>
      </c>
      <c r="E8" s="96">
        <v>1249710.3438458135</v>
      </c>
      <c r="F8" s="96">
        <v>708675.28488725773</v>
      </c>
      <c r="G8" s="96">
        <v>903837.01582346321</v>
      </c>
      <c r="H8" s="96">
        <v>1378195.5446574034</v>
      </c>
      <c r="I8" s="96">
        <v>1037250.3520580088</v>
      </c>
      <c r="J8" s="96">
        <v>767663.40366682317</v>
      </c>
      <c r="K8" s="96">
        <v>1064955.3437205083</v>
      </c>
      <c r="L8" s="96">
        <v>978466.69816156151</v>
      </c>
      <c r="M8" s="96">
        <v>1432889.9008914893</v>
      </c>
      <c r="N8" s="96">
        <v>944729.99244707869</v>
      </c>
      <c r="P8" s="96">
        <v>2566327.2499148841</v>
      </c>
      <c r="Q8" s="96">
        <v>2990707.8453681245</v>
      </c>
      <c r="R8" s="96">
        <v>2869869.0994453402</v>
      </c>
      <c r="S8" s="96">
        <v>3356086.5915001296</v>
      </c>
      <c r="T8" s="91"/>
      <c r="U8" s="96">
        <v>11782990.786228478</v>
      </c>
    </row>
    <row r="9" spans="2:21" s="25" customFormat="1" ht="15" customHeight="1" x14ac:dyDescent="0.2">
      <c r="B9" s="78" t="s">
        <v>10</v>
      </c>
      <c r="C9" s="81">
        <v>280387.13024097512</v>
      </c>
      <c r="D9" s="81">
        <v>371671.55899892846</v>
      </c>
      <c r="E9" s="81">
        <v>506998.66365879396</v>
      </c>
      <c r="F9" s="81">
        <v>513002.39174325723</v>
      </c>
      <c r="G9" s="81">
        <v>588858.86338006426</v>
      </c>
      <c r="H9" s="81">
        <v>1062092.8353568551</v>
      </c>
      <c r="I9" s="81">
        <v>792710.35184878763</v>
      </c>
      <c r="J9" s="81">
        <v>683730.56914685224</v>
      </c>
      <c r="K9" s="81">
        <v>798742.06590077106</v>
      </c>
      <c r="L9" s="81">
        <v>699678.83003006235</v>
      </c>
      <c r="M9" s="81">
        <v>1139585.0260586068</v>
      </c>
      <c r="N9" s="81">
        <v>650505.02564016473</v>
      </c>
      <c r="P9" s="81">
        <v>1159057.3528986976</v>
      </c>
      <c r="Q9" s="81">
        <v>2163954.0904801767</v>
      </c>
      <c r="R9" s="81">
        <v>2275182.9868964111</v>
      </c>
      <c r="S9" s="81">
        <v>2489768.8817288335</v>
      </c>
      <c r="T9" s="91"/>
      <c r="U9" s="81">
        <v>8087963.3120041192</v>
      </c>
    </row>
    <row r="10" spans="2:21" ht="15" customHeight="1" x14ac:dyDescent="0.2">
      <c r="B10" s="78" t="s">
        <v>11</v>
      </c>
      <c r="C10" s="81">
        <v>440987.1210848433</v>
      </c>
      <c r="D10" s="81">
        <v>223571.0957443236</v>
      </c>
      <c r="E10" s="81">
        <v>742711.68018701964</v>
      </c>
      <c r="F10" s="81">
        <v>195672.89314400047</v>
      </c>
      <c r="G10" s="81">
        <v>314978.1524433989</v>
      </c>
      <c r="H10" s="81">
        <v>316102.7093005483</v>
      </c>
      <c r="I10" s="81">
        <v>244540.00020922109</v>
      </c>
      <c r="J10" s="81">
        <v>83932.834519970944</v>
      </c>
      <c r="K10" s="81">
        <v>266213.27781973733</v>
      </c>
      <c r="L10" s="81">
        <v>278787.8681314991</v>
      </c>
      <c r="M10" s="81">
        <v>293304.87483288266</v>
      </c>
      <c r="N10" s="81">
        <v>294224.96680691402</v>
      </c>
      <c r="P10" s="81">
        <v>1407269.8970161865</v>
      </c>
      <c r="Q10" s="81">
        <v>826753.7548879477</v>
      </c>
      <c r="R10" s="81">
        <v>594686.11254892941</v>
      </c>
      <c r="S10" s="81">
        <v>866317.70977129578</v>
      </c>
      <c r="T10" s="79"/>
      <c r="U10" s="81">
        <v>3695027.4742243597</v>
      </c>
    </row>
    <row r="11" spans="2:21" ht="15" customHeight="1" x14ac:dyDescent="0.2">
      <c r="B11" s="31" t="s">
        <v>13</v>
      </c>
      <c r="C11" s="97">
        <v>198666.7339566247</v>
      </c>
      <c r="D11" s="97">
        <v>335025.21674858825</v>
      </c>
      <c r="E11" s="97">
        <v>544202.91708709358</v>
      </c>
      <c r="F11" s="97">
        <v>191992.52524787508</v>
      </c>
      <c r="G11" s="97">
        <v>275618.66244316887</v>
      </c>
      <c r="H11" s="97">
        <v>502574.68270423537</v>
      </c>
      <c r="I11" s="97">
        <v>521998.84660045261</v>
      </c>
      <c r="J11" s="97">
        <v>551237.32488633774</v>
      </c>
      <c r="K11" s="97">
        <v>705812.77652360452</v>
      </c>
      <c r="L11" s="97">
        <v>533039.95028882893</v>
      </c>
      <c r="M11" s="97">
        <v>230840.85304030988</v>
      </c>
      <c r="N11" s="97">
        <v>401875.72776858194</v>
      </c>
      <c r="P11" s="97">
        <v>1077894.8677923065</v>
      </c>
      <c r="Q11" s="97">
        <v>970185.87039527926</v>
      </c>
      <c r="R11" s="97">
        <v>1779048.9480103948</v>
      </c>
      <c r="S11" s="97">
        <v>1165756.5310977208</v>
      </c>
      <c r="T11" s="79"/>
      <c r="U11" s="97">
        <v>4992886.2172957007</v>
      </c>
    </row>
    <row r="12" spans="2:21" ht="15" customHeight="1" x14ac:dyDescent="0.2">
      <c r="B12" s="52" t="s">
        <v>14</v>
      </c>
      <c r="C12" s="82">
        <v>1838282.796139159</v>
      </c>
      <c r="D12" s="82">
        <v>2029089.9786570801</v>
      </c>
      <c r="E12" s="82">
        <v>3183022.0796282226</v>
      </c>
      <c r="F12" s="82">
        <v>1961124.9264270435</v>
      </c>
      <c r="G12" s="82">
        <v>2259643.6557794372</v>
      </c>
      <c r="H12" s="82">
        <v>3330528.4811103698</v>
      </c>
      <c r="I12" s="82">
        <v>2829282.8201464019</v>
      </c>
      <c r="J12" s="82">
        <v>2456543.338222146</v>
      </c>
      <c r="K12" s="82">
        <v>3276754.2168503152</v>
      </c>
      <c r="L12" s="82">
        <v>2336726.9167149523</v>
      </c>
      <c r="M12" s="82">
        <v>2895733.9071597774</v>
      </c>
      <c r="N12" s="82">
        <v>3100505.4876025319</v>
      </c>
      <c r="P12" s="82">
        <v>7050394.8544244617</v>
      </c>
      <c r="Q12" s="82">
        <v>7551297.06331685</v>
      </c>
      <c r="R12" s="82">
        <v>8562580.3752188645</v>
      </c>
      <c r="S12" s="82">
        <v>8332966.3114772616</v>
      </c>
      <c r="T12" s="79"/>
      <c r="U12" s="82">
        <v>31497238.604437437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v>6.7393931455971043E-2</v>
      </c>
      <c r="D15" s="101">
        <v>0.14484668328968767</v>
      </c>
      <c r="E15" s="101">
        <v>0.11567215284129743</v>
      </c>
      <c r="F15" s="101">
        <v>0.1462793629016185</v>
      </c>
      <c r="G15" s="101">
        <v>0.11740251602634331</v>
      </c>
      <c r="H15" s="101">
        <v>0.20384898186803421</v>
      </c>
      <c r="I15" s="101">
        <v>0.12675550059165933</v>
      </c>
      <c r="J15" s="101">
        <v>0.17077228679600875</v>
      </c>
      <c r="K15" s="101">
        <v>0.19781124572277028</v>
      </c>
      <c r="L15" s="101">
        <v>0.33258751868872005</v>
      </c>
      <c r="M15" s="101">
        <v>0.17732830917255957</v>
      </c>
      <c r="N15" s="101">
        <v>0.20561240301531233</v>
      </c>
      <c r="P15" s="101">
        <v>0.11465475654137559</v>
      </c>
      <c r="Q15" s="101">
        <v>0.16083750648016584</v>
      </c>
      <c r="R15" s="101">
        <v>0.16689292753926907</v>
      </c>
      <c r="S15" s="101">
        <v>0.22396298964093894</v>
      </c>
      <c r="T15" s="79"/>
      <c r="U15" s="101">
        <v>0.16810391600890268</v>
      </c>
    </row>
    <row r="16" spans="2:21" ht="15" customHeight="1" x14ac:dyDescent="0.2">
      <c r="B16" s="94" t="s">
        <v>10</v>
      </c>
      <c r="C16" s="99">
        <v>8.269779157262673E-2</v>
      </c>
      <c r="D16" s="99">
        <v>0.14520413222718045</v>
      </c>
      <c r="E16" s="99">
        <v>0.13561154879632886</v>
      </c>
      <c r="F16" s="99">
        <v>0.17832635139258812</v>
      </c>
      <c r="G16" s="99">
        <v>0.13885500252245264</v>
      </c>
      <c r="H16" s="99">
        <v>0.18952940132167459</v>
      </c>
      <c r="I16" s="99">
        <v>0.13185705933438946</v>
      </c>
      <c r="J16" s="99">
        <v>0.17459490622063628</v>
      </c>
      <c r="K16" s="99">
        <v>0.25025408643068464</v>
      </c>
      <c r="L16" s="99">
        <v>0.25312276989029103</v>
      </c>
      <c r="M16" s="99">
        <v>0.17053504999123692</v>
      </c>
      <c r="N16" s="99">
        <v>0.23583693040225787</v>
      </c>
      <c r="P16" s="99">
        <v>0.12685345296298783</v>
      </c>
      <c r="Q16" s="99">
        <v>0.17210364655718491</v>
      </c>
      <c r="R16" s="99">
        <v>0.1858379005624578</v>
      </c>
      <c r="S16" s="99">
        <v>0.21748576703966052</v>
      </c>
      <c r="T16" s="79"/>
      <c r="U16" s="99">
        <v>0.17699800259839513</v>
      </c>
    </row>
    <row r="17" spans="2:21" ht="15" customHeight="1" x14ac:dyDescent="0.2">
      <c r="B17" s="94" t="s">
        <v>11</v>
      </c>
      <c r="C17" s="100">
        <v>3.5178889378835419E-2</v>
      </c>
      <c r="D17" s="100">
        <v>0.14280515161950749</v>
      </c>
      <c r="E17" s="100">
        <v>4.5604790246004716E-2</v>
      </c>
      <c r="F17" s="100">
        <v>5.8187785575158441E-2</v>
      </c>
      <c r="G17" s="100">
        <v>6.7932921071297683E-2</v>
      </c>
      <c r="H17" s="100">
        <v>0.26115761004404708</v>
      </c>
      <c r="I17" s="100">
        <v>0.10675739032015726</v>
      </c>
      <c r="J17" s="100">
        <v>0.15808807309791401</v>
      </c>
      <c r="K17" s="100">
        <v>9.3996908746969907E-2</v>
      </c>
      <c r="L17" s="100">
        <v>1.3706131049093142</v>
      </c>
      <c r="M17" s="100">
        <v>0.22212015799005139</v>
      </c>
      <c r="N17" s="100">
        <v>0.13097707360742727</v>
      </c>
      <c r="P17" s="100">
        <v>6.4774688547365178E-2</v>
      </c>
      <c r="Q17" s="100">
        <v>0.1271312847130262</v>
      </c>
      <c r="R17" s="100">
        <v>0.11364484290033255</v>
      </c>
      <c r="S17" s="100">
        <v>0.25146611904543847</v>
      </c>
      <c r="T17" s="79"/>
      <c r="U17" s="100">
        <v>0.13758712272785661</v>
      </c>
    </row>
    <row r="18" spans="2:21" ht="15" customHeight="1" x14ac:dyDescent="0.2">
      <c r="B18" s="93" t="s">
        <v>12</v>
      </c>
      <c r="C18" s="101">
        <v>0.17841142091049092</v>
      </c>
      <c r="D18" s="101">
        <v>0.16576614011777902</v>
      </c>
      <c r="E18" s="101">
        <v>8.7735600019642646E-2</v>
      </c>
      <c r="F18" s="101">
        <v>0.19496123355955849</v>
      </c>
      <c r="G18" s="101">
        <v>0.12927223517600184</v>
      </c>
      <c r="H18" s="101">
        <v>0.12033628224965125</v>
      </c>
      <c r="I18" s="101">
        <v>0.12118049769423624</v>
      </c>
      <c r="J18" s="101">
        <v>9.4538332549951906E-2</v>
      </c>
      <c r="K18" s="101">
        <v>0.16041499448777996</v>
      </c>
      <c r="L18" s="101">
        <v>0.11049149223598738</v>
      </c>
      <c r="M18" s="101">
        <v>9.8512058859721238E-2</v>
      </c>
      <c r="N18" s="101">
        <v>0.16380225226010331</v>
      </c>
      <c r="P18" s="101">
        <v>0.130464673959654</v>
      </c>
      <c r="Q18" s="101">
        <v>0.14071991943780132</v>
      </c>
      <c r="R18" s="101">
        <v>0.12861316138153725</v>
      </c>
      <c r="S18" s="101">
        <v>0.12038368777580427</v>
      </c>
      <c r="T18" s="79"/>
      <c r="U18" s="101">
        <v>0.12974534740309565</v>
      </c>
    </row>
    <row r="19" spans="2:21" ht="15" customHeight="1" x14ac:dyDescent="0.2">
      <c r="B19" s="94" t="s">
        <v>10</v>
      </c>
      <c r="C19" s="99">
        <v>0.25513485939404251</v>
      </c>
      <c r="D19" s="99">
        <v>0.13216248357945287</v>
      </c>
      <c r="E19" s="99">
        <v>0.1076882767868082</v>
      </c>
      <c r="F19" s="99">
        <v>0.15435124114687773</v>
      </c>
      <c r="G19" s="99">
        <v>0.11540937166472348</v>
      </c>
      <c r="H19" s="99">
        <v>9.0990282613901921E-2</v>
      </c>
      <c r="I19" s="99">
        <v>0.10240525647455437</v>
      </c>
      <c r="J19" s="99">
        <v>4.614145810641769E-2</v>
      </c>
      <c r="K19" s="99">
        <v>0.1553360702956525</v>
      </c>
      <c r="L19" s="99">
        <v>0.10728859254871663</v>
      </c>
      <c r="M19" s="99">
        <v>9.4760413813254091E-2</v>
      </c>
      <c r="N19" s="99">
        <v>0.16792263506510405</v>
      </c>
      <c r="P19" s="99">
        <v>0.15120509726926629</v>
      </c>
      <c r="Q19" s="99">
        <v>0.11265604738223021</v>
      </c>
      <c r="R19" s="99">
        <v>0.10407931465914845</v>
      </c>
      <c r="S19" s="99">
        <v>0.1173962875543655</v>
      </c>
      <c r="T19" s="79"/>
      <c r="U19" s="99">
        <v>0.11722691700545769</v>
      </c>
    </row>
    <row r="20" spans="2:21" ht="15" customHeight="1" x14ac:dyDescent="0.2">
      <c r="B20" s="94" t="s">
        <v>11</v>
      </c>
      <c r="C20" s="99">
        <v>0.12962935061850114</v>
      </c>
      <c r="D20" s="99">
        <v>0.22162990628166296</v>
      </c>
      <c r="E20" s="99">
        <v>7.1151099980620497E-2</v>
      </c>
      <c r="F20" s="99">
        <v>0.30142985525591814</v>
      </c>
      <c r="G20" s="99">
        <v>0.15518917572289023</v>
      </c>
      <c r="H20" s="99">
        <v>0.21893770211245839</v>
      </c>
      <c r="I20" s="99">
        <v>0.18204304803596411</v>
      </c>
      <c r="J20" s="99">
        <v>0.48878717089143386</v>
      </c>
      <c r="K20" s="99">
        <v>0.17565371749587982</v>
      </c>
      <c r="L20" s="99">
        <v>0.11852986607525422</v>
      </c>
      <c r="M20" s="99">
        <v>0.11308842251708248</v>
      </c>
      <c r="N20" s="99">
        <v>0.15469245525238268</v>
      </c>
      <c r="P20" s="99">
        <v>0.11338242115924385</v>
      </c>
      <c r="Q20" s="99">
        <v>0.21417459729118007</v>
      </c>
      <c r="R20" s="99">
        <v>0.22247610771242296</v>
      </c>
      <c r="S20" s="99">
        <v>0.12896937871195249</v>
      </c>
      <c r="T20" s="79"/>
      <c r="U20" s="99">
        <v>0.1571466607860838</v>
      </c>
    </row>
    <row r="21" spans="2:21" s="36" customFormat="1" ht="15" customHeight="1" x14ac:dyDescent="0.2">
      <c r="B21" s="19" t="s">
        <v>13</v>
      </c>
      <c r="C21" s="102">
        <v>0.15169917201438265</v>
      </c>
      <c r="D21" s="102">
        <v>3.1052479234059648E-2</v>
      </c>
      <c r="E21" s="102">
        <v>0.13756140402794095</v>
      </c>
      <c r="F21" s="102">
        <v>0.19289808628569899</v>
      </c>
      <c r="G21" s="102">
        <v>0.29362421360352814</v>
      </c>
      <c r="H21" s="102">
        <v>0.20370342944125933</v>
      </c>
      <c r="I21" s="102">
        <v>6.3543024716316024E-2</v>
      </c>
      <c r="J21" s="102">
        <v>0.11695201728276121</v>
      </c>
      <c r="K21" s="102">
        <v>0.10441280328015808</v>
      </c>
      <c r="L21" s="102">
        <v>0.1948682263338565</v>
      </c>
      <c r="M21" s="102">
        <v>0.23822191395150702</v>
      </c>
      <c r="N21" s="102">
        <v>0.15173049442597039</v>
      </c>
      <c r="P21" s="102">
        <v>0.10706263053367782</v>
      </c>
      <c r="Q21" s="102">
        <v>0.22711059484224291</v>
      </c>
      <c r="R21" s="102">
        <v>9.6306284061393493E-2</v>
      </c>
      <c r="S21" s="102">
        <v>0.18858200363024816</v>
      </c>
      <c r="T21" s="85"/>
      <c r="U21" s="102">
        <v>0.1455903487896815</v>
      </c>
    </row>
    <row r="22" spans="2:21" ht="15" customHeight="1" x14ac:dyDescent="0.2">
      <c r="B22" s="95" t="s">
        <v>14</v>
      </c>
      <c r="C22" s="98">
        <v>9.9549306149495281E-2</v>
      </c>
      <c r="D22" s="98">
        <v>0.10960177195157539</v>
      </c>
      <c r="E22" s="98">
        <v>8.7049858779637571E-2</v>
      </c>
      <c r="F22" s="98">
        <v>0.13964829458312192</v>
      </c>
      <c r="G22" s="98">
        <v>0.11909489594017039</v>
      </c>
      <c r="H22" s="98">
        <v>0.1403396189289258</v>
      </c>
      <c r="I22" s="98">
        <v>9.3728128359109347E-2</v>
      </c>
      <c r="J22" s="98">
        <v>0.11182169263736468</v>
      </c>
      <c r="K22" s="98">
        <v>0.13724746376650401</v>
      </c>
      <c r="L22" s="98">
        <v>0.17259448997409876</v>
      </c>
      <c r="M22" s="98">
        <v>0.11871126583876601</v>
      </c>
      <c r="N22" s="98">
        <v>0.15411906819048526</v>
      </c>
      <c r="P22" s="98">
        <v>0.11924881246290682</v>
      </c>
      <c r="Q22" s="98">
        <v>0.16138461626597198</v>
      </c>
      <c r="R22" s="98">
        <v>0.13939712586080016</v>
      </c>
      <c r="S22" s="98">
        <v>0.1772969277453611</v>
      </c>
      <c r="T22" s="79"/>
      <c r="U22" s="98">
        <v>0.15018531854027778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v>61883.925660884226</v>
      </c>
      <c r="D25" s="96">
        <v>159160.73774827071</v>
      </c>
      <c r="E25" s="96">
        <v>169489.24245703485</v>
      </c>
      <c r="F25" s="96">
        <v>155122.99135566823</v>
      </c>
      <c r="G25" s="96">
        <v>126816.78634141046</v>
      </c>
      <c r="H25" s="96">
        <v>295531.74398145801</v>
      </c>
      <c r="I25" s="96">
        <v>160983.74745994189</v>
      </c>
      <c r="J25" s="96">
        <v>194277.83000975178</v>
      </c>
      <c r="K25" s="96">
        <v>297900.98581084522</v>
      </c>
      <c r="L25" s="96">
        <v>274457.96139375068</v>
      </c>
      <c r="M25" s="96">
        <v>218469.0360571791</v>
      </c>
      <c r="N25" s="96">
        <v>360623.54582041199</v>
      </c>
      <c r="P25" s="96">
        <v>390533.90586618974</v>
      </c>
      <c r="Q25" s="96">
        <v>577471.52167853666</v>
      </c>
      <c r="R25" s="96">
        <v>653162.56328053889</v>
      </c>
      <c r="S25" s="96">
        <v>853550.54327134183</v>
      </c>
      <c r="T25" s="79"/>
      <c r="U25" s="96">
        <v>2474718.534096607</v>
      </c>
    </row>
    <row r="26" spans="2:21" ht="15" customHeight="1" x14ac:dyDescent="0.2">
      <c r="B26" s="78" t="s">
        <v>10</v>
      </c>
      <c r="C26" s="81">
        <v>51480.562074912355</v>
      </c>
      <c r="D26" s="81">
        <v>135779.98247258135</v>
      </c>
      <c r="E26" s="81">
        <v>159918.04480336962</v>
      </c>
      <c r="F26" s="81">
        <v>138662.99548834653</v>
      </c>
      <c r="G26" s="81">
        <v>104620.7313082039</v>
      </c>
      <c r="H26" s="81">
        <v>219840.70237945591</v>
      </c>
      <c r="I26" s="81">
        <v>133425.72407601692</v>
      </c>
      <c r="J26" s="81">
        <v>152629.05258789225</v>
      </c>
      <c r="K26" s="81">
        <v>250391.45228471214</v>
      </c>
      <c r="L26" s="81">
        <v>194028.43613297411</v>
      </c>
      <c r="M26" s="81">
        <v>182431.62086281565</v>
      </c>
      <c r="N26" s="81">
        <v>294409.47153595876</v>
      </c>
      <c r="P26" s="81">
        <v>347178.58935086336</v>
      </c>
      <c r="Q26" s="81">
        <v>463124.42917600635</v>
      </c>
      <c r="R26" s="81">
        <v>536446.22894862131</v>
      </c>
      <c r="S26" s="81">
        <v>670869.52853174857</v>
      </c>
      <c r="T26" s="79"/>
      <c r="U26" s="81">
        <v>2017618.7760072395</v>
      </c>
    </row>
    <row r="27" spans="2:21" ht="15" customHeight="1" x14ac:dyDescent="0.2">
      <c r="B27" s="78" t="s">
        <v>11</v>
      </c>
      <c r="C27" s="81">
        <v>10403.363585971867</v>
      </c>
      <c r="D27" s="81">
        <v>23380.755275689353</v>
      </c>
      <c r="E27" s="81">
        <v>9571.1976536652473</v>
      </c>
      <c r="F27" s="81">
        <v>16459.995867321704</v>
      </c>
      <c r="G27" s="81">
        <v>22196.055033206558</v>
      </c>
      <c r="H27" s="81">
        <v>75691.041602002122</v>
      </c>
      <c r="I27" s="81">
        <v>27558.023383924985</v>
      </c>
      <c r="J27" s="81">
        <v>41648.777421859515</v>
      </c>
      <c r="K27" s="81">
        <v>47509.533526133098</v>
      </c>
      <c r="L27" s="81">
        <v>80429.525260776558</v>
      </c>
      <c r="M27" s="81">
        <v>36037.415194363435</v>
      </c>
      <c r="N27" s="81">
        <v>66214.074284453251</v>
      </c>
      <c r="P27" s="81">
        <v>43355.316515326471</v>
      </c>
      <c r="Q27" s="81">
        <v>114347.09250253039</v>
      </c>
      <c r="R27" s="81">
        <v>116716.33433191761</v>
      </c>
      <c r="S27" s="81">
        <v>182681.01473959326</v>
      </c>
      <c r="T27" s="79"/>
      <c r="U27" s="81">
        <v>457099.75808936777</v>
      </c>
    </row>
    <row r="28" spans="2:21" ht="15" customHeight="1" x14ac:dyDescent="0.2">
      <c r="B28" s="51" t="s">
        <v>12</v>
      </c>
      <c r="C28" s="96">
        <v>128701.40518728085</v>
      </c>
      <c r="D28" s="96">
        <v>98671.077310248656</v>
      </c>
      <c r="E28" s="96">
        <v>107442.56543639135</v>
      </c>
      <c r="F28" s="96">
        <v>138164.20773479133</v>
      </c>
      <c r="G28" s="96">
        <v>116841.03127030641</v>
      </c>
      <c r="H28" s="96">
        <v>165846.92805710511</v>
      </c>
      <c r="I28" s="96">
        <v>125694.51389591125</v>
      </c>
      <c r="J28" s="96">
        <v>72573.618142282081</v>
      </c>
      <c r="K28" s="96">
        <v>170834.80559265718</v>
      </c>
      <c r="L28" s="96">
        <v>108112.24558309035</v>
      </c>
      <c r="M28" s="96">
        <v>141156.93425612256</v>
      </c>
      <c r="N28" s="96">
        <v>154748.90054050187</v>
      </c>
      <c r="P28" s="96">
        <v>334815.04793392087</v>
      </c>
      <c r="Q28" s="96">
        <v>420852.16706220282</v>
      </c>
      <c r="R28" s="96">
        <v>369102.93763085053</v>
      </c>
      <c r="S28" s="96">
        <v>404018.08037971478</v>
      </c>
      <c r="T28" s="79"/>
      <c r="U28" s="96">
        <v>1528788.233006689</v>
      </c>
    </row>
    <row r="29" spans="2:21" ht="15" customHeight="1" x14ac:dyDescent="0.2">
      <c r="B29" s="78" t="s">
        <v>10</v>
      </c>
      <c r="C29" s="81">
        <v>71536.531049930272</v>
      </c>
      <c r="D29" s="81">
        <v>49121.036313145531</v>
      </c>
      <c r="E29" s="81">
        <v>54597.812422630079</v>
      </c>
      <c r="F29" s="81">
        <v>79182.555876888538</v>
      </c>
      <c r="G29" s="81">
        <v>67959.831421896466</v>
      </c>
      <c r="H29" s="81">
        <v>96640.12725132065</v>
      </c>
      <c r="I29" s="81">
        <v>81177.706891109337</v>
      </c>
      <c r="J29" s="81">
        <v>31548.325412366608</v>
      </c>
      <c r="K29" s="81">
        <v>124073.45369685687</v>
      </c>
      <c r="L29" s="81">
        <v>75067.55691005812</v>
      </c>
      <c r="M29" s="81">
        <v>107987.54864470153</v>
      </c>
      <c r="N29" s="81">
        <v>109234.51802858953</v>
      </c>
      <c r="P29" s="81">
        <v>175255.37978570588</v>
      </c>
      <c r="Q29" s="81">
        <v>243782.51455010567</v>
      </c>
      <c r="R29" s="81">
        <v>236799.48600033281</v>
      </c>
      <c r="S29" s="81">
        <v>292289.62358334917</v>
      </c>
      <c r="T29" s="79"/>
      <c r="U29" s="81">
        <v>948127.00391949352</v>
      </c>
    </row>
    <row r="30" spans="2:21" ht="15" customHeight="1" x14ac:dyDescent="0.2">
      <c r="B30" s="78" t="s">
        <v>11</v>
      </c>
      <c r="C30" s="81">
        <v>57164.874137350569</v>
      </c>
      <c r="D30" s="81">
        <v>49550.040997103133</v>
      </c>
      <c r="E30" s="81">
        <v>52844.75301376127</v>
      </c>
      <c r="F30" s="81">
        <v>58981.651857902798</v>
      </c>
      <c r="G30" s="81">
        <v>48881.199848409939</v>
      </c>
      <c r="H30" s="81">
        <v>69206.800805784471</v>
      </c>
      <c r="I30" s="81">
        <v>44516.807004801907</v>
      </c>
      <c r="J30" s="81">
        <v>41025.292729915476</v>
      </c>
      <c r="K30" s="81">
        <v>46761.351895800311</v>
      </c>
      <c r="L30" s="81">
        <v>33044.688673032222</v>
      </c>
      <c r="M30" s="81">
        <v>33169.385611421028</v>
      </c>
      <c r="N30" s="81">
        <v>45514.382511912328</v>
      </c>
      <c r="P30" s="81">
        <v>159559.66814821499</v>
      </c>
      <c r="Q30" s="81">
        <v>177069.65251209721</v>
      </c>
      <c r="R30" s="81">
        <v>132303.45163051769</v>
      </c>
      <c r="S30" s="81">
        <v>111728.45679636559</v>
      </c>
      <c r="T30" s="79"/>
      <c r="U30" s="81">
        <v>580661.22908719548</v>
      </c>
    </row>
    <row r="31" spans="2:21" ht="15" customHeight="1" x14ac:dyDescent="0.2">
      <c r="B31" s="31" t="s">
        <v>13</v>
      </c>
      <c r="C31" s="97">
        <v>30137.579048021606</v>
      </c>
      <c r="D31" s="97">
        <v>10403.363585971869</v>
      </c>
      <c r="E31" s="97">
        <v>74861.317350601734</v>
      </c>
      <c r="F31" s="97">
        <v>37034.990701473849</v>
      </c>
      <c r="G31" s="97">
        <v>80928.313014331739</v>
      </c>
      <c r="H31" s="97">
        <v>102376.18641720551</v>
      </c>
      <c r="I31" s="97">
        <v>33169.385611421014</v>
      </c>
      <c r="J31" s="97">
        <v>64468.317147010028</v>
      </c>
      <c r="K31" s="97">
        <v>73695.890587781294</v>
      </c>
      <c r="L31" s="97">
        <v>103872.54967787114</v>
      </c>
      <c r="M31" s="97">
        <v>54991.349829461178</v>
      </c>
      <c r="N31" s="97">
        <v>60976.802872123619</v>
      </c>
      <c r="O31" s="36"/>
      <c r="P31" s="97">
        <v>115402.25998459521</v>
      </c>
      <c r="Q31" s="97">
        <v>220339.49013301107</v>
      </c>
      <c r="R31" s="97">
        <v>171333.59334621235</v>
      </c>
      <c r="S31" s="97">
        <v>219840.70237945591</v>
      </c>
      <c r="T31" s="85"/>
      <c r="U31" s="97">
        <v>726916.04584327457</v>
      </c>
    </row>
    <row r="32" spans="2:21" ht="15" customHeight="1" x14ac:dyDescent="0.2">
      <c r="B32" s="52" t="s">
        <v>14</v>
      </c>
      <c r="C32" s="82">
        <v>220722.9098961867</v>
      </c>
      <c r="D32" s="82">
        <v>268235.17864449124</v>
      </c>
      <c r="E32" s="82">
        <v>351793.12524402793</v>
      </c>
      <c r="F32" s="82">
        <v>330322.1897919334</v>
      </c>
      <c r="G32" s="82">
        <v>324586.1306260486</v>
      </c>
      <c r="H32" s="82">
        <v>563754.85845576867</v>
      </c>
      <c r="I32" s="82">
        <v>319847.6469672742</v>
      </c>
      <c r="J32" s="82">
        <v>331319.76529904385</v>
      </c>
      <c r="K32" s="82">
        <v>542431.68199128367</v>
      </c>
      <c r="L32" s="82">
        <v>486442.75665471214</v>
      </c>
      <c r="M32" s="82">
        <v>414617.32014276285</v>
      </c>
      <c r="N32" s="82">
        <v>576349.24923303747</v>
      </c>
      <c r="P32" s="82">
        <v>840751.21378470585</v>
      </c>
      <c r="Q32" s="82">
        <v>1218663.1788737508</v>
      </c>
      <c r="R32" s="82">
        <v>1193599.0942576015</v>
      </c>
      <c r="S32" s="82">
        <v>1477409.3260305123</v>
      </c>
      <c r="T32" s="79"/>
      <c r="U32" s="82">
        <v>4730422.812946571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v>168</v>
      </c>
      <c r="D34" s="86">
        <v>160</v>
      </c>
      <c r="E34" s="86">
        <v>184</v>
      </c>
      <c r="F34" s="86">
        <v>160</v>
      </c>
      <c r="G34" s="86">
        <v>184</v>
      </c>
      <c r="H34" s="86">
        <v>168</v>
      </c>
      <c r="I34" s="86">
        <v>160</v>
      </c>
      <c r="J34" s="86">
        <v>184</v>
      </c>
      <c r="K34" s="86">
        <v>160</v>
      </c>
      <c r="L34" s="86">
        <v>176</v>
      </c>
      <c r="M34" s="86">
        <v>168</v>
      </c>
      <c r="N34" s="86">
        <v>168</v>
      </c>
      <c r="O34" s="38"/>
      <c r="P34" s="86">
        <v>512</v>
      </c>
      <c r="Q34" s="86">
        <v>512</v>
      </c>
      <c r="R34" s="86">
        <v>504</v>
      </c>
      <c r="S34" s="86">
        <v>512</v>
      </c>
      <c r="T34" s="86"/>
      <c r="U34" s="86"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v>16</v>
      </c>
      <c r="D36" s="103">
        <v>16</v>
      </c>
      <c r="E36" s="103">
        <v>16</v>
      </c>
      <c r="F36" s="103">
        <v>17</v>
      </c>
      <c r="G36" s="103">
        <v>18</v>
      </c>
      <c r="H36" s="103">
        <v>18</v>
      </c>
      <c r="I36" s="103">
        <v>18</v>
      </c>
      <c r="J36" s="103">
        <v>19</v>
      </c>
      <c r="K36" s="103">
        <v>19</v>
      </c>
      <c r="L36" s="103">
        <v>19</v>
      </c>
      <c r="M36" s="103">
        <v>19</v>
      </c>
      <c r="N36" s="103">
        <v>20</v>
      </c>
      <c r="O36" s="37"/>
      <c r="P36" s="103">
        <v>16</v>
      </c>
      <c r="Q36" s="103">
        <v>17.70064874884152</v>
      </c>
      <c r="R36" s="103">
        <v>18.694915254237287</v>
      </c>
      <c r="S36" s="103">
        <v>19.339270568278202</v>
      </c>
      <c r="T36" s="87"/>
      <c r="U36" s="103">
        <v>18.038498912362567</v>
      </c>
    </row>
    <row r="37" spans="2:21" ht="15" customHeight="1" x14ac:dyDescent="0.2">
      <c r="B37" s="51" t="s">
        <v>1</v>
      </c>
      <c r="C37" s="103">
        <v>225</v>
      </c>
      <c r="D37" s="103">
        <v>225</v>
      </c>
      <c r="E37" s="103">
        <v>225</v>
      </c>
      <c r="F37" s="103">
        <v>235</v>
      </c>
      <c r="G37" s="103">
        <v>235</v>
      </c>
      <c r="H37" s="103">
        <v>235</v>
      </c>
      <c r="I37" s="103">
        <v>235</v>
      </c>
      <c r="J37" s="103">
        <v>235</v>
      </c>
      <c r="K37" s="103">
        <v>235</v>
      </c>
      <c r="L37" s="103">
        <v>235</v>
      </c>
      <c r="M37" s="103">
        <v>235</v>
      </c>
      <c r="N37" s="103">
        <v>235</v>
      </c>
      <c r="O37" s="37"/>
      <c r="P37" s="103">
        <v>225</v>
      </c>
      <c r="Q37" s="103">
        <v>235</v>
      </c>
      <c r="R37" s="103">
        <v>235</v>
      </c>
      <c r="S37" s="103">
        <v>235</v>
      </c>
      <c r="T37" s="87"/>
      <c r="U37" s="103">
        <v>232.83360380401808</v>
      </c>
    </row>
    <row r="38" spans="2:21" ht="15" customHeight="1" x14ac:dyDescent="0.2">
      <c r="B38" s="51" t="s">
        <v>2</v>
      </c>
      <c r="C38" s="103">
        <v>128</v>
      </c>
      <c r="D38" s="103">
        <v>128</v>
      </c>
      <c r="E38" s="103">
        <v>128</v>
      </c>
      <c r="F38" s="103">
        <v>136</v>
      </c>
      <c r="G38" s="103">
        <v>144</v>
      </c>
      <c r="H38" s="103">
        <v>144</v>
      </c>
      <c r="I38" s="103">
        <v>144</v>
      </c>
      <c r="J38" s="103">
        <v>152</v>
      </c>
      <c r="K38" s="103">
        <v>152</v>
      </c>
      <c r="L38" s="103">
        <v>152</v>
      </c>
      <c r="M38" s="103">
        <v>152</v>
      </c>
      <c r="N38" s="103">
        <v>160</v>
      </c>
      <c r="O38" s="38"/>
      <c r="P38" s="103">
        <v>384</v>
      </c>
      <c r="Q38" s="103">
        <v>424</v>
      </c>
      <c r="R38" s="103">
        <v>448</v>
      </c>
      <c r="S38" s="103">
        <v>464</v>
      </c>
      <c r="T38" s="86"/>
      <c r="U38" s="103">
        <v>1720</v>
      </c>
    </row>
    <row r="39" spans="2:21" ht="15" customHeight="1" x14ac:dyDescent="0.2">
      <c r="B39" s="51" t="s">
        <v>3</v>
      </c>
      <c r="C39" s="84">
        <v>0.75</v>
      </c>
      <c r="D39" s="84">
        <v>0.75</v>
      </c>
      <c r="E39" s="84">
        <v>0.75</v>
      </c>
      <c r="F39" s="84">
        <v>0.75</v>
      </c>
      <c r="G39" s="84">
        <v>0.75</v>
      </c>
      <c r="H39" s="84">
        <v>0.75</v>
      </c>
      <c r="I39" s="84">
        <v>0.75</v>
      </c>
      <c r="J39" s="84">
        <v>0.75</v>
      </c>
      <c r="K39" s="84">
        <v>0.75</v>
      </c>
      <c r="L39" s="84">
        <v>0.75</v>
      </c>
      <c r="M39" s="84">
        <v>0.75</v>
      </c>
      <c r="N39" s="84">
        <v>0.75</v>
      </c>
      <c r="P39" s="84">
        <v>0.75</v>
      </c>
      <c r="Q39" s="84">
        <v>0.75</v>
      </c>
      <c r="R39" s="84">
        <v>0.75</v>
      </c>
      <c r="S39" s="84">
        <v>0.75</v>
      </c>
      <c r="T39" s="79"/>
      <c r="U39" s="84">
        <v>0.75</v>
      </c>
    </row>
    <row r="40" spans="2:21" ht="15" customHeight="1" x14ac:dyDescent="0.2">
      <c r="B40" s="31" t="s">
        <v>6</v>
      </c>
      <c r="C40" s="104">
        <v>0.625</v>
      </c>
      <c r="D40" s="104">
        <v>0.625</v>
      </c>
      <c r="E40" s="104">
        <v>0.625</v>
      </c>
      <c r="F40" s="104">
        <v>0.625</v>
      </c>
      <c r="G40" s="104">
        <v>0.625</v>
      </c>
      <c r="H40" s="104">
        <v>0.625</v>
      </c>
      <c r="I40" s="104">
        <v>0.625</v>
      </c>
      <c r="J40" s="104">
        <v>0.625</v>
      </c>
      <c r="K40" s="104">
        <v>0.625</v>
      </c>
      <c r="L40" s="104">
        <v>0.625</v>
      </c>
      <c r="M40" s="104">
        <v>0.625</v>
      </c>
      <c r="N40" s="104">
        <v>0.625</v>
      </c>
      <c r="P40" s="104">
        <v>0.625</v>
      </c>
      <c r="Q40" s="104">
        <v>0.625</v>
      </c>
      <c r="R40" s="104">
        <v>0.625</v>
      </c>
      <c r="S40" s="104">
        <v>0.625</v>
      </c>
      <c r="T40" s="79"/>
      <c r="U40" s="104">
        <v>0.625</v>
      </c>
    </row>
    <row r="41" spans="2:21" ht="15" customHeight="1" x14ac:dyDescent="0.2">
      <c r="B41" s="52" t="s">
        <v>25</v>
      </c>
      <c r="C41" s="82">
        <v>360000</v>
      </c>
      <c r="D41" s="82">
        <v>342000</v>
      </c>
      <c r="E41" s="82">
        <v>396000</v>
      </c>
      <c r="F41" s="82">
        <v>379525</v>
      </c>
      <c r="G41" s="82">
        <v>465300</v>
      </c>
      <c r="H41" s="82">
        <v>423000</v>
      </c>
      <c r="I41" s="82">
        <v>401850</v>
      </c>
      <c r="J41" s="82">
        <v>491150</v>
      </c>
      <c r="K41" s="82">
        <v>424175</v>
      </c>
      <c r="L41" s="82">
        <v>468825</v>
      </c>
      <c r="M41" s="82">
        <v>446500</v>
      </c>
      <c r="N41" s="82">
        <v>470000</v>
      </c>
      <c r="P41" s="82">
        <v>1098000</v>
      </c>
      <c r="Q41" s="82">
        <v>1267825</v>
      </c>
      <c r="R41" s="82">
        <v>1317175</v>
      </c>
      <c r="S41" s="82">
        <v>1385325</v>
      </c>
      <c r="T41" s="79"/>
      <c r="U41" s="82"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v>5</v>
      </c>
      <c r="D43" s="103">
        <v>5</v>
      </c>
      <c r="E43" s="103">
        <v>5</v>
      </c>
      <c r="F43" s="103">
        <v>6</v>
      </c>
      <c r="G43" s="103">
        <v>6</v>
      </c>
      <c r="H43" s="103">
        <v>6</v>
      </c>
      <c r="I43" s="103">
        <v>6</v>
      </c>
      <c r="J43" s="103">
        <v>6</v>
      </c>
      <c r="K43" s="103">
        <v>6</v>
      </c>
      <c r="L43" s="103">
        <v>7</v>
      </c>
      <c r="M43" s="103">
        <v>7</v>
      </c>
      <c r="N43" s="103">
        <v>7</v>
      </c>
      <c r="P43" s="103">
        <v>5</v>
      </c>
      <c r="Q43" s="103">
        <v>6</v>
      </c>
      <c r="R43" s="103">
        <v>6</v>
      </c>
      <c r="S43" s="103">
        <v>7</v>
      </c>
      <c r="T43" s="87"/>
      <c r="U43" s="103">
        <v>6.0906966864910794</v>
      </c>
    </row>
    <row r="44" spans="2:21" ht="15" customHeight="1" x14ac:dyDescent="0.2">
      <c r="B44" s="51" t="s">
        <v>5</v>
      </c>
      <c r="C44" s="103">
        <v>315</v>
      </c>
      <c r="D44" s="103">
        <v>315</v>
      </c>
      <c r="E44" s="103">
        <v>315</v>
      </c>
      <c r="F44" s="103">
        <v>325</v>
      </c>
      <c r="G44" s="103">
        <v>325</v>
      </c>
      <c r="H44" s="103">
        <v>325</v>
      </c>
      <c r="I44" s="103">
        <v>325</v>
      </c>
      <c r="J44" s="103">
        <v>325</v>
      </c>
      <c r="K44" s="103">
        <v>325</v>
      </c>
      <c r="L44" s="103">
        <v>325</v>
      </c>
      <c r="M44" s="103">
        <v>325</v>
      </c>
      <c r="N44" s="103">
        <v>325</v>
      </c>
      <c r="P44" s="103">
        <v>315</v>
      </c>
      <c r="Q44" s="103">
        <v>325</v>
      </c>
      <c r="R44" s="103">
        <v>325</v>
      </c>
      <c r="S44" s="103">
        <v>325</v>
      </c>
      <c r="T44" s="87"/>
      <c r="U44" s="103">
        <v>322.95932455395069</v>
      </c>
    </row>
    <row r="45" spans="2:21" ht="15" customHeight="1" x14ac:dyDescent="0.2">
      <c r="B45" s="51" t="s">
        <v>2</v>
      </c>
      <c r="C45" s="103">
        <v>40</v>
      </c>
      <c r="D45" s="103">
        <v>40</v>
      </c>
      <c r="E45" s="103">
        <v>40</v>
      </c>
      <c r="F45" s="103">
        <v>48</v>
      </c>
      <c r="G45" s="103">
        <v>48</v>
      </c>
      <c r="H45" s="103">
        <v>48</v>
      </c>
      <c r="I45" s="103">
        <v>48</v>
      </c>
      <c r="J45" s="103">
        <v>48</v>
      </c>
      <c r="K45" s="103">
        <v>48</v>
      </c>
      <c r="L45" s="103">
        <v>56</v>
      </c>
      <c r="M45" s="103">
        <v>56</v>
      </c>
      <c r="N45" s="103">
        <v>56</v>
      </c>
      <c r="P45" s="103">
        <v>120</v>
      </c>
      <c r="Q45" s="103">
        <v>144</v>
      </c>
      <c r="R45" s="103">
        <v>144</v>
      </c>
      <c r="S45" s="103">
        <v>168</v>
      </c>
      <c r="T45" s="86"/>
      <c r="U45" s="103">
        <v>576</v>
      </c>
    </row>
    <row r="46" spans="2:21" ht="15" customHeight="1" x14ac:dyDescent="0.2">
      <c r="B46" s="31" t="s">
        <v>6</v>
      </c>
      <c r="C46" s="104">
        <v>0.375</v>
      </c>
      <c r="D46" s="104">
        <v>0.375</v>
      </c>
      <c r="E46" s="104">
        <v>0.375</v>
      </c>
      <c r="F46" s="104">
        <v>0.375</v>
      </c>
      <c r="G46" s="104">
        <v>0.375</v>
      </c>
      <c r="H46" s="104">
        <v>0.375</v>
      </c>
      <c r="I46" s="104">
        <v>0.375</v>
      </c>
      <c r="J46" s="104">
        <v>0.375</v>
      </c>
      <c r="K46" s="104">
        <v>0.375</v>
      </c>
      <c r="L46" s="104">
        <v>0.375</v>
      </c>
      <c r="M46" s="104">
        <v>0.375</v>
      </c>
      <c r="N46" s="104">
        <v>0.375</v>
      </c>
      <c r="P46" s="104">
        <v>0.375</v>
      </c>
      <c r="Q46" s="104">
        <v>0.375</v>
      </c>
      <c r="R46" s="104">
        <v>0.375</v>
      </c>
      <c r="S46" s="104">
        <v>0.375</v>
      </c>
      <c r="T46" s="79"/>
      <c r="U46" s="104">
        <v>0.375</v>
      </c>
    </row>
    <row r="47" spans="2:21" ht="15" customHeight="1" x14ac:dyDescent="0.2">
      <c r="B47" s="52" t="s">
        <v>25</v>
      </c>
      <c r="C47" s="82">
        <v>94500</v>
      </c>
      <c r="D47" s="82">
        <v>89775</v>
      </c>
      <c r="E47" s="82">
        <v>103950</v>
      </c>
      <c r="F47" s="82">
        <v>111150</v>
      </c>
      <c r="G47" s="82">
        <v>128700</v>
      </c>
      <c r="H47" s="82">
        <v>117000</v>
      </c>
      <c r="I47" s="82">
        <v>111150</v>
      </c>
      <c r="J47" s="82">
        <v>128700</v>
      </c>
      <c r="K47" s="82">
        <v>111150</v>
      </c>
      <c r="L47" s="82">
        <v>143325</v>
      </c>
      <c r="M47" s="82">
        <v>136500</v>
      </c>
      <c r="N47" s="82">
        <v>136500</v>
      </c>
      <c r="P47" s="82">
        <v>288225</v>
      </c>
      <c r="Q47" s="82">
        <v>356850</v>
      </c>
      <c r="R47" s="82">
        <v>351000</v>
      </c>
      <c r="S47" s="82">
        <v>416325</v>
      </c>
      <c r="T47" s="79"/>
      <c r="U47" s="82"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v>0</v>
      </c>
      <c r="D50" s="96">
        <v>153190.23301159657</v>
      </c>
      <c r="E50" s="96">
        <v>169090.83155475667</v>
      </c>
      <c r="F50" s="96">
        <v>265251.83996901853</v>
      </c>
      <c r="G50" s="96">
        <v>163427.07720225363</v>
      </c>
      <c r="H50" s="96">
        <v>188303.63798161977</v>
      </c>
      <c r="I50" s="96">
        <v>277544.04009253083</v>
      </c>
      <c r="J50" s="96">
        <v>235773.56834553348</v>
      </c>
      <c r="K50" s="96">
        <v>204711.9448518455</v>
      </c>
      <c r="L50" s="96">
        <v>273062.85140419292</v>
      </c>
      <c r="M50" s="96">
        <v>194727.24305957937</v>
      </c>
      <c r="N50" s="96">
        <v>241311.15892998144</v>
      </c>
      <c r="P50" s="96">
        <v>322281.06456635322</v>
      </c>
      <c r="Q50" s="96">
        <v>616982.5551528919</v>
      </c>
      <c r="R50" s="96">
        <v>718029.55328990985</v>
      </c>
      <c r="S50" s="96">
        <v>709101.25339375366</v>
      </c>
      <c r="T50" s="79"/>
      <c r="U50" s="96">
        <v>2366394.4264029087</v>
      </c>
    </row>
    <row r="51" spans="2:21" ht="15" customHeight="1" x14ac:dyDescent="0.2">
      <c r="B51" s="55" t="s">
        <v>67</v>
      </c>
      <c r="C51" s="96">
        <v>5500000</v>
      </c>
      <c r="D51" s="96">
        <v>5461041.666666666</v>
      </c>
      <c r="E51" s="96">
        <v>5422359.2881944431</v>
      </c>
      <c r="F51" s="96">
        <v>5383950.9099030662</v>
      </c>
      <c r="G51" s="96">
        <v>5345814.5909579201</v>
      </c>
      <c r="H51" s="96">
        <v>5307948.4042719677</v>
      </c>
      <c r="I51" s="96">
        <v>5270350.4364083745</v>
      </c>
      <c r="J51" s="96">
        <v>5233018.7874838151</v>
      </c>
      <c r="K51" s="96">
        <v>5195951.5710724704</v>
      </c>
      <c r="L51" s="96">
        <v>5159146.9141107062</v>
      </c>
      <c r="M51" s="96">
        <v>5122602.9568024222</v>
      </c>
      <c r="N51" s="96">
        <v>5086317.8525250712</v>
      </c>
      <c r="P51" s="96">
        <v>16383400.954861108</v>
      </c>
      <c r="Q51" s="96">
        <v>16037713.905132953</v>
      </c>
      <c r="R51" s="96">
        <v>15699320.79496466</v>
      </c>
      <c r="S51" s="96">
        <v>15368067.7234382</v>
      </c>
      <c r="T51" s="79"/>
      <c r="U51" s="96">
        <v>63488503.378396928</v>
      </c>
    </row>
    <row r="52" spans="2:21" ht="15" customHeight="1" x14ac:dyDescent="0.2">
      <c r="B52" s="105" t="s">
        <v>70</v>
      </c>
      <c r="C52" s="81">
        <v>2585000</v>
      </c>
      <c r="D52" s="81">
        <v>2566689.583333333</v>
      </c>
      <c r="E52" s="81">
        <v>2548508.8654513881</v>
      </c>
      <c r="F52" s="81">
        <v>2530456.927654441</v>
      </c>
      <c r="G52" s="81">
        <v>2512532.8577502221</v>
      </c>
      <c r="H52" s="81">
        <v>2494735.7500078245</v>
      </c>
      <c r="I52" s="81">
        <v>2477064.7051119357</v>
      </c>
      <c r="J52" s="81">
        <v>2459518.8301173928</v>
      </c>
      <c r="K52" s="81">
        <v>2442097.2384040612</v>
      </c>
      <c r="L52" s="81">
        <v>2424799.0496320319</v>
      </c>
      <c r="M52" s="81">
        <v>2407623.3896971382</v>
      </c>
      <c r="N52" s="81">
        <v>2390569.3906867835</v>
      </c>
      <c r="P52" s="81">
        <v>7700198.4487847211</v>
      </c>
      <c r="Q52" s="81">
        <v>7537725.5354124885</v>
      </c>
      <c r="R52" s="81">
        <v>7378680.7736333907</v>
      </c>
      <c r="S52" s="81">
        <v>7222991.8300159536</v>
      </c>
      <c r="T52" s="79"/>
      <c r="U52" s="81">
        <v>29839596.587846555</v>
      </c>
    </row>
    <row r="53" spans="2:21" ht="15" customHeight="1" x14ac:dyDescent="0.2">
      <c r="B53" s="105" t="s">
        <v>71</v>
      </c>
      <c r="C53" s="81">
        <v>2365000</v>
      </c>
      <c r="D53" s="81">
        <v>2348247.9166666665</v>
      </c>
      <c r="E53" s="81">
        <v>2331614.4939236105</v>
      </c>
      <c r="F53" s="81">
        <v>2315098.8912583184</v>
      </c>
      <c r="G53" s="81">
        <v>2298700.2741119056</v>
      </c>
      <c r="H53" s="81">
        <v>2282417.8138369462</v>
      </c>
      <c r="I53" s="81">
        <v>2266250.6876556012</v>
      </c>
      <c r="J53" s="81">
        <v>2250198.0786180403</v>
      </c>
      <c r="K53" s="81">
        <v>2234259.1755611622</v>
      </c>
      <c r="L53" s="81">
        <v>2218433.1730676037</v>
      </c>
      <c r="M53" s="81">
        <v>2202719.2714250414</v>
      </c>
      <c r="N53" s="81">
        <v>2187116.6765857805</v>
      </c>
      <c r="P53" s="81">
        <v>7044862.4105902761</v>
      </c>
      <c r="Q53" s="81">
        <v>6896216.9792071702</v>
      </c>
      <c r="R53" s="81">
        <v>6750707.9418348037</v>
      </c>
      <c r="S53" s="81">
        <v>6608269.121078426</v>
      </c>
      <c r="T53" s="79"/>
      <c r="U53" s="81">
        <v>27300056.452710673</v>
      </c>
    </row>
    <row r="54" spans="2:21" ht="15" customHeight="1" x14ac:dyDescent="0.2">
      <c r="B54" s="105" t="s">
        <v>72</v>
      </c>
      <c r="C54" s="81">
        <v>440000</v>
      </c>
      <c r="D54" s="81">
        <v>436883.33333333331</v>
      </c>
      <c r="E54" s="81">
        <v>433788.74305555545</v>
      </c>
      <c r="F54" s="81">
        <v>430716.07279224531</v>
      </c>
      <c r="G54" s="81">
        <v>427665.16727663361</v>
      </c>
      <c r="H54" s="81">
        <v>424635.87234175741</v>
      </c>
      <c r="I54" s="81">
        <v>421628.03491266997</v>
      </c>
      <c r="J54" s="81">
        <v>418641.5029987052</v>
      </c>
      <c r="K54" s="81">
        <v>415676.12568579766</v>
      </c>
      <c r="L54" s="81">
        <v>412731.75312885648</v>
      </c>
      <c r="M54" s="81">
        <v>409808.23654419376</v>
      </c>
      <c r="N54" s="81">
        <v>406905.42820200569</v>
      </c>
      <c r="P54" s="81">
        <v>1310672.0763888888</v>
      </c>
      <c r="Q54" s="81">
        <v>1283017.1124106364</v>
      </c>
      <c r="R54" s="81">
        <v>1255945.6635971728</v>
      </c>
      <c r="S54" s="81">
        <v>1229445.4178750559</v>
      </c>
      <c r="T54" s="79"/>
      <c r="U54" s="81">
        <v>5079080.2702717539</v>
      </c>
    </row>
    <row r="55" spans="2:21" ht="15" customHeight="1" x14ac:dyDescent="0.2">
      <c r="B55" s="105" t="s">
        <v>73</v>
      </c>
      <c r="C55" s="81">
        <v>110000</v>
      </c>
      <c r="D55" s="81">
        <v>109220.83333333333</v>
      </c>
      <c r="E55" s="81">
        <v>108447.18576388886</v>
      </c>
      <c r="F55" s="81">
        <v>107679.01819806133</v>
      </c>
      <c r="G55" s="81">
        <v>106916.2918191584</v>
      </c>
      <c r="H55" s="81">
        <v>106158.96808543935</v>
      </c>
      <c r="I55" s="81">
        <v>105407.00872816749</v>
      </c>
      <c r="J55" s="81">
        <v>104660.3757496763</v>
      </c>
      <c r="K55" s="81">
        <v>103919.03142144941</v>
      </c>
      <c r="L55" s="81">
        <v>103182.93828221412</v>
      </c>
      <c r="M55" s="81">
        <v>102452.05913604844</v>
      </c>
      <c r="N55" s="81">
        <v>101726.35705050142</v>
      </c>
      <c r="P55" s="81">
        <v>327668.01909722219</v>
      </c>
      <c r="Q55" s="81">
        <v>320754.2781026591</v>
      </c>
      <c r="R55" s="81">
        <v>313986.41589929321</v>
      </c>
      <c r="S55" s="81">
        <v>307361.35446876398</v>
      </c>
      <c r="T55" s="79"/>
      <c r="U55" s="81">
        <v>1269770.0675679385</v>
      </c>
    </row>
    <row r="56" spans="2:21" ht="15" customHeight="1" x14ac:dyDescent="0.2">
      <c r="B56" s="55" t="s">
        <v>68</v>
      </c>
      <c r="C56" s="107">
        <v>454500</v>
      </c>
      <c r="D56" s="107">
        <v>431775</v>
      </c>
      <c r="E56" s="107">
        <v>499950</v>
      </c>
      <c r="F56" s="107">
        <v>490675</v>
      </c>
      <c r="G56" s="107">
        <v>594000</v>
      </c>
      <c r="H56" s="107">
        <v>540000</v>
      </c>
      <c r="I56" s="107">
        <v>513000</v>
      </c>
      <c r="J56" s="107">
        <v>619850</v>
      </c>
      <c r="K56" s="107">
        <v>535325</v>
      </c>
      <c r="L56" s="107">
        <v>612150</v>
      </c>
      <c r="M56" s="107">
        <v>583000</v>
      </c>
      <c r="N56" s="107">
        <v>606500</v>
      </c>
      <c r="P56" s="107">
        <v>1386225</v>
      </c>
      <c r="Q56" s="107">
        <v>1624675</v>
      </c>
      <c r="R56" s="107">
        <v>1668175</v>
      </c>
      <c r="S56" s="107">
        <v>1801650</v>
      </c>
      <c r="T56" s="79"/>
      <c r="U56" s="107">
        <v>6480725</v>
      </c>
    </row>
    <row r="57" spans="2:21" ht="15" customHeight="1" x14ac:dyDescent="0.2">
      <c r="B57" s="105" t="s">
        <v>22</v>
      </c>
      <c r="C57" s="27">
        <v>360000</v>
      </c>
      <c r="D57" s="27">
        <v>342000</v>
      </c>
      <c r="E57" s="27">
        <v>396000</v>
      </c>
      <c r="F57" s="27">
        <v>379525</v>
      </c>
      <c r="G57" s="27">
        <v>465300</v>
      </c>
      <c r="H57" s="27">
        <v>423000</v>
      </c>
      <c r="I57" s="27">
        <v>401850</v>
      </c>
      <c r="J57" s="27">
        <v>491150</v>
      </c>
      <c r="K57" s="27">
        <v>424175</v>
      </c>
      <c r="L57" s="27">
        <v>468825</v>
      </c>
      <c r="M57" s="27">
        <v>446500</v>
      </c>
      <c r="N57" s="27">
        <v>470000</v>
      </c>
      <c r="P57" s="27">
        <v>1098000</v>
      </c>
      <c r="Q57" s="27">
        <v>1267825</v>
      </c>
      <c r="R57" s="27">
        <v>1317175</v>
      </c>
      <c r="S57" s="27">
        <v>1385325</v>
      </c>
      <c r="T57" s="79"/>
      <c r="U57" s="27">
        <v>5068325</v>
      </c>
    </row>
    <row r="58" spans="2:21" ht="15" customHeight="1" x14ac:dyDescent="0.2">
      <c r="B58" s="69" t="s">
        <v>23</v>
      </c>
      <c r="C58" s="106">
        <v>94500</v>
      </c>
      <c r="D58" s="106">
        <v>89775</v>
      </c>
      <c r="E58" s="106">
        <v>103950</v>
      </c>
      <c r="F58" s="106">
        <v>111150</v>
      </c>
      <c r="G58" s="106">
        <v>128700</v>
      </c>
      <c r="H58" s="106">
        <v>117000</v>
      </c>
      <c r="I58" s="106">
        <v>111150</v>
      </c>
      <c r="J58" s="106">
        <v>128700</v>
      </c>
      <c r="K58" s="106">
        <v>111150</v>
      </c>
      <c r="L58" s="106">
        <v>143325</v>
      </c>
      <c r="M58" s="106">
        <v>136500</v>
      </c>
      <c r="N58" s="106">
        <v>136500</v>
      </c>
      <c r="P58" s="106">
        <v>288225</v>
      </c>
      <c r="Q58" s="106">
        <v>356850</v>
      </c>
      <c r="R58" s="106">
        <v>351000</v>
      </c>
      <c r="S58" s="106">
        <v>416325</v>
      </c>
      <c r="T58" s="79"/>
      <c r="U58" s="106">
        <v>1412400</v>
      </c>
    </row>
    <row r="59" spans="2:21" ht="15" customHeight="1" x14ac:dyDescent="0.2">
      <c r="B59" s="52" t="s">
        <v>69</v>
      </c>
      <c r="C59" s="28">
        <v>5954500</v>
      </c>
      <c r="D59" s="28">
        <v>6046006.8996782629</v>
      </c>
      <c r="E59" s="28">
        <v>6091400.1197491996</v>
      </c>
      <c r="F59" s="28">
        <v>6139877.7498720847</v>
      </c>
      <c r="G59" s="28">
        <v>6103241.668160174</v>
      </c>
      <c r="H59" s="28">
        <v>6036252.0422535874</v>
      </c>
      <c r="I59" s="28">
        <v>6060894.4765009051</v>
      </c>
      <c r="J59" s="28">
        <v>6088642.3558293488</v>
      </c>
      <c r="K59" s="28">
        <v>5935988.5159243159</v>
      </c>
      <c r="L59" s="28">
        <v>6044359.765514899</v>
      </c>
      <c r="M59" s="28">
        <v>5900330.1998620015</v>
      </c>
      <c r="N59" s="28">
        <v>5934129.0114550525</v>
      </c>
      <c r="P59" s="28">
        <v>18091907.019427463</v>
      </c>
      <c r="Q59" s="28">
        <v>18279371.460285846</v>
      </c>
      <c r="R59" s="28">
        <v>18085525.348254569</v>
      </c>
      <c r="S59" s="28">
        <v>17878818.976831954</v>
      </c>
      <c r="T59" s="79"/>
      <c r="U59" s="28">
        <v>72335622.804799825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v>297725</v>
      </c>
      <c r="D62" s="26">
        <v>302300.34498391318</v>
      </c>
      <c r="E62" s="26">
        <v>304570.00598745997</v>
      </c>
      <c r="F62" s="26">
        <v>306993.88749360427</v>
      </c>
      <c r="G62" s="26">
        <v>305162.08340800874</v>
      </c>
      <c r="H62" s="26">
        <v>301812.60211267939</v>
      </c>
      <c r="I62" s="26">
        <v>303044.72382504528</v>
      </c>
      <c r="J62" s="26">
        <v>304432.11779146746</v>
      </c>
      <c r="K62" s="26">
        <v>296799.42579621583</v>
      </c>
      <c r="L62" s="26">
        <v>302217.98827574495</v>
      </c>
      <c r="M62" s="26">
        <v>295016.50999310007</v>
      </c>
      <c r="N62" s="26">
        <v>296706.45057275263</v>
      </c>
      <c r="P62" s="26">
        <v>904595.35097137326</v>
      </c>
      <c r="Q62" s="26">
        <v>913968.5730142924</v>
      </c>
      <c r="R62" s="26">
        <v>904276.26741272863</v>
      </c>
      <c r="S62" s="26">
        <v>893940.94884159765</v>
      </c>
      <c r="T62" s="79"/>
      <c r="U62" s="26">
        <v>3616781.1402399922</v>
      </c>
    </row>
    <row r="63" spans="2:21" ht="15" customHeight="1" x14ac:dyDescent="0.2">
      <c r="B63" s="57" t="s">
        <v>45</v>
      </c>
      <c r="C63" s="26">
        <v>178635</v>
      </c>
      <c r="D63" s="26">
        <v>181380.20699034788</v>
      </c>
      <c r="E63" s="26">
        <v>182742.00359247599</v>
      </c>
      <c r="F63" s="26">
        <v>184196.33249616253</v>
      </c>
      <c r="G63" s="26">
        <v>183097.2500448052</v>
      </c>
      <c r="H63" s="26">
        <v>181087.56126760761</v>
      </c>
      <c r="I63" s="26">
        <v>181826.83429502713</v>
      </c>
      <c r="J63" s="26">
        <v>182659.27067488045</v>
      </c>
      <c r="K63" s="26">
        <v>178079.65547772948</v>
      </c>
      <c r="L63" s="26">
        <v>181330.79296544698</v>
      </c>
      <c r="M63" s="26">
        <v>177009.90599586003</v>
      </c>
      <c r="N63" s="26">
        <v>178023.87034365156</v>
      </c>
      <c r="P63" s="26">
        <v>542757.21058282384</v>
      </c>
      <c r="Q63" s="26">
        <v>548381.14380857535</v>
      </c>
      <c r="R63" s="26">
        <v>542565.76044763706</v>
      </c>
      <c r="S63" s="26">
        <v>536364.56930495857</v>
      </c>
      <c r="T63" s="79"/>
      <c r="U63" s="26">
        <v>2170068.6841439949</v>
      </c>
    </row>
    <row r="64" spans="2:21" ht="15" customHeight="1" x14ac:dyDescent="0.2">
      <c r="B64" s="57" t="s">
        <v>74</v>
      </c>
      <c r="C64" s="26">
        <v>184589.5</v>
      </c>
      <c r="D64" s="26">
        <v>187426.21389002615</v>
      </c>
      <c r="E64" s="26">
        <v>188833.40371222518</v>
      </c>
      <c r="F64" s="26">
        <v>190336.21024603464</v>
      </c>
      <c r="G64" s="26">
        <v>189200.49171296539</v>
      </c>
      <c r="H64" s="26">
        <v>187123.8133098612</v>
      </c>
      <c r="I64" s="26">
        <v>187887.72877152805</v>
      </c>
      <c r="J64" s="26">
        <v>188747.91303070981</v>
      </c>
      <c r="K64" s="26">
        <v>184015.64399365379</v>
      </c>
      <c r="L64" s="26">
        <v>187375.15273096188</v>
      </c>
      <c r="M64" s="26">
        <v>182910.23619572204</v>
      </c>
      <c r="N64" s="26">
        <v>183957.99935510661</v>
      </c>
      <c r="P64" s="26">
        <v>560849.11760225135</v>
      </c>
      <c r="Q64" s="26">
        <v>566660.5152688612</v>
      </c>
      <c r="R64" s="26">
        <v>560651.28579589166</v>
      </c>
      <c r="S64" s="26">
        <v>554243.38828179054</v>
      </c>
      <c r="T64" s="79"/>
      <c r="U64" s="26">
        <v>2242404.306948795</v>
      </c>
    </row>
    <row r="65" spans="2:21" ht="15" customHeight="1" x14ac:dyDescent="0.2">
      <c r="B65" s="89" t="s">
        <v>75</v>
      </c>
      <c r="C65" s="32">
        <v>190544</v>
      </c>
      <c r="D65" s="32">
        <v>193472.22078970441</v>
      </c>
      <c r="E65" s="32">
        <v>194924.80383197439</v>
      </c>
      <c r="F65" s="32">
        <v>196476.08799590671</v>
      </c>
      <c r="G65" s="32">
        <v>195303.73338112558</v>
      </c>
      <c r="H65" s="32">
        <v>193160.06535211479</v>
      </c>
      <c r="I65" s="32">
        <v>193948.62324802898</v>
      </c>
      <c r="J65" s="32">
        <v>194836.55538653917</v>
      </c>
      <c r="K65" s="32">
        <v>189951.63250957811</v>
      </c>
      <c r="L65" s="32">
        <v>193419.51249647676</v>
      </c>
      <c r="M65" s="32">
        <v>188810.56639558406</v>
      </c>
      <c r="N65" s="32">
        <v>189892.12836656169</v>
      </c>
      <c r="P65" s="32">
        <v>578941.02462167875</v>
      </c>
      <c r="Q65" s="32">
        <v>584939.88672914705</v>
      </c>
      <c r="R65" s="32">
        <v>578736.81114414625</v>
      </c>
      <c r="S65" s="32">
        <v>572122.20725862251</v>
      </c>
      <c r="T65" s="79"/>
      <c r="U65" s="32">
        <v>2314739.9297535946</v>
      </c>
    </row>
    <row r="66" spans="2:21" ht="15" customHeight="1" x14ac:dyDescent="0.2">
      <c r="B66" s="52" t="s">
        <v>46</v>
      </c>
      <c r="C66" s="28">
        <v>851493.5</v>
      </c>
      <c r="D66" s="28">
        <v>864578.98665399174</v>
      </c>
      <c r="E66" s="28">
        <v>871070.21712413547</v>
      </c>
      <c r="F66" s="28">
        <v>878002.51823170821</v>
      </c>
      <c r="G66" s="28">
        <v>872763.55854690494</v>
      </c>
      <c r="H66" s="28">
        <v>863184.04204226309</v>
      </c>
      <c r="I66" s="28">
        <v>866707.91013962938</v>
      </c>
      <c r="J66" s="28">
        <v>870675.85688359698</v>
      </c>
      <c r="K66" s="28">
        <v>848846.35777717724</v>
      </c>
      <c r="L66" s="28">
        <v>864343.44646863057</v>
      </c>
      <c r="M66" s="28">
        <v>843747.21858026611</v>
      </c>
      <c r="N66" s="28">
        <v>848580.44863807259</v>
      </c>
      <c r="P66" s="28">
        <v>2587142.7037781272</v>
      </c>
      <c r="Q66" s="28">
        <v>2613950.1188208759</v>
      </c>
      <c r="R66" s="28">
        <v>2586230.1248004036</v>
      </c>
      <c r="S66" s="28">
        <v>2556671.1136869695</v>
      </c>
      <c r="T66" s="79"/>
      <c r="U66" s="28">
        <v>10343994.061086375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v>48384</v>
      </c>
      <c r="D68" s="26">
        <v>46080</v>
      </c>
      <c r="E68" s="26">
        <v>52992</v>
      </c>
      <c r="F68" s="26">
        <v>51136</v>
      </c>
      <c r="G68" s="26">
        <v>62265.600000000006</v>
      </c>
      <c r="H68" s="26">
        <v>56851.200000000004</v>
      </c>
      <c r="I68" s="26">
        <v>54144</v>
      </c>
      <c r="J68" s="26">
        <v>65724.800000000003</v>
      </c>
      <c r="K68" s="26">
        <v>57152</v>
      </c>
      <c r="L68" s="26">
        <v>62867.200000000004</v>
      </c>
      <c r="M68" s="26">
        <v>60009.600000000006</v>
      </c>
      <c r="N68" s="26">
        <v>63168</v>
      </c>
      <c r="P68" s="26">
        <v>147456</v>
      </c>
      <c r="Q68" s="26">
        <v>170252.80000000002</v>
      </c>
      <c r="R68" s="26">
        <v>177020.79999999999</v>
      </c>
      <c r="S68" s="26">
        <v>186044.80000000002</v>
      </c>
      <c r="T68" s="79"/>
      <c r="U68" s="26">
        <v>680774.4</v>
      </c>
    </row>
    <row r="69" spans="2:21" ht="15" customHeight="1" x14ac:dyDescent="0.2">
      <c r="B69" s="57" t="s">
        <v>77</v>
      </c>
      <c r="C69" s="26">
        <v>33075</v>
      </c>
      <c r="D69" s="26">
        <v>31500</v>
      </c>
      <c r="E69" s="26">
        <v>36225</v>
      </c>
      <c r="F69" s="26">
        <v>39000</v>
      </c>
      <c r="G69" s="26">
        <v>44850</v>
      </c>
      <c r="H69" s="26">
        <v>40950</v>
      </c>
      <c r="I69" s="26">
        <v>39000</v>
      </c>
      <c r="J69" s="26">
        <v>44850</v>
      </c>
      <c r="K69" s="26">
        <v>39000</v>
      </c>
      <c r="L69" s="26">
        <v>50050</v>
      </c>
      <c r="M69" s="26">
        <v>47775</v>
      </c>
      <c r="N69" s="26">
        <v>47775</v>
      </c>
      <c r="P69" s="26">
        <v>100800</v>
      </c>
      <c r="Q69" s="26">
        <v>124800</v>
      </c>
      <c r="R69" s="26">
        <v>122850</v>
      </c>
      <c r="S69" s="26">
        <v>145600</v>
      </c>
      <c r="T69" s="79"/>
      <c r="U69" s="26">
        <v>494050</v>
      </c>
    </row>
    <row r="70" spans="2:21" ht="15" customHeight="1" x14ac:dyDescent="0.2">
      <c r="B70" s="89" t="s">
        <v>27</v>
      </c>
      <c r="C70" s="32">
        <v>22978.53495173949</v>
      </c>
      <c r="D70" s="32">
        <v>25363.624733213503</v>
      </c>
      <c r="E70" s="32">
        <v>39787.775995352786</v>
      </c>
      <c r="F70" s="32">
        <v>24514.061580338046</v>
      </c>
      <c r="G70" s="32">
        <v>28245.545697242967</v>
      </c>
      <c r="H70" s="32">
        <v>41631.606013879624</v>
      </c>
      <c r="I70" s="32">
        <v>35366.035251830028</v>
      </c>
      <c r="J70" s="32">
        <v>30706.791727776828</v>
      </c>
      <c r="K70" s="32">
        <v>40959.427710628945</v>
      </c>
      <c r="L70" s="32">
        <v>29209.086458936905</v>
      </c>
      <c r="M70" s="32">
        <v>36196.67383949722</v>
      </c>
      <c r="N70" s="32">
        <v>38756.318595031647</v>
      </c>
      <c r="P70" s="32">
        <v>88129.935680305774</v>
      </c>
      <c r="Q70" s="32">
        <v>94391.213291460648</v>
      </c>
      <c r="R70" s="32">
        <v>107032.2546902358</v>
      </c>
      <c r="S70" s="32">
        <v>104162.07889346578</v>
      </c>
      <c r="T70" s="79"/>
      <c r="U70" s="32">
        <v>393715.48255546798</v>
      </c>
    </row>
    <row r="71" spans="2:21" ht="15" customHeight="1" x14ac:dyDescent="0.2">
      <c r="B71" s="52" t="s">
        <v>24</v>
      </c>
      <c r="C71" s="28">
        <v>104437.53495173949</v>
      </c>
      <c r="D71" s="28">
        <v>102943.62473321351</v>
      </c>
      <c r="E71" s="28">
        <v>129004.77599535279</v>
      </c>
      <c r="F71" s="28">
        <v>114650.06158033805</v>
      </c>
      <c r="G71" s="28">
        <v>135361.14569724299</v>
      </c>
      <c r="H71" s="28">
        <v>139432.80601387963</v>
      </c>
      <c r="I71" s="28">
        <v>128510.03525183004</v>
      </c>
      <c r="J71" s="28">
        <v>141281.59172777683</v>
      </c>
      <c r="K71" s="28">
        <v>137111.42771062895</v>
      </c>
      <c r="L71" s="28">
        <v>142126.28645893693</v>
      </c>
      <c r="M71" s="28">
        <v>143981.27383949724</v>
      </c>
      <c r="N71" s="28">
        <v>149699.31859503165</v>
      </c>
      <c r="P71" s="28">
        <v>336385.93568030576</v>
      </c>
      <c r="Q71" s="28">
        <v>389444.01329146069</v>
      </c>
      <c r="R71" s="28">
        <v>406903.05469023582</v>
      </c>
      <c r="S71" s="28">
        <v>435806.87889346585</v>
      </c>
      <c r="T71" s="79"/>
      <c r="U71" s="28">
        <v>1568539.882555468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v>4998568.9650482601</v>
      </c>
      <c r="D73" s="28">
        <v>5078484.2882910576</v>
      </c>
      <c r="E73" s="28">
        <v>5091325.1266297111</v>
      </c>
      <c r="F73" s="28">
        <v>5147225.1700600386</v>
      </c>
      <c r="G73" s="28">
        <v>5095116.963916027</v>
      </c>
      <c r="H73" s="28">
        <v>5033635.1941974452</v>
      </c>
      <c r="I73" s="28">
        <v>5065676.5311094457</v>
      </c>
      <c r="J73" s="28">
        <v>5076684.9072179757</v>
      </c>
      <c r="K73" s="28">
        <v>4950030.7304365095</v>
      </c>
      <c r="L73" s="28">
        <v>5037890.0325873317</v>
      </c>
      <c r="M73" s="28">
        <v>4912601.707442238</v>
      </c>
      <c r="N73" s="28">
        <v>4935849.244221949</v>
      </c>
      <c r="P73" s="28">
        <v>15168378.379969031</v>
      </c>
      <c r="Q73" s="28">
        <v>15275977.328173509</v>
      </c>
      <c r="R73" s="28">
        <v>15092392.16876393</v>
      </c>
      <c r="S73" s="28">
        <v>14886340.984251518</v>
      </c>
      <c r="T73" s="79"/>
      <c r="U73" s="28">
        <v>60423088.861157984</v>
      </c>
    </row>
    <row r="74" spans="2:21" ht="15" customHeight="1" x14ac:dyDescent="0.2">
      <c r="B74" s="52" t="s">
        <v>29</v>
      </c>
      <c r="C74" s="71">
        <v>0.83946073810534216</v>
      </c>
      <c r="D74" s="71">
        <v>0.83997328692451678</v>
      </c>
      <c r="E74" s="71">
        <v>0.83582181871831063</v>
      </c>
      <c r="F74" s="71">
        <v>0.83832697974601744</v>
      </c>
      <c r="G74" s="71">
        <v>0.83482143440208112</v>
      </c>
      <c r="H74" s="71">
        <v>0.8339007647397999</v>
      </c>
      <c r="I74" s="71">
        <v>0.83579685321199948</v>
      </c>
      <c r="J74" s="71">
        <v>0.83379587936504251</v>
      </c>
      <c r="K74" s="71">
        <v>0.83390166897344831</v>
      </c>
      <c r="L74" s="71">
        <v>0.83348613054606457</v>
      </c>
      <c r="M74" s="71">
        <v>0.83259775996216878</v>
      </c>
      <c r="N74" s="71">
        <v>0.83177316076107277</v>
      </c>
      <c r="P74" s="71">
        <v>0.83840682818460832</v>
      </c>
      <c r="Q74" s="71">
        <v>0.83569489035016464</v>
      </c>
      <c r="R74" s="71">
        <v>0.83450117583786387</v>
      </c>
      <c r="S74" s="71">
        <v>0.83262440340952037</v>
      </c>
      <c r="T74" s="79"/>
      <c r="U74" s="71">
        <v>0.83531580317227339</v>
      </c>
    </row>
    <row r="75" spans="2:21" ht="15" customHeight="1" x14ac:dyDescent="0.2">
      <c r="T75" s="79"/>
    </row>
    <row r="76" spans="2:21" ht="15" customHeight="1" x14ac:dyDescent="0.2">
      <c r="B76" s="52" t="s">
        <v>26</v>
      </c>
      <c r="T76" s="79"/>
    </row>
    <row r="77" spans="2:21" ht="15" customHeight="1" x14ac:dyDescent="0.2">
      <c r="B77" s="56" t="s">
        <v>47</v>
      </c>
      <c r="C77" s="26">
        <v>1071810</v>
      </c>
      <c r="D77" s="26">
        <v>1088281.2419420872</v>
      </c>
      <c r="E77" s="26">
        <v>1096452.0215548559</v>
      </c>
      <c r="F77" s="26">
        <v>1105177.9949769753</v>
      </c>
      <c r="G77" s="26">
        <v>1098583.5002688314</v>
      </c>
      <c r="H77" s="26">
        <v>1086525.3676056457</v>
      </c>
      <c r="I77" s="26">
        <v>1090961.0057701629</v>
      </c>
      <c r="J77" s="26">
        <v>1095955.6240492826</v>
      </c>
      <c r="K77" s="26">
        <v>1068477.9328663768</v>
      </c>
      <c r="L77" s="26">
        <v>1087984.7577926817</v>
      </c>
      <c r="M77" s="26">
        <v>1062059.4359751602</v>
      </c>
      <c r="N77" s="26">
        <v>1068143.2220619095</v>
      </c>
      <c r="P77" s="26">
        <v>3256543.2634969428</v>
      </c>
      <c r="Q77" s="26">
        <v>3290286.8628514525</v>
      </c>
      <c r="R77" s="26">
        <v>3255394.5626858221</v>
      </c>
      <c r="S77" s="26">
        <v>3218187.4158297516</v>
      </c>
      <c r="T77" s="79"/>
      <c r="U77" s="26">
        <v>13020412.104863968</v>
      </c>
    </row>
    <row r="78" spans="2:21" ht="15" customHeight="1" x14ac:dyDescent="0.2">
      <c r="B78" s="56" t="s">
        <v>48</v>
      </c>
      <c r="C78" s="26">
        <v>535905</v>
      </c>
      <c r="D78" s="26">
        <v>544140.62097104359</v>
      </c>
      <c r="E78" s="26">
        <v>548226.01077742793</v>
      </c>
      <c r="F78" s="26">
        <v>552588.99748848763</v>
      </c>
      <c r="G78" s="26">
        <v>549291.75013441569</v>
      </c>
      <c r="H78" s="26">
        <v>543262.68380282284</v>
      </c>
      <c r="I78" s="26">
        <v>545480.50288508146</v>
      </c>
      <c r="J78" s="26">
        <v>547977.81202464132</v>
      </c>
      <c r="K78" s="26">
        <v>534238.96643318841</v>
      </c>
      <c r="L78" s="26">
        <v>543992.37889634084</v>
      </c>
      <c r="M78" s="26">
        <v>531029.71798758011</v>
      </c>
      <c r="N78" s="26">
        <v>534071.61103095475</v>
      </c>
      <c r="P78" s="26">
        <v>1628271.6317484714</v>
      </c>
      <c r="Q78" s="26">
        <v>1645143.4314257263</v>
      </c>
      <c r="R78" s="26">
        <v>1627697.2813429111</v>
      </c>
      <c r="S78" s="26">
        <v>1609093.7079148758</v>
      </c>
      <c r="T78" s="79"/>
      <c r="U78" s="26">
        <v>6510206.0524319839</v>
      </c>
    </row>
    <row r="79" spans="2:21" ht="15" customHeight="1" x14ac:dyDescent="0.2">
      <c r="B79" s="56" t="s">
        <v>49</v>
      </c>
      <c r="C79" s="26">
        <v>297725</v>
      </c>
      <c r="D79" s="26">
        <v>302300.34498391318</v>
      </c>
      <c r="E79" s="26">
        <v>304570.00598745997</v>
      </c>
      <c r="F79" s="26">
        <v>306993.88749360427</v>
      </c>
      <c r="G79" s="26">
        <v>305162.08340800874</v>
      </c>
      <c r="H79" s="26">
        <v>301812.60211267939</v>
      </c>
      <c r="I79" s="26">
        <v>303044.72382504528</v>
      </c>
      <c r="J79" s="26">
        <v>304432.11779146746</v>
      </c>
      <c r="K79" s="26">
        <v>296799.42579621583</v>
      </c>
      <c r="L79" s="26">
        <v>302217.98827574495</v>
      </c>
      <c r="M79" s="26">
        <v>295016.50999310007</v>
      </c>
      <c r="N79" s="26">
        <v>296706.45057275263</v>
      </c>
      <c r="P79" s="26">
        <v>904595.35097137326</v>
      </c>
      <c r="Q79" s="26">
        <v>913968.5730142924</v>
      </c>
      <c r="R79" s="26">
        <v>904276.26741272863</v>
      </c>
      <c r="S79" s="26">
        <v>893940.94884159765</v>
      </c>
      <c r="T79" s="79"/>
      <c r="U79" s="26">
        <v>3616781.1402399922</v>
      </c>
    </row>
    <row r="80" spans="2:21" ht="15" customHeight="1" x14ac:dyDescent="0.2">
      <c r="B80" s="90" t="s">
        <v>50</v>
      </c>
      <c r="C80" s="32">
        <v>148862.5</v>
      </c>
      <c r="D80" s="32">
        <v>151150.17249195659</v>
      </c>
      <c r="E80" s="32">
        <v>152285.00299372998</v>
      </c>
      <c r="F80" s="32">
        <v>153496.94374680214</v>
      </c>
      <c r="G80" s="32">
        <v>152581.04170400437</v>
      </c>
      <c r="H80" s="32">
        <v>150906.3010563397</v>
      </c>
      <c r="I80" s="32">
        <v>151522.36191252264</v>
      </c>
      <c r="J80" s="32">
        <v>152216.05889573373</v>
      </c>
      <c r="K80" s="32">
        <v>148399.71289810791</v>
      </c>
      <c r="L80" s="32">
        <v>151108.99413787248</v>
      </c>
      <c r="M80" s="32">
        <v>147508.25499655004</v>
      </c>
      <c r="N80" s="32">
        <v>148353.22528637631</v>
      </c>
      <c r="P80" s="32">
        <v>452297.67548568663</v>
      </c>
      <c r="Q80" s="32">
        <v>456984.2865071462</v>
      </c>
      <c r="R80" s="32">
        <v>452138.13370636432</v>
      </c>
      <c r="S80" s="32">
        <v>446970.47442079883</v>
      </c>
      <c r="T80" s="79"/>
      <c r="U80" s="32">
        <v>1808390.5701199961</v>
      </c>
    </row>
    <row r="81" spans="2:21" ht="15" customHeight="1" x14ac:dyDescent="0.2">
      <c r="B81" s="52" t="s">
        <v>51</v>
      </c>
      <c r="C81" s="28">
        <v>2054302.5</v>
      </c>
      <c r="D81" s="28">
        <v>2085872.3803890005</v>
      </c>
      <c r="E81" s="28">
        <v>2101533.0413134741</v>
      </c>
      <c r="F81" s="28">
        <v>2118257.8237058693</v>
      </c>
      <c r="G81" s="28">
        <v>2105618.3755152603</v>
      </c>
      <c r="H81" s="28">
        <v>2082506.9545774877</v>
      </c>
      <c r="I81" s="28">
        <v>2091008.5943928126</v>
      </c>
      <c r="J81" s="28">
        <v>2100581.612761125</v>
      </c>
      <c r="K81" s="28">
        <v>2047916.0379938891</v>
      </c>
      <c r="L81" s="28">
        <v>2085304.1191026401</v>
      </c>
      <c r="M81" s="28">
        <v>2035613.9189523903</v>
      </c>
      <c r="N81" s="28">
        <v>2047274.5089519932</v>
      </c>
      <c r="P81" s="28">
        <v>6241707.9217024744</v>
      </c>
      <c r="Q81" s="28">
        <v>6306383.1537986174</v>
      </c>
      <c r="R81" s="28">
        <v>6239506.2451478271</v>
      </c>
      <c r="S81" s="28">
        <v>6168192.5470070243</v>
      </c>
      <c r="T81" s="79"/>
      <c r="U81" s="28">
        <v>24955789.867655944</v>
      </c>
    </row>
    <row r="82" spans="2:21" ht="15" customHeight="1" x14ac:dyDescent="0.2">
      <c r="T82" s="79"/>
    </row>
    <row r="83" spans="2:21" ht="15" customHeight="1" x14ac:dyDescent="0.2">
      <c r="B83" s="56" t="s">
        <v>52</v>
      </c>
      <c r="C83" s="26">
        <v>595.45000000000005</v>
      </c>
      <c r="D83" s="26">
        <v>604.60068996782627</v>
      </c>
      <c r="E83" s="26">
        <v>609.14001197491996</v>
      </c>
      <c r="F83" s="26">
        <v>613.98777498720847</v>
      </c>
      <c r="G83" s="26">
        <v>610.3241668160174</v>
      </c>
      <c r="H83" s="26">
        <v>603.62520422535874</v>
      </c>
      <c r="I83" s="26">
        <v>606.08944765009051</v>
      </c>
      <c r="J83" s="26">
        <v>608.86423558293495</v>
      </c>
      <c r="K83" s="26">
        <v>593.59885159243163</v>
      </c>
      <c r="L83" s="26">
        <v>604.43597655148994</v>
      </c>
      <c r="M83" s="26">
        <v>590.0330199862002</v>
      </c>
      <c r="N83" s="26">
        <v>593.41290114550532</v>
      </c>
      <c r="P83" s="26">
        <v>1809.1907019427463</v>
      </c>
      <c r="Q83" s="26">
        <v>1827.9371460285847</v>
      </c>
      <c r="R83" s="26">
        <v>1808.5525348254571</v>
      </c>
      <c r="S83" s="26">
        <v>1787.8818976831953</v>
      </c>
      <c r="T83" s="79"/>
      <c r="U83" s="26">
        <v>7233.5622804799832</v>
      </c>
    </row>
    <row r="84" spans="2:21" ht="15" customHeight="1" x14ac:dyDescent="0.2">
      <c r="B84" s="56" t="s">
        <v>53</v>
      </c>
      <c r="C84" s="26">
        <v>1012.2650000000001</v>
      </c>
      <c r="D84" s="26">
        <v>1027.8211729453049</v>
      </c>
      <c r="E84" s="26">
        <v>1035.5380203573641</v>
      </c>
      <c r="F84" s="26">
        <v>1043.7792174782544</v>
      </c>
      <c r="G84" s="26">
        <v>1037.5510835872296</v>
      </c>
      <c r="H84" s="26">
        <v>1026.16284718311</v>
      </c>
      <c r="I84" s="26">
        <v>1030.3520610051539</v>
      </c>
      <c r="J84" s="26">
        <v>1035.0692004909893</v>
      </c>
      <c r="K84" s="26">
        <v>1009.1180477071338</v>
      </c>
      <c r="L84" s="26">
        <v>1027.5411601375329</v>
      </c>
      <c r="M84" s="26">
        <v>1003.0561339765403</v>
      </c>
      <c r="N84" s="26">
        <v>1008.801931947359</v>
      </c>
      <c r="P84" s="26">
        <v>3075.624193302669</v>
      </c>
      <c r="Q84" s="26">
        <v>3107.493148248594</v>
      </c>
      <c r="R84" s="26">
        <v>3074.5393092032773</v>
      </c>
      <c r="S84" s="26">
        <v>3039.3992260614323</v>
      </c>
      <c r="T84" s="79"/>
      <c r="U84" s="26">
        <v>12297.055876815972</v>
      </c>
    </row>
    <row r="85" spans="2:21" ht="15" customHeight="1" x14ac:dyDescent="0.2">
      <c r="B85" s="56" t="s">
        <v>54</v>
      </c>
      <c r="C85" s="26">
        <v>297.72500000000002</v>
      </c>
      <c r="D85" s="26">
        <v>302.30034498391313</v>
      </c>
      <c r="E85" s="26">
        <v>304.57000598745998</v>
      </c>
      <c r="F85" s="26">
        <v>306.99388749360423</v>
      </c>
      <c r="G85" s="26">
        <v>305.1620834080087</v>
      </c>
      <c r="H85" s="26">
        <v>301.81260211267937</v>
      </c>
      <c r="I85" s="26">
        <v>303.04472382504525</v>
      </c>
      <c r="J85" s="26">
        <v>304.43211779146748</v>
      </c>
      <c r="K85" s="26">
        <v>296.79942579621581</v>
      </c>
      <c r="L85" s="26">
        <v>302.21798827574497</v>
      </c>
      <c r="M85" s="26">
        <v>295.0165099931001</v>
      </c>
      <c r="N85" s="26">
        <v>296.70645057275266</v>
      </c>
      <c r="P85" s="26">
        <v>904.59535097137314</v>
      </c>
      <c r="Q85" s="26">
        <v>913.96857301429236</v>
      </c>
      <c r="R85" s="26">
        <v>904.27626741272854</v>
      </c>
      <c r="S85" s="26">
        <v>893.94094884159767</v>
      </c>
      <c r="T85" s="79"/>
      <c r="U85" s="26">
        <v>3616.7811402399916</v>
      </c>
    </row>
    <row r="86" spans="2:21" ht="15" customHeight="1" x14ac:dyDescent="0.2">
      <c r="B86" s="56" t="s">
        <v>55</v>
      </c>
      <c r="C86" s="26">
        <v>29772.5</v>
      </c>
      <c r="D86" s="26">
        <v>30230.034498391316</v>
      </c>
      <c r="E86" s="26">
        <v>30457.000598745999</v>
      </c>
      <c r="F86" s="26">
        <v>30699.388749360423</v>
      </c>
      <c r="G86" s="26">
        <v>30516.208340800869</v>
      </c>
      <c r="H86" s="26">
        <v>30181.260211267938</v>
      </c>
      <c r="I86" s="26">
        <v>30304.472382504526</v>
      </c>
      <c r="J86" s="26">
        <v>30443.211779146746</v>
      </c>
      <c r="K86" s="26">
        <v>29679.94257962158</v>
      </c>
      <c r="L86" s="26">
        <v>30221.798827574497</v>
      </c>
      <c r="M86" s="26">
        <v>29501.650999310008</v>
      </c>
      <c r="N86" s="26">
        <v>29670.645057275262</v>
      </c>
      <c r="P86" s="26">
        <v>90459.535097137312</v>
      </c>
      <c r="Q86" s="26">
        <v>91396.857301429234</v>
      </c>
      <c r="R86" s="26">
        <v>90427.626741272848</v>
      </c>
      <c r="S86" s="26">
        <v>89394.094884159771</v>
      </c>
      <c r="T86" s="79"/>
      <c r="U86" s="26">
        <v>361678.11402399919</v>
      </c>
    </row>
    <row r="87" spans="2:21" ht="15" customHeight="1" x14ac:dyDescent="0.2">
      <c r="B87" s="56" t="s">
        <v>56</v>
      </c>
      <c r="C87" s="26">
        <v>38704.25</v>
      </c>
      <c r="D87" s="26">
        <v>39299.044847908706</v>
      </c>
      <c r="E87" s="26">
        <v>39594.100778369793</v>
      </c>
      <c r="F87" s="26">
        <v>39909.205374168552</v>
      </c>
      <c r="G87" s="26">
        <v>39671.070843041132</v>
      </c>
      <c r="H87" s="26">
        <v>39235.638274648314</v>
      </c>
      <c r="I87" s="26">
        <v>39395.814097255883</v>
      </c>
      <c r="J87" s="26">
        <v>39576.175312890766</v>
      </c>
      <c r="K87" s="26">
        <v>38583.92535350805</v>
      </c>
      <c r="L87" s="26">
        <v>39288.338475846846</v>
      </c>
      <c r="M87" s="26">
        <v>38352.146299103006</v>
      </c>
      <c r="N87" s="26">
        <v>38571.838574457841</v>
      </c>
      <c r="P87" s="26">
        <v>117597.39562627851</v>
      </c>
      <c r="Q87" s="26">
        <v>118815.914491858</v>
      </c>
      <c r="R87" s="26">
        <v>117555.9147636547</v>
      </c>
      <c r="S87" s="26">
        <v>116212.32334940768</v>
      </c>
      <c r="U87" s="26">
        <v>470181.54823119892</v>
      </c>
    </row>
    <row r="88" spans="2:21" ht="15" customHeight="1" x14ac:dyDescent="0.2">
      <c r="B88" s="56" t="s">
        <v>57</v>
      </c>
      <c r="C88" s="26">
        <v>595.45000000000005</v>
      </c>
      <c r="D88" s="26">
        <v>604.60068996782627</v>
      </c>
      <c r="E88" s="26">
        <v>609.14001197491996</v>
      </c>
      <c r="F88" s="26">
        <v>613.98777498720847</v>
      </c>
      <c r="G88" s="26">
        <v>610.3241668160174</v>
      </c>
      <c r="H88" s="26">
        <v>603.62520422535874</v>
      </c>
      <c r="I88" s="26">
        <v>606.08944765009051</v>
      </c>
      <c r="J88" s="26">
        <v>608.86423558293495</v>
      </c>
      <c r="K88" s="26">
        <v>593.59885159243163</v>
      </c>
      <c r="L88" s="26">
        <v>604.43597655148994</v>
      </c>
      <c r="M88" s="26">
        <v>590.0330199862002</v>
      </c>
      <c r="N88" s="26">
        <v>593.41290114550532</v>
      </c>
      <c r="P88" s="26">
        <v>1809.1907019427463</v>
      </c>
      <c r="Q88" s="26">
        <v>1827.9371460285847</v>
      </c>
      <c r="R88" s="26">
        <v>1808.5525348254571</v>
      </c>
      <c r="S88" s="26">
        <v>1787.8818976831953</v>
      </c>
      <c r="U88" s="26">
        <v>7233.5622804799832</v>
      </c>
    </row>
    <row r="89" spans="2:21" ht="15" customHeight="1" x14ac:dyDescent="0.2">
      <c r="B89" s="56" t="s">
        <v>58</v>
      </c>
      <c r="C89" s="26">
        <v>38704.25</v>
      </c>
      <c r="D89" s="26">
        <v>39299.044847908706</v>
      </c>
      <c r="E89" s="26">
        <v>39594.100778369793</v>
      </c>
      <c r="F89" s="26">
        <v>39909.205374168552</v>
      </c>
      <c r="G89" s="26">
        <v>39671.070843041132</v>
      </c>
      <c r="H89" s="26">
        <v>39235.638274648314</v>
      </c>
      <c r="I89" s="26">
        <v>39395.814097255883</v>
      </c>
      <c r="J89" s="26">
        <v>39576.175312890766</v>
      </c>
      <c r="K89" s="26">
        <v>38583.92535350805</v>
      </c>
      <c r="L89" s="26">
        <v>39288.338475846846</v>
      </c>
      <c r="M89" s="26">
        <v>38352.146299103006</v>
      </c>
      <c r="N89" s="26">
        <v>38571.838574457841</v>
      </c>
      <c r="P89" s="26">
        <v>117597.39562627851</v>
      </c>
      <c r="Q89" s="26">
        <v>118815.914491858</v>
      </c>
      <c r="R89" s="26">
        <v>117555.9147636547</v>
      </c>
      <c r="S89" s="26">
        <v>116212.32334940768</v>
      </c>
      <c r="U89" s="26">
        <v>470181.54823119892</v>
      </c>
    </row>
    <row r="90" spans="2:21" ht="15" customHeight="1" x14ac:dyDescent="0.2">
      <c r="B90" s="56" t="s">
        <v>59</v>
      </c>
      <c r="C90" s="26">
        <v>74431.25</v>
      </c>
      <c r="D90" s="26">
        <v>75575.086245978295</v>
      </c>
      <c r="E90" s="26">
        <v>76142.501496864992</v>
      </c>
      <c r="F90" s="26">
        <v>76748.471873401068</v>
      </c>
      <c r="G90" s="26">
        <v>76290.520852002184</v>
      </c>
      <c r="H90" s="26">
        <v>75453.150528169848</v>
      </c>
      <c r="I90" s="26">
        <v>75761.18095626132</v>
      </c>
      <c r="J90" s="26">
        <v>76108.029447866866</v>
      </c>
      <c r="K90" s="26">
        <v>74199.856449053957</v>
      </c>
      <c r="L90" s="26">
        <v>75554.497068936238</v>
      </c>
      <c r="M90" s="26">
        <v>73754.127498275018</v>
      </c>
      <c r="N90" s="26">
        <v>74176.612643188157</v>
      </c>
      <c r="P90" s="26">
        <v>226148.83774284332</v>
      </c>
      <c r="Q90" s="26">
        <v>228492.1432535731</v>
      </c>
      <c r="R90" s="26">
        <v>226069.06685318216</v>
      </c>
      <c r="S90" s="26">
        <v>223485.23721039941</v>
      </c>
      <c r="U90" s="26">
        <v>904195.28505999804</v>
      </c>
    </row>
    <row r="91" spans="2:21" ht="15" customHeight="1" x14ac:dyDescent="0.2">
      <c r="B91" s="90" t="s">
        <v>60</v>
      </c>
      <c r="C91" s="32">
        <v>59545</v>
      </c>
      <c r="D91" s="32">
        <v>60460.068996782633</v>
      </c>
      <c r="E91" s="32">
        <v>60914.001197491998</v>
      </c>
      <c r="F91" s="32">
        <v>61398.777498720847</v>
      </c>
      <c r="G91" s="32">
        <v>61032.416681601739</v>
      </c>
      <c r="H91" s="32">
        <v>60362.520422535876</v>
      </c>
      <c r="I91" s="32">
        <v>60608.944765009051</v>
      </c>
      <c r="J91" s="32">
        <v>60886.423558293493</v>
      </c>
      <c r="K91" s="32">
        <v>59359.88515924316</v>
      </c>
      <c r="L91" s="32">
        <v>60443.597655148995</v>
      </c>
      <c r="M91" s="32">
        <v>59003.301998620016</v>
      </c>
      <c r="N91" s="32">
        <v>59341.290114550524</v>
      </c>
      <c r="P91" s="32">
        <v>180919.07019427462</v>
      </c>
      <c r="Q91" s="32">
        <v>182793.71460285847</v>
      </c>
      <c r="R91" s="32">
        <v>180855.2534825457</v>
      </c>
      <c r="S91" s="32">
        <v>178788.18976831954</v>
      </c>
      <c r="U91" s="32">
        <v>723356.22804799839</v>
      </c>
    </row>
    <row r="92" spans="2:21" ht="15" customHeight="1" x14ac:dyDescent="0.2">
      <c r="B92" s="52" t="s">
        <v>61</v>
      </c>
      <c r="C92" s="28">
        <v>243658.14</v>
      </c>
      <c r="D92" s="28">
        <v>247402.60233483452</v>
      </c>
      <c r="E92" s="28">
        <v>249260.09290013724</v>
      </c>
      <c r="F92" s="28">
        <v>251243.79752476572</v>
      </c>
      <c r="G92" s="28">
        <v>249744.64906111435</v>
      </c>
      <c r="H92" s="28">
        <v>247003.43356901681</v>
      </c>
      <c r="I92" s="28">
        <v>248011.80197841703</v>
      </c>
      <c r="J92" s="28">
        <v>249147.24520053697</v>
      </c>
      <c r="K92" s="28">
        <v>242900.65007162301</v>
      </c>
      <c r="L92" s="28">
        <v>247335.20160486968</v>
      </c>
      <c r="M92" s="28">
        <v>241441.5117783531</v>
      </c>
      <c r="N92" s="28">
        <v>242824.55914874075</v>
      </c>
      <c r="P92" s="28">
        <v>740320.83523497172</v>
      </c>
      <c r="Q92" s="28">
        <v>747991.88015489688</v>
      </c>
      <c r="R92" s="28">
        <v>740059.69725057704</v>
      </c>
      <c r="S92" s="28">
        <v>731601.27253196354</v>
      </c>
      <c r="U92" s="28">
        <v>2959973.6851724093</v>
      </c>
    </row>
    <row r="94" spans="2:21" ht="15" customHeight="1" x14ac:dyDescent="0.2">
      <c r="B94" s="52" t="s">
        <v>33</v>
      </c>
      <c r="C94" s="28">
        <v>2700608.3250482599</v>
      </c>
      <c r="D94" s="28">
        <v>2745209.3055672226</v>
      </c>
      <c r="E94" s="28">
        <v>2740531.9924160996</v>
      </c>
      <c r="F94" s="28">
        <v>2777723.5488294037</v>
      </c>
      <c r="G94" s="28">
        <v>2739753.9393396522</v>
      </c>
      <c r="H94" s="28">
        <v>2704124.8060509404</v>
      </c>
      <c r="I94" s="28">
        <v>2726656.1347382157</v>
      </c>
      <c r="J94" s="28">
        <v>2726956.0492563136</v>
      </c>
      <c r="K94" s="28">
        <v>2659214.0423709974</v>
      </c>
      <c r="L94" s="28">
        <v>2705250.711879822</v>
      </c>
      <c r="M94" s="28">
        <v>2635546.2767114942</v>
      </c>
      <c r="N94" s="28">
        <v>2645750.1761212149</v>
      </c>
      <c r="P94" s="28">
        <v>8186349.6230315845</v>
      </c>
      <c r="Q94" s="28">
        <v>8221602.2942199949</v>
      </c>
      <c r="R94" s="28">
        <v>8112826.2263655271</v>
      </c>
      <c r="S94" s="28">
        <v>7986547.1647125296</v>
      </c>
      <c r="U94" s="28">
        <v>32507325.308329627</v>
      </c>
    </row>
    <row r="95" spans="2:21" ht="15" customHeight="1" x14ac:dyDescent="0.2">
      <c r="B95" s="52" t="s">
        <v>34</v>
      </c>
      <c r="C95" s="71">
        <v>0.45354073810534218</v>
      </c>
      <c r="D95" s="71">
        <v>0.4540532869245168</v>
      </c>
      <c r="E95" s="71">
        <v>0.44990181871831059</v>
      </c>
      <c r="F95" s="71">
        <v>0.45240697974601751</v>
      </c>
      <c r="G95" s="71">
        <v>0.44890143440208108</v>
      </c>
      <c r="H95" s="71">
        <v>0.44798076473979981</v>
      </c>
      <c r="I95" s="71">
        <v>0.44987685321199944</v>
      </c>
      <c r="J95" s="71">
        <v>0.44787587936504247</v>
      </c>
      <c r="K95" s="71">
        <v>0.44798166897344827</v>
      </c>
      <c r="L95" s="71">
        <v>0.44756613054606464</v>
      </c>
      <c r="M95" s="71">
        <v>0.44667775996216874</v>
      </c>
      <c r="N95" s="71">
        <v>0.44585316076107268</v>
      </c>
      <c r="P95" s="71">
        <v>0.45248682818460834</v>
      </c>
      <c r="Q95" s="71">
        <v>0.4497748903501646</v>
      </c>
      <c r="R95" s="71">
        <v>0.44858117583786389</v>
      </c>
      <c r="S95" s="71">
        <v>0.44670440340952039</v>
      </c>
      <c r="U95" s="71">
        <v>0.44939580317227329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0FD95-415A-4F92-BCA1-3DE800236FA9}">
  <sheetPr>
    <tabColor theme="3" tint="-0.249977111117893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4F51E-DAF2-491E-B570-6F4D47C65876}">
  <dimension ref="B2:U92"/>
  <sheetViews>
    <sheetView showGridLines="0" workbookViewId="0"/>
  </sheetViews>
  <sheetFormatPr defaultRowHeight="15" customHeight="1" x14ac:dyDescent="0.2"/>
  <cols>
    <col min="1" max="1" width="5.7109375" style="24" customWidth="1"/>
    <col min="2" max="2" width="20.7109375" style="51" customWidth="1"/>
    <col min="3" max="14" width="10.7109375" style="24" customWidth="1"/>
    <col min="15" max="15" width="5.7109375" style="24" customWidth="1"/>
    <col min="16" max="19" width="10.7109375" style="24" customWidth="1"/>
    <col min="20" max="20" width="5.7109375" style="24" customWidth="1"/>
    <col min="21" max="21" width="10.7109375" style="24" customWidth="1"/>
    <col min="22" max="16384" width="9.140625" style="24"/>
  </cols>
  <sheetData>
    <row r="2" spans="2:21" ht="21" customHeight="1" x14ac:dyDescent="0.2">
      <c r="B2" s="92" t="s">
        <v>83</v>
      </c>
    </row>
    <row r="3" spans="2:21" ht="15" customHeight="1" x14ac:dyDescent="0.2">
      <c r="B3" s="52"/>
      <c r="C3" s="3">
        <v>44927</v>
      </c>
      <c r="D3" s="3">
        <f>EOMONTH(C3,0)+1</f>
        <v>44958</v>
      </c>
      <c r="E3" s="3">
        <f t="shared" ref="E3:N3" si="0">EOMONTH(D3,0)+1</f>
        <v>44986</v>
      </c>
      <c r="F3" s="3">
        <f t="shared" si="0"/>
        <v>45017</v>
      </c>
      <c r="G3" s="3">
        <f t="shared" si="0"/>
        <v>45047</v>
      </c>
      <c r="H3" s="3">
        <f t="shared" si="0"/>
        <v>45078</v>
      </c>
      <c r="I3" s="3">
        <f t="shared" si="0"/>
        <v>45108</v>
      </c>
      <c r="J3" s="3">
        <f t="shared" si="0"/>
        <v>45139</v>
      </c>
      <c r="K3" s="3">
        <f t="shared" si="0"/>
        <v>45170</v>
      </c>
      <c r="L3" s="3">
        <f t="shared" si="0"/>
        <v>45200</v>
      </c>
      <c r="M3" s="3">
        <f t="shared" si="0"/>
        <v>45231</v>
      </c>
      <c r="N3" s="3">
        <f t="shared" si="0"/>
        <v>45261</v>
      </c>
      <c r="P3" s="3" t="s">
        <v>18</v>
      </c>
      <c r="Q3" s="3" t="s">
        <v>19</v>
      </c>
      <c r="R3" s="3" t="s">
        <v>20</v>
      </c>
      <c r="S3" s="3" t="s">
        <v>21</v>
      </c>
      <c r="U3" s="3" t="s">
        <v>21</v>
      </c>
    </row>
    <row r="4" spans="2:21" ht="15" customHeight="1" x14ac:dyDescent="0.2">
      <c r="B4" s="52" t="s">
        <v>16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P4" s="26"/>
      <c r="Q4" s="26"/>
      <c r="R4" s="26"/>
      <c r="S4" s="26"/>
      <c r="U4" s="26"/>
    </row>
    <row r="5" spans="2:21" s="25" customFormat="1" ht="15" customHeight="1" x14ac:dyDescent="0.2">
      <c r="B5" s="51" t="s">
        <v>9</v>
      </c>
      <c r="C5" s="96">
        <f>Functional!C5</f>
        <v>918241.81085671578</v>
      </c>
      <c r="D5" s="96">
        <f>Functional!D5</f>
        <v>1098822.1071652398</v>
      </c>
      <c r="E5" s="96">
        <f>Functional!E5</f>
        <v>1389108.8186953156</v>
      </c>
      <c r="F5" s="96">
        <f>Functional!F5</f>
        <v>1061517.5734082023</v>
      </c>
      <c r="G5" s="96">
        <f>Functional!G5</f>
        <v>1081268.1654903176</v>
      </c>
      <c r="H5" s="96">
        <f>Functional!H5</f>
        <v>1451208.0120024798</v>
      </c>
      <c r="I5" s="96">
        <f>Functional!I5</f>
        <v>1271303.6551094283</v>
      </c>
      <c r="J5" s="96">
        <f>Functional!J5</f>
        <v>1138780.2522786539</v>
      </c>
      <c r="K5" s="96">
        <f>Functional!K5</f>
        <v>1507492.0827028083</v>
      </c>
      <c r="L5" s="96">
        <f>Functional!L5</f>
        <v>826045.48853282654</v>
      </c>
      <c r="M5" s="96">
        <f>Functional!M5</f>
        <v>1233235.1563812059</v>
      </c>
      <c r="N5" s="96">
        <f>Functional!N5</f>
        <v>1755653.6671542581</v>
      </c>
      <c r="P5" s="96">
        <f t="shared" ref="P5:P12" si="1">SUM(C5:E5)</f>
        <v>3406172.7367172712</v>
      </c>
      <c r="Q5" s="96">
        <f t="shared" ref="Q5:Q12" si="2">SUM(F5:H5)</f>
        <v>3593993.7509009996</v>
      </c>
      <c r="R5" s="96">
        <f t="shared" ref="R5:R12" si="3">SUM(I5:K5)</f>
        <v>3917575.9900908908</v>
      </c>
      <c r="S5" s="96">
        <f t="shared" ref="S5:S12" si="4">SUM(L5:N5)</f>
        <v>3814934.3120682905</v>
      </c>
      <c r="T5" s="91"/>
      <c r="U5" s="96">
        <f t="shared" ref="U5:U12" si="5">SUM(P5:S5)</f>
        <v>14732676.789777454</v>
      </c>
    </row>
    <row r="6" spans="2:21" s="25" customFormat="1" ht="15" customHeight="1" x14ac:dyDescent="0.2">
      <c r="B6" s="78" t="s">
        <v>10</v>
      </c>
      <c r="C6" s="81">
        <f>Functional!C6</f>
        <v>622514.35130164481</v>
      </c>
      <c r="D6" s="81">
        <f>Functional!D6</f>
        <v>935097.23442405579</v>
      </c>
      <c r="E6" s="81">
        <f>Functional!E6</f>
        <v>1179236.180272124</v>
      </c>
      <c r="F6" s="81">
        <f>Functional!F6</f>
        <v>778357.53044854791</v>
      </c>
      <c r="G6" s="81">
        <f>Functional!G6</f>
        <v>754206.54738440667</v>
      </c>
      <c r="H6" s="81">
        <f>Functional!H6</f>
        <v>1161089.2112107845</v>
      </c>
      <c r="I6" s="81">
        <f>Functional!I6</f>
        <v>1012908.6032579186</v>
      </c>
      <c r="J6" s="81">
        <f>Functional!J6</f>
        <v>875063.79737911304</v>
      </c>
      <c r="K6" s="81">
        <f>Functional!K6</f>
        <v>1001549.4544438521</v>
      </c>
      <c r="L6" s="81">
        <f>Functional!L6</f>
        <v>767305.38565648335</v>
      </c>
      <c r="M6" s="81">
        <f>Functional!M6</f>
        <v>1070830.028742257</v>
      </c>
      <c r="N6" s="81">
        <f>Functional!N6</f>
        <v>1249608.7042213012</v>
      </c>
      <c r="P6" s="81">
        <f t="shared" si="1"/>
        <v>2736847.7659978243</v>
      </c>
      <c r="Q6" s="81">
        <f t="shared" si="2"/>
        <v>2693653.289043739</v>
      </c>
      <c r="R6" s="81">
        <f t="shared" si="3"/>
        <v>2889521.8550808835</v>
      </c>
      <c r="S6" s="81">
        <f t="shared" si="4"/>
        <v>3087744.1186200418</v>
      </c>
      <c r="T6" s="91"/>
      <c r="U6" s="81">
        <f t="shared" si="5"/>
        <v>11407767.028742488</v>
      </c>
    </row>
    <row r="7" spans="2:21" ht="15" customHeight="1" x14ac:dyDescent="0.2">
      <c r="B7" s="78" t="s">
        <v>11</v>
      </c>
      <c r="C7" s="81">
        <f>Functional!C7</f>
        <v>295727.45955507096</v>
      </c>
      <c r="D7" s="81">
        <f>Functional!D7</f>
        <v>163724.87274118402</v>
      </c>
      <c r="E7" s="81">
        <f>Functional!E7</f>
        <v>209872.6384231917</v>
      </c>
      <c r="F7" s="81">
        <f>Functional!F7</f>
        <v>283160.04295965447</v>
      </c>
      <c r="G7" s="81">
        <f>Functional!G7</f>
        <v>327061.61810591107</v>
      </c>
      <c r="H7" s="81">
        <f>Functional!H7</f>
        <v>290118.80079169519</v>
      </c>
      <c r="I7" s="81">
        <f>Functional!I7</f>
        <v>258395.05185150981</v>
      </c>
      <c r="J7" s="81">
        <f>Functional!J7</f>
        <v>263716.45489954093</v>
      </c>
      <c r="K7" s="81">
        <f>Functional!K7</f>
        <v>505942.62825895625</v>
      </c>
      <c r="L7" s="81">
        <f>Functional!L7</f>
        <v>58740.102876343219</v>
      </c>
      <c r="M7" s="81">
        <f>Functional!M7</f>
        <v>162405.12763894891</v>
      </c>
      <c r="N7" s="81">
        <f>Functional!N7</f>
        <v>506044.96293295687</v>
      </c>
      <c r="P7" s="81">
        <f t="shared" si="1"/>
        <v>669324.97071944666</v>
      </c>
      <c r="Q7" s="81">
        <f t="shared" si="2"/>
        <v>900340.46185726067</v>
      </c>
      <c r="R7" s="81">
        <f t="shared" si="3"/>
        <v>1028054.135010007</v>
      </c>
      <c r="S7" s="81">
        <f t="shared" si="4"/>
        <v>727190.19344824902</v>
      </c>
      <c r="T7" s="79"/>
      <c r="U7" s="81">
        <f t="shared" si="5"/>
        <v>3324909.7610349637</v>
      </c>
    </row>
    <row r="8" spans="2:21" s="25" customFormat="1" ht="15" customHeight="1" x14ac:dyDescent="0.2">
      <c r="B8" s="51" t="s">
        <v>12</v>
      </c>
      <c r="C8" s="96">
        <f>Functional!C8</f>
        <v>721374.25132581848</v>
      </c>
      <c r="D8" s="96">
        <f>Functional!D8</f>
        <v>595242.65474325209</v>
      </c>
      <c r="E8" s="96">
        <f>Functional!E8</f>
        <v>1249710.3438458135</v>
      </c>
      <c r="F8" s="96">
        <f>Functional!F8</f>
        <v>709383.96017214493</v>
      </c>
      <c r="G8" s="96">
        <f>Functional!G8</f>
        <v>904740.85283928656</v>
      </c>
      <c r="H8" s="96">
        <f>Functional!H8</f>
        <v>1379573.7402020607</v>
      </c>
      <c r="I8" s="96">
        <f>Functional!I8</f>
        <v>1038287.6024100666</v>
      </c>
      <c r="J8" s="96">
        <f>Functional!J8</f>
        <v>768431.06707048998</v>
      </c>
      <c r="K8" s="96">
        <f>Functional!K8</f>
        <v>1066020.2990642288</v>
      </c>
      <c r="L8" s="96">
        <f>Functional!L8</f>
        <v>979445.16485972295</v>
      </c>
      <c r="M8" s="96">
        <f>Functional!M8</f>
        <v>1434322.7907923807</v>
      </c>
      <c r="N8" s="96">
        <f>Functional!N8</f>
        <v>945674.72243952577</v>
      </c>
      <c r="P8" s="96">
        <f t="shared" si="1"/>
        <v>2566327.2499148841</v>
      </c>
      <c r="Q8" s="96">
        <f t="shared" si="2"/>
        <v>2993698.553213492</v>
      </c>
      <c r="R8" s="96">
        <f t="shared" si="3"/>
        <v>2872738.9685447854</v>
      </c>
      <c r="S8" s="96">
        <f t="shared" si="4"/>
        <v>3359442.6780916294</v>
      </c>
      <c r="T8" s="91"/>
      <c r="U8" s="96">
        <f t="shared" si="5"/>
        <v>11792207.449764792</v>
      </c>
    </row>
    <row r="9" spans="2:21" s="25" customFormat="1" ht="15" customHeight="1" x14ac:dyDescent="0.2">
      <c r="B9" s="78" t="s">
        <v>10</v>
      </c>
      <c r="C9" s="81">
        <f>Functional!C9</f>
        <v>280387.13024097512</v>
      </c>
      <c r="D9" s="81">
        <f>Functional!D9</f>
        <v>371671.55899892846</v>
      </c>
      <c r="E9" s="81">
        <f>Functional!E9</f>
        <v>506998.66365879396</v>
      </c>
      <c r="F9" s="81">
        <f>Functional!F9</f>
        <v>513515.39413500042</v>
      </c>
      <c r="G9" s="81">
        <f>Functional!G9</f>
        <v>589447.7222434443</v>
      </c>
      <c r="H9" s="81">
        <f>Functional!H9</f>
        <v>1063154.9281922118</v>
      </c>
      <c r="I9" s="81">
        <f>Functional!I9</f>
        <v>793503.06220063637</v>
      </c>
      <c r="J9" s="81">
        <f>Functional!J9</f>
        <v>684414.29971599905</v>
      </c>
      <c r="K9" s="81">
        <f>Functional!K9</f>
        <v>799540.80796667177</v>
      </c>
      <c r="L9" s="81">
        <f>Functional!L9</f>
        <v>700378.50886009238</v>
      </c>
      <c r="M9" s="81">
        <f>Functional!M9</f>
        <v>1140724.6110846652</v>
      </c>
      <c r="N9" s="81">
        <f>Functional!N9</f>
        <v>651155.53066580486</v>
      </c>
      <c r="P9" s="81">
        <f t="shared" si="1"/>
        <v>1159057.3528986976</v>
      </c>
      <c r="Q9" s="81">
        <f t="shared" si="2"/>
        <v>2166118.0445706565</v>
      </c>
      <c r="R9" s="81">
        <f t="shared" si="3"/>
        <v>2277458.1698833071</v>
      </c>
      <c r="S9" s="81">
        <f t="shared" si="4"/>
        <v>2492258.6506105624</v>
      </c>
      <c r="T9" s="91"/>
      <c r="U9" s="81">
        <f t="shared" si="5"/>
        <v>8094892.2179632233</v>
      </c>
    </row>
    <row r="10" spans="2:21" ht="15" customHeight="1" x14ac:dyDescent="0.2">
      <c r="B10" s="78" t="s">
        <v>11</v>
      </c>
      <c r="C10" s="81">
        <f>Functional!C10</f>
        <v>440987.1210848433</v>
      </c>
      <c r="D10" s="81">
        <f>Functional!D10</f>
        <v>223571.0957443236</v>
      </c>
      <c r="E10" s="81">
        <f>Functional!E10</f>
        <v>742711.68018701964</v>
      </c>
      <c r="F10" s="81">
        <f>Functional!F10</f>
        <v>195868.56603714445</v>
      </c>
      <c r="G10" s="81">
        <f>Functional!G10</f>
        <v>315293.13059584226</v>
      </c>
      <c r="H10" s="81">
        <f>Functional!H10</f>
        <v>316418.81200984883</v>
      </c>
      <c r="I10" s="81">
        <f>Functional!I10</f>
        <v>244784.5402094303</v>
      </c>
      <c r="J10" s="81">
        <f>Functional!J10</f>
        <v>84016.767354490905</v>
      </c>
      <c r="K10" s="81">
        <f>Functional!K10</f>
        <v>266479.49109755701</v>
      </c>
      <c r="L10" s="81">
        <f>Functional!L10</f>
        <v>279066.65599963057</v>
      </c>
      <c r="M10" s="81">
        <f>Functional!M10</f>
        <v>293598.17970771552</v>
      </c>
      <c r="N10" s="81">
        <f>Functional!N10</f>
        <v>294519.1917737209</v>
      </c>
      <c r="P10" s="81">
        <f t="shared" si="1"/>
        <v>1407269.8970161865</v>
      </c>
      <c r="Q10" s="81">
        <f t="shared" si="2"/>
        <v>827580.50864283554</v>
      </c>
      <c r="R10" s="81">
        <f t="shared" si="3"/>
        <v>595280.79866147821</v>
      </c>
      <c r="S10" s="81">
        <f t="shared" si="4"/>
        <v>867184.02748106699</v>
      </c>
      <c r="T10" s="79"/>
      <c r="U10" s="81">
        <f t="shared" si="5"/>
        <v>3697315.2318015671</v>
      </c>
    </row>
    <row r="11" spans="2:21" ht="15" customHeight="1" x14ac:dyDescent="0.2">
      <c r="B11" s="31" t="s">
        <v>13</v>
      </c>
      <c r="C11" s="97">
        <f>Functional!C11</f>
        <v>198666.7339566247</v>
      </c>
      <c r="D11" s="97">
        <f>Functional!D11</f>
        <v>335025.21674858825</v>
      </c>
      <c r="E11" s="97">
        <f>Functional!E11</f>
        <v>544202.91708709358</v>
      </c>
      <c r="F11" s="97">
        <f>Functional!F11</f>
        <v>192184.51777312293</v>
      </c>
      <c r="G11" s="97">
        <f>Functional!G11</f>
        <v>275894.281105612</v>
      </c>
      <c r="H11" s="97">
        <f>Functional!H11</f>
        <v>503077.25738693954</v>
      </c>
      <c r="I11" s="97">
        <f>Functional!I11</f>
        <v>522520.84544705303</v>
      </c>
      <c r="J11" s="97">
        <f>Functional!J11</f>
        <v>551788.56221122399</v>
      </c>
      <c r="K11" s="97">
        <f>Functional!K11</f>
        <v>706518.58930012805</v>
      </c>
      <c r="L11" s="97">
        <f>Functional!L11</f>
        <v>533572.99023911764</v>
      </c>
      <c r="M11" s="97">
        <f>Functional!M11</f>
        <v>231071.69389335017</v>
      </c>
      <c r="N11" s="97">
        <f>Functional!N11</f>
        <v>402277.60349635046</v>
      </c>
      <c r="P11" s="97">
        <f t="shared" si="1"/>
        <v>1077894.8677923065</v>
      </c>
      <c r="Q11" s="97">
        <f t="shared" si="2"/>
        <v>971156.05626567453</v>
      </c>
      <c r="R11" s="97">
        <f t="shared" si="3"/>
        <v>1780827.9969584052</v>
      </c>
      <c r="S11" s="97">
        <f t="shared" si="4"/>
        <v>1166922.2876288183</v>
      </c>
      <c r="T11" s="79"/>
      <c r="U11" s="97">
        <f t="shared" si="5"/>
        <v>4996801.2086452041</v>
      </c>
    </row>
    <row r="12" spans="2:21" ht="15" customHeight="1" x14ac:dyDescent="0.2">
      <c r="B12" s="52" t="s">
        <v>14</v>
      </c>
      <c r="C12" s="82">
        <f>Functional!C12</f>
        <v>1838282.796139159</v>
      </c>
      <c r="D12" s="82">
        <f>Functional!D12</f>
        <v>2029089.9786570801</v>
      </c>
      <c r="E12" s="82">
        <f>Functional!E12</f>
        <v>3183022.0796282226</v>
      </c>
      <c r="F12" s="82">
        <f>Functional!F12</f>
        <v>1963086.0513534702</v>
      </c>
      <c r="G12" s="82">
        <f>Functional!G12</f>
        <v>2261903.299435216</v>
      </c>
      <c r="H12" s="82">
        <f>Functional!H12</f>
        <v>3333859.0095914798</v>
      </c>
      <c r="I12" s="82">
        <f>Functional!I12</f>
        <v>2832112.1029665479</v>
      </c>
      <c r="J12" s="82">
        <f>Functional!J12</f>
        <v>2458999.881560368</v>
      </c>
      <c r="K12" s="82">
        <f>Functional!K12</f>
        <v>3280030.9710671655</v>
      </c>
      <c r="L12" s="82">
        <f>Functional!L12</f>
        <v>2339063.6436316674</v>
      </c>
      <c r="M12" s="82">
        <f>Functional!M12</f>
        <v>2898629.6410669368</v>
      </c>
      <c r="N12" s="82">
        <f>Functional!N12</f>
        <v>3103605.9930901341</v>
      </c>
      <c r="P12" s="82">
        <f t="shared" si="1"/>
        <v>7050394.8544244617</v>
      </c>
      <c r="Q12" s="82">
        <f t="shared" si="2"/>
        <v>7558848.3603801662</v>
      </c>
      <c r="R12" s="82">
        <f t="shared" si="3"/>
        <v>8571142.9555940814</v>
      </c>
      <c r="S12" s="82">
        <f t="shared" si="4"/>
        <v>8341299.2777887378</v>
      </c>
      <c r="T12" s="79"/>
      <c r="U12" s="82">
        <f t="shared" si="5"/>
        <v>31521685.448187448</v>
      </c>
    </row>
    <row r="13" spans="2:21" ht="15" customHeight="1" x14ac:dyDescent="0.2"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P13" s="79"/>
      <c r="Q13" s="79"/>
      <c r="R13" s="79"/>
      <c r="S13" s="79"/>
      <c r="T13" s="79"/>
      <c r="U13" s="79"/>
    </row>
    <row r="14" spans="2:21" ht="15" customHeight="1" x14ac:dyDescent="0.2">
      <c r="B14" s="52" t="s">
        <v>15</v>
      </c>
      <c r="C14" s="108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P14" s="83"/>
      <c r="Q14" s="83"/>
      <c r="R14" s="83"/>
      <c r="S14" s="83"/>
      <c r="T14" s="79"/>
      <c r="U14" s="83"/>
    </row>
    <row r="15" spans="2:21" ht="15" customHeight="1" x14ac:dyDescent="0.2">
      <c r="B15" s="93" t="s">
        <v>9</v>
      </c>
      <c r="C15" s="101">
        <f>Functional!C15</f>
        <v>6.7393931455971043E-2</v>
      </c>
      <c r="D15" s="101">
        <f>Functional!D15</f>
        <v>0.14484668328968767</v>
      </c>
      <c r="E15" s="101">
        <f>Functional!E15</f>
        <v>0.11567215284129743</v>
      </c>
      <c r="F15" s="101">
        <f>Functional!F15</f>
        <v>0.14609651369799148</v>
      </c>
      <c r="G15" s="101">
        <f>Functional!G15</f>
        <v>0.11725576288131039</v>
      </c>
      <c r="H15" s="101">
        <f>Functional!H15</f>
        <v>0.20359417064069918</v>
      </c>
      <c r="I15" s="101">
        <f>Functional!I15</f>
        <v>0.12659705621591977</v>
      </c>
      <c r="J15" s="101">
        <f>Functional!J15</f>
        <v>0.17055882143751375</v>
      </c>
      <c r="K15" s="101">
        <f>Functional!K15</f>
        <v>0.19756398166561684</v>
      </c>
      <c r="L15" s="101">
        <f>Functional!L15</f>
        <v>0.33217178429035915</v>
      </c>
      <c r="M15" s="101">
        <f>Functional!M15</f>
        <v>0.17710664878609386</v>
      </c>
      <c r="N15" s="101">
        <f>Functional!N15</f>
        <v>0.2053553875115432</v>
      </c>
      <c r="P15" s="101">
        <f>P25/P5</f>
        <v>0.11465475654137559</v>
      </c>
      <c r="Q15" s="101">
        <f t="shared" ref="Q15:S15" si="6">Q25/Q5</f>
        <v>0.16063645959706568</v>
      </c>
      <c r="R15" s="101">
        <f t="shared" si="6"/>
        <v>0.16668431137984499</v>
      </c>
      <c r="S15" s="101">
        <f t="shared" si="6"/>
        <v>0.22368303590388774</v>
      </c>
      <c r="T15" s="79"/>
      <c r="U15" s="101">
        <f t="shared" ref="U15:U22" si="7">U25/U5</f>
        <v>0.16793926304183437</v>
      </c>
    </row>
    <row r="16" spans="2:21" ht="15" customHeight="1" x14ac:dyDescent="0.2">
      <c r="B16" s="94" t="s">
        <v>10</v>
      </c>
      <c r="C16" s="99">
        <f>Functional!C16</f>
        <v>8.269779157262673E-2</v>
      </c>
      <c r="D16" s="99">
        <f>Functional!D16</f>
        <v>0.14520413222718045</v>
      </c>
      <c r="E16" s="99">
        <f>Functional!E16</f>
        <v>0.13561154879632886</v>
      </c>
      <c r="F16" s="99">
        <f>Functional!F16</f>
        <v>0.17810344345334739</v>
      </c>
      <c r="G16" s="99">
        <f>Functional!G16</f>
        <v>0.13868143376929959</v>
      </c>
      <c r="H16" s="99">
        <f>Functional!H16</f>
        <v>0.18929248957002251</v>
      </c>
      <c r="I16" s="99">
        <f>Functional!I16</f>
        <v>0.13169223801022148</v>
      </c>
      <c r="J16" s="99">
        <f>Functional!J16</f>
        <v>0.1743766625878605</v>
      </c>
      <c r="K16" s="99">
        <f>Functional!K16</f>
        <v>0.24994126882264628</v>
      </c>
      <c r="L16" s="99">
        <f>Functional!L16</f>
        <v>0.2528063664279282</v>
      </c>
      <c r="M16" s="99">
        <f>Functional!M16</f>
        <v>0.17032188117874789</v>
      </c>
      <c r="N16" s="99">
        <f>Functional!N16</f>
        <v>0.23554213423925505</v>
      </c>
      <c r="P16" s="99">
        <f t="shared" ref="P16:S22" si="8">P26/P6</f>
        <v>0.12685345296298783</v>
      </c>
      <c r="Q16" s="99">
        <f t="shared" si="8"/>
        <v>0.17188851699898844</v>
      </c>
      <c r="R16" s="99">
        <f t="shared" si="8"/>
        <v>0.18560560318675476</v>
      </c>
      <c r="S16" s="99">
        <f t="shared" si="8"/>
        <v>0.21721390983086095</v>
      </c>
      <c r="T16" s="79"/>
      <c r="U16" s="99">
        <f t="shared" si="7"/>
        <v>0.17682681219101859</v>
      </c>
    </row>
    <row r="17" spans="2:21" ht="15" customHeight="1" x14ac:dyDescent="0.2">
      <c r="B17" s="94" t="s">
        <v>11</v>
      </c>
      <c r="C17" s="100">
        <f>Functional!C17</f>
        <v>3.5178889378835419E-2</v>
      </c>
      <c r="D17" s="100">
        <f>Functional!D17</f>
        <v>0.14280515161950749</v>
      </c>
      <c r="E17" s="100">
        <f>Functional!E17</f>
        <v>4.5604790246004716E-2</v>
      </c>
      <c r="F17" s="100">
        <f>Functional!F17</f>
        <v>5.8115050843189492E-2</v>
      </c>
      <c r="G17" s="100">
        <f>Functional!G17</f>
        <v>6.7848004919958557E-2</v>
      </c>
      <c r="H17" s="100">
        <f>Functional!H17</f>
        <v>0.26083116303149201</v>
      </c>
      <c r="I17" s="100">
        <f>Functional!I17</f>
        <v>0.10662394358225706</v>
      </c>
      <c r="J17" s="100">
        <f>Functional!J17</f>
        <v>0.15789046300654161</v>
      </c>
      <c r="K17" s="100">
        <f>Functional!K17</f>
        <v>9.3879412611036203E-2</v>
      </c>
      <c r="L17" s="100">
        <f>Functional!L17</f>
        <v>1.3688998385281776</v>
      </c>
      <c r="M17" s="100">
        <f>Functional!M17</f>
        <v>0.22184250779256384</v>
      </c>
      <c r="N17" s="100">
        <f>Functional!N17</f>
        <v>0.13081335226541799</v>
      </c>
      <c r="P17" s="100">
        <f t="shared" si="8"/>
        <v>6.4774688547365178E-2</v>
      </c>
      <c r="Q17" s="100">
        <f t="shared" si="8"/>
        <v>0.1269723706071349</v>
      </c>
      <c r="R17" s="100">
        <f t="shared" si="8"/>
        <v>0.11350278684670713</v>
      </c>
      <c r="S17" s="100">
        <f t="shared" si="8"/>
        <v>0.25115178639663166</v>
      </c>
      <c r="T17" s="79"/>
      <c r="U17" s="100">
        <f t="shared" si="7"/>
        <v>0.13744607753088928</v>
      </c>
    </row>
    <row r="18" spans="2:21" ht="15" customHeight="1" x14ac:dyDescent="0.2">
      <c r="B18" s="93" t="s">
        <v>12</v>
      </c>
      <c r="C18" s="101">
        <f>Functional!C18</f>
        <v>0.17841142091049092</v>
      </c>
      <c r="D18" s="101">
        <f>Functional!D18</f>
        <v>0.16576614011777902</v>
      </c>
      <c r="E18" s="101">
        <f>Functional!E18</f>
        <v>8.7735600019642646E-2</v>
      </c>
      <c r="F18" s="101">
        <f>Functional!F18</f>
        <v>0.19471753201760905</v>
      </c>
      <c r="G18" s="101">
        <f>Functional!G18</f>
        <v>0.12911064488203183</v>
      </c>
      <c r="H18" s="101">
        <f>Functional!H18</f>
        <v>0.12018586189683919</v>
      </c>
      <c r="I18" s="101">
        <f>Functional!I18</f>
        <v>0.12102902207211845</v>
      </c>
      <c r="J18" s="101">
        <f>Functional!J18</f>
        <v>9.4420159634264464E-2</v>
      </c>
      <c r="K18" s="101">
        <f>Functional!K18</f>
        <v>0.16021447574467024</v>
      </c>
      <c r="L18" s="101">
        <f>Functional!L18</f>
        <v>0.1103533778706924</v>
      </c>
      <c r="M18" s="101">
        <f>Functional!M18</f>
        <v>9.8388918786146584E-2</v>
      </c>
      <c r="N18" s="101">
        <f>Functional!N18</f>
        <v>0.16359749944477819</v>
      </c>
      <c r="P18" s="101">
        <f t="shared" si="8"/>
        <v>0.130464673959654</v>
      </c>
      <c r="Q18" s="101">
        <f t="shared" si="8"/>
        <v>0.14054401953850409</v>
      </c>
      <c r="R18" s="101">
        <f t="shared" si="8"/>
        <v>0.12845239492981031</v>
      </c>
      <c r="S18" s="101">
        <f t="shared" si="8"/>
        <v>0.1202332081660845</v>
      </c>
      <c r="T18" s="79"/>
      <c r="U18" s="101">
        <f t="shared" si="7"/>
        <v>0.12961850050173826</v>
      </c>
    </row>
    <row r="19" spans="2:21" ht="15" customHeight="1" x14ac:dyDescent="0.2">
      <c r="B19" s="94" t="s">
        <v>10</v>
      </c>
      <c r="C19" s="99">
        <f>Functional!C19</f>
        <v>0.25513485939404251</v>
      </c>
      <c r="D19" s="99">
        <f>Functional!D19</f>
        <v>0.13216248357945287</v>
      </c>
      <c r="E19" s="99">
        <f>Functional!E19</f>
        <v>0.1076882767868082</v>
      </c>
      <c r="F19" s="99">
        <f>Functional!F19</f>
        <v>0.15415830209544415</v>
      </c>
      <c r="G19" s="99">
        <f>Functional!G19</f>
        <v>0.11526510995014258</v>
      </c>
      <c r="H19" s="99">
        <f>Functional!H19</f>
        <v>9.0876544760634545E-2</v>
      </c>
      <c r="I19" s="99">
        <f>Functional!I19</f>
        <v>0.10227724990396118</v>
      </c>
      <c r="J19" s="99">
        <f>Functional!J19</f>
        <v>4.6083781283784667E-2</v>
      </c>
      <c r="K19" s="99">
        <f>Functional!K19</f>
        <v>0.15514190020778293</v>
      </c>
      <c r="L19" s="99">
        <f>Functional!L19</f>
        <v>0.10715448180803074</v>
      </c>
      <c r="M19" s="99">
        <f>Functional!M19</f>
        <v>9.4641963295987522E-2</v>
      </c>
      <c r="N19" s="99">
        <f>Functional!N19</f>
        <v>0.16771273177127266</v>
      </c>
      <c r="P19" s="99">
        <f t="shared" si="8"/>
        <v>0.15120509726926629</v>
      </c>
      <c r="Q19" s="99">
        <f t="shared" si="8"/>
        <v>0.11251522732300241</v>
      </c>
      <c r="R19" s="99">
        <f t="shared" si="8"/>
        <v>0.10394921551582453</v>
      </c>
      <c r="S19" s="99">
        <f t="shared" si="8"/>
        <v>0.11724954219492253</v>
      </c>
      <c r="T19" s="79"/>
      <c r="U19" s="99">
        <f t="shared" si="7"/>
        <v>0.11710258696470226</v>
      </c>
    </row>
    <row r="20" spans="2:21" ht="15" customHeight="1" x14ac:dyDescent="0.2">
      <c r="B20" s="94" t="s">
        <v>11</v>
      </c>
      <c r="C20" s="99">
        <f>Functional!C20</f>
        <v>0.12962935061850114</v>
      </c>
      <c r="D20" s="99">
        <f>Functional!D20</f>
        <v>0.22162990628166296</v>
      </c>
      <c r="E20" s="99">
        <f>Functional!E20</f>
        <v>7.1151099980620497E-2</v>
      </c>
      <c r="F20" s="99">
        <f>Functional!F20</f>
        <v>0.30105306793684827</v>
      </c>
      <c r="G20" s="99">
        <f>Functional!G20</f>
        <v>0.15499518925323663</v>
      </c>
      <c r="H20" s="99">
        <f>Functional!H20</f>
        <v>0.21866402998481782</v>
      </c>
      <c r="I20" s="99">
        <f>Functional!I20</f>
        <v>0.18181549422591917</v>
      </c>
      <c r="J20" s="99">
        <f>Functional!J20</f>
        <v>0.48817618692781961</v>
      </c>
      <c r="K20" s="99">
        <f>Functional!K20</f>
        <v>0.17543415034900997</v>
      </c>
      <c r="L20" s="99">
        <f>Functional!L20</f>
        <v>0.11838170374266015</v>
      </c>
      <c r="M20" s="99">
        <f>Functional!M20</f>
        <v>0.11294706198893613</v>
      </c>
      <c r="N20" s="99">
        <f>Functional!N20</f>
        <v>0.15449908968331721</v>
      </c>
      <c r="P20" s="99">
        <f t="shared" si="8"/>
        <v>0.11338242115924385</v>
      </c>
      <c r="Q20" s="99">
        <f t="shared" si="8"/>
        <v>0.21390687904456612</v>
      </c>
      <c r="R20" s="99">
        <f t="shared" si="8"/>
        <v>0.22219801257778246</v>
      </c>
      <c r="S20" s="99">
        <f t="shared" si="8"/>
        <v>0.12880816698856254</v>
      </c>
      <c r="T20" s="79"/>
      <c r="U20" s="99">
        <f t="shared" si="7"/>
        <v>0.157020808592814</v>
      </c>
    </row>
    <row r="21" spans="2:21" s="36" customFormat="1" ht="15" customHeight="1" x14ac:dyDescent="0.2">
      <c r="B21" s="19" t="s">
        <v>13</v>
      </c>
      <c r="C21" s="102">
        <f>Functional!C21</f>
        <v>0.15169917201438265</v>
      </c>
      <c r="D21" s="102">
        <f>Functional!D21</f>
        <v>3.1052479234059648E-2</v>
      </c>
      <c r="E21" s="102">
        <f>Functional!E21</f>
        <v>0.13756140402794095</v>
      </c>
      <c r="F21" s="102">
        <f>Functional!F21</f>
        <v>0.19265696367784188</v>
      </c>
      <c r="G21" s="102">
        <f>Functional!G21</f>
        <v>0.29325718333652373</v>
      </c>
      <c r="H21" s="102">
        <f>Functional!H21</f>
        <v>0.20344880015445777</v>
      </c>
      <c r="I21" s="102">
        <f>Functional!I21</f>
        <v>6.3463595935420627E-2</v>
      </c>
      <c r="J21" s="102">
        <f>Functional!J21</f>
        <v>0.11680582726115776</v>
      </c>
      <c r="K21" s="102">
        <f>Functional!K21</f>
        <v>0.10428228727605789</v>
      </c>
      <c r="L21" s="102">
        <f>Functional!L21</f>
        <v>0.19462464105093918</v>
      </c>
      <c r="M21" s="102">
        <f>Functional!M21</f>
        <v>0.23792413655906763</v>
      </c>
      <c r="N21" s="102">
        <f>Functional!N21</f>
        <v>0.15154083130793794</v>
      </c>
      <c r="P21" s="102">
        <f t="shared" si="8"/>
        <v>0.10706263053367782</v>
      </c>
      <c r="Q21" s="102">
        <f t="shared" si="8"/>
        <v>0.22682670659869014</v>
      </c>
      <c r="R21" s="102">
        <f t="shared" si="8"/>
        <v>9.6185901206316746E-2</v>
      </c>
      <c r="S21" s="102">
        <f t="shared" si="8"/>
        <v>0.18834627612571039</v>
      </c>
      <c r="T21" s="85"/>
      <c r="U21" s="102">
        <f t="shared" si="7"/>
        <v>0.14544553058207946</v>
      </c>
    </row>
    <row r="22" spans="2:21" ht="15" customHeight="1" x14ac:dyDescent="0.2">
      <c r="B22" s="95" t="s">
        <v>14</v>
      </c>
      <c r="C22" s="98">
        <f>Functional!C22</f>
        <v>9.9549306149495281E-2</v>
      </c>
      <c r="D22" s="98">
        <f>Functional!D22</f>
        <v>0.10960177195157539</v>
      </c>
      <c r="E22" s="98">
        <f>Functional!E22</f>
        <v>8.7049858779637571E-2</v>
      </c>
      <c r="F22" s="98">
        <f>Functional!F22</f>
        <v>0.13947373421489301</v>
      </c>
      <c r="G22" s="98">
        <f>Functional!G22</f>
        <v>0.11894602732024519</v>
      </c>
      <c r="H22" s="98">
        <f>Functional!H22</f>
        <v>0.14016419440526465</v>
      </c>
      <c r="I22" s="98">
        <f>Functional!I22</f>
        <v>9.3610968198660466E-2</v>
      </c>
      <c r="J22" s="98">
        <f>Functional!J22</f>
        <v>0.11168191552156798</v>
      </c>
      <c r="K22" s="98">
        <f>Functional!K22</f>
        <v>0.13707590443679588</v>
      </c>
      <c r="L22" s="98">
        <f>Functional!L22</f>
        <v>0.17237874686163115</v>
      </c>
      <c r="M22" s="98">
        <f>Functional!M22</f>
        <v>0.11856287675646755</v>
      </c>
      <c r="N22" s="98">
        <f>Functional!N22</f>
        <v>0.15392641935524717</v>
      </c>
      <c r="P22" s="98">
        <f t="shared" si="8"/>
        <v>0.11924881246290682</v>
      </c>
      <c r="Q22" s="98">
        <f t="shared" si="8"/>
        <v>0.1611828854956395</v>
      </c>
      <c r="R22" s="98">
        <f t="shared" si="8"/>
        <v>0.1392228794534742</v>
      </c>
      <c r="S22" s="98">
        <f t="shared" si="8"/>
        <v>0.17707530658567941</v>
      </c>
      <c r="T22" s="79"/>
      <c r="U22" s="98">
        <f t="shared" si="7"/>
        <v>0.15003783794274336</v>
      </c>
    </row>
    <row r="23" spans="2:21" ht="15" customHeight="1" x14ac:dyDescent="0.2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P23" s="79"/>
      <c r="Q23" s="79"/>
      <c r="R23" s="79"/>
      <c r="S23" s="79"/>
      <c r="T23" s="79"/>
      <c r="U23" s="79"/>
    </row>
    <row r="24" spans="2:21" ht="15" customHeight="1" x14ac:dyDescent="0.2">
      <c r="B24" s="52" t="s">
        <v>17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P24" s="83"/>
      <c r="Q24" s="83"/>
      <c r="R24" s="83"/>
      <c r="S24" s="83"/>
      <c r="T24" s="79"/>
      <c r="U24" s="83"/>
    </row>
    <row r="25" spans="2:21" ht="15" customHeight="1" x14ac:dyDescent="0.2">
      <c r="B25" s="51" t="s">
        <v>9</v>
      </c>
      <c r="C25" s="96">
        <f>Functional!C25</f>
        <v>61883.925660884226</v>
      </c>
      <c r="D25" s="96">
        <f>Functional!D25</f>
        <v>159160.73774827071</v>
      </c>
      <c r="E25" s="96">
        <f>Functional!E25</f>
        <v>169489.24245703485</v>
      </c>
      <c r="F25" s="96">
        <f>Functional!F25</f>
        <v>155084.01670409011</v>
      </c>
      <c r="G25" s="96">
        <f>Functional!G25</f>
        <v>126784.92362384217</v>
      </c>
      <c r="H25" s="96">
        <f>Functional!H25</f>
        <v>295457.49163078266</v>
      </c>
      <c r="I25" s="96">
        <f>Functional!I25</f>
        <v>160943.30029339259</v>
      </c>
      <c r="J25" s="96">
        <f>Functional!J25</f>
        <v>194229.01770496176</v>
      </c>
      <c r="K25" s="96">
        <f>Functional!K25</f>
        <v>297826.1381881602</v>
      </c>
      <c r="L25" s="96">
        <f>Functional!L25</f>
        <v>274389.00383095047</v>
      </c>
      <c r="M25" s="96">
        <f>Functional!M25</f>
        <v>218414.14571186973</v>
      </c>
      <c r="N25" s="96">
        <f>Functional!N25</f>
        <v>360532.93915452459</v>
      </c>
      <c r="P25" s="96">
        <f t="shared" ref="P25:P32" si="9">SUM(C25:E25)</f>
        <v>390533.90586618974</v>
      </c>
      <c r="Q25" s="96">
        <f t="shared" ref="Q25:Q32" si="10">SUM(F25:H25)</f>
        <v>577326.43195871497</v>
      </c>
      <c r="R25" s="96">
        <f t="shared" ref="R25:R32" si="11">SUM(I25:K25)</f>
        <v>652998.45618651458</v>
      </c>
      <c r="S25" s="96">
        <f t="shared" ref="S25:S32" si="12">SUM(L25:N25)</f>
        <v>853336.08869734476</v>
      </c>
      <c r="T25" s="79"/>
      <c r="U25" s="96">
        <f t="shared" ref="U25:U32" si="13">SUM(P25:S25)</f>
        <v>2474194.8827087637</v>
      </c>
    </row>
    <row r="26" spans="2:21" ht="15" customHeight="1" x14ac:dyDescent="0.2">
      <c r="B26" s="78" t="s">
        <v>10</v>
      </c>
      <c r="C26" s="81">
        <f>Functional!C26</f>
        <v>51480.562074912355</v>
      </c>
      <c r="D26" s="81">
        <f>Functional!D26</f>
        <v>135779.98247258135</v>
      </c>
      <c r="E26" s="81">
        <f>Functional!E26</f>
        <v>159918.04480336962</v>
      </c>
      <c r="F26" s="81">
        <f>Functional!F26</f>
        <v>138628.15641073007</v>
      </c>
      <c r="G26" s="81">
        <f>Functional!G26</f>
        <v>104594.44534946271</v>
      </c>
      <c r="H26" s="81">
        <f>Functional!H26</f>
        <v>219785.46740298308</v>
      </c>
      <c r="I26" s="81">
        <f>Functional!I26</f>
        <v>133392.20086284282</v>
      </c>
      <c r="J26" s="81">
        <f>Functional!J26</f>
        <v>152590.70453842951</v>
      </c>
      <c r="K26" s="81">
        <f>Functional!K26</f>
        <v>250328.54143232555</v>
      </c>
      <c r="L26" s="81">
        <f>Functional!L26</f>
        <v>193979.6864883957</v>
      </c>
      <c r="M26" s="81">
        <f>Functional!M26</f>
        <v>182385.78491807388</v>
      </c>
      <c r="N26" s="81">
        <f>Functional!N26</f>
        <v>294335.50115623529</v>
      </c>
      <c r="P26" s="81">
        <f t="shared" si="9"/>
        <v>347178.58935086336</v>
      </c>
      <c r="Q26" s="81">
        <f t="shared" si="10"/>
        <v>463008.06916317588</v>
      </c>
      <c r="R26" s="81">
        <f t="shared" si="11"/>
        <v>536311.44683359796</v>
      </c>
      <c r="S26" s="81">
        <f t="shared" si="12"/>
        <v>670700.97256270493</v>
      </c>
      <c r="T26" s="79"/>
      <c r="U26" s="81">
        <f t="shared" si="13"/>
        <v>2017199.077910342</v>
      </c>
    </row>
    <row r="27" spans="2:21" ht="15" customHeight="1" x14ac:dyDescent="0.2">
      <c r="B27" s="78" t="s">
        <v>11</v>
      </c>
      <c r="C27" s="81">
        <f>Functional!C27</f>
        <v>10403.363585971867</v>
      </c>
      <c r="D27" s="81">
        <f>Functional!D27</f>
        <v>23380.755275689353</v>
      </c>
      <c r="E27" s="81">
        <f>Functional!E27</f>
        <v>9571.1976536652473</v>
      </c>
      <c r="F27" s="81">
        <f>Functional!F27</f>
        <v>16455.860293360041</v>
      </c>
      <c r="G27" s="81">
        <f>Functional!G27</f>
        <v>22190.47827437946</v>
      </c>
      <c r="H27" s="81">
        <f>Functional!H27</f>
        <v>75672.0242277996</v>
      </c>
      <c r="I27" s="81">
        <f>Functional!I27</f>
        <v>27551.09943054977</v>
      </c>
      <c r="J27" s="81">
        <f>Functional!J27</f>
        <v>41638.313166532265</v>
      </c>
      <c r="K27" s="81">
        <f>Functional!K27</f>
        <v>47497.59675583466</v>
      </c>
      <c r="L27" s="81">
        <f>Functional!L27</f>
        <v>80409.317342554772</v>
      </c>
      <c r="M27" s="81">
        <f>Functional!M27</f>
        <v>36028.360793795851</v>
      </c>
      <c r="N27" s="81">
        <f>Functional!N27</f>
        <v>66197.437998289271</v>
      </c>
      <c r="P27" s="81">
        <f t="shared" si="9"/>
        <v>43355.316515326471</v>
      </c>
      <c r="Q27" s="81">
        <f t="shared" si="10"/>
        <v>114318.3627955391</v>
      </c>
      <c r="R27" s="81">
        <f t="shared" si="11"/>
        <v>116687.00935291669</v>
      </c>
      <c r="S27" s="81">
        <f t="shared" si="12"/>
        <v>182635.11613463989</v>
      </c>
      <c r="T27" s="79"/>
      <c r="U27" s="81">
        <f t="shared" si="13"/>
        <v>456995.80479842215</v>
      </c>
    </row>
    <row r="28" spans="2:21" ht="15" customHeight="1" x14ac:dyDescent="0.2">
      <c r="B28" s="51" t="s">
        <v>12</v>
      </c>
      <c r="C28" s="96">
        <f>Functional!C28</f>
        <v>128701.40518728085</v>
      </c>
      <c r="D28" s="96">
        <f>Functional!D28</f>
        <v>98671.077310248656</v>
      </c>
      <c r="E28" s="96">
        <f>Functional!E28</f>
        <v>107442.56543639135</v>
      </c>
      <c r="F28" s="96">
        <f>Functional!F28</f>
        <v>138129.49397759797</v>
      </c>
      <c r="G28" s="96">
        <f>Functional!G28</f>
        <v>116811.67496119974</v>
      </c>
      <c r="H28" s="96">
        <f>Functional!H28</f>
        <v>165805.25901643076</v>
      </c>
      <c r="I28" s="96">
        <f>Functional!I28</f>
        <v>125662.9331492949</v>
      </c>
      <c r="J28" s="96">
        <f>Functional!J28</f>
        <v>72555.384020723839</v>
      </c>
      <c r="K28" s="96">
        <f>Functional!K28</f>
        <v>170791.88334775201</v>
      </c>
      <c r="L28" s="96">
        <f>Functional!L28</f>
        <v>108085.08238138759</v>
      </c>
      <c r="M28" s="96">
        <f>Functional!M28</f>
        <v>141121.46857639067</v>
      </c>
      <c r="N28" s="96">
        <f>Functional!N28</f>
        <v>154710.01987924104</v>
      </c>
      <c r="P28" s="96">
        <f t="shared" si="9"/>
        <v>334815.04793392087</v>
      </c>
      <c r="Q28" s="96">
        <f t="shared" si="10"/>
        <v>420746.42795522849</v>
      </c>
      <c r="R28" s="96">
        <f t="shared" si="11"/>
        <v>369010.20051777072</v>
      </c>
      <c r="S28" s="96">
        <f t="shared" si="12"/>
        <v>403916.5708370193</v>
      </c>
      <c r="T28" s="79"/>
      <c r="U28" s="96">
        <f t="shared" si="13"/>
        <v>1528488.2472439392</v>
      </c>
    </row>
    <row r="29" spans="2:21" ht="15" customHeight="1" x14ac:dyDescent="0.2">
      <c r="B29" s="78" t="s">
        <v>10</v>
      </c>
      <c r="C29" s="81">
        <f>Functional!C29</f>
        <v>71536.531049930272</v>
      </c>
      <c r="D29" s="81">
        <f>Functional!D29</f>
        <v>49121.036313145531</v>
      </c>
      <c r="E29" s="81">
        <f>Functional!E29</f>
        <v>54597.812422630079</v>
      </c>
      <c r="F29" s="81">
        <f>Functional!F29</f>
        <v>79162.661259724468</v>
      </c>
      <c r="G29" s="81">
        <f>Functional!G29</f>
        <v>67942.756514251712</v>
      </c>
      <c r="H29" s="81">
        <f>Functional!H29</f>
        <v>96615.846419348745</v>
      </c>
      <c r="I29" s="81">
        <f>Functional!I29</f>
        <v>81157.31099225294</v>
      </c>
      <c r="J29" s="81">
        <f>Functional!J29</f>
        <v>31540.398895606748</v>
      </c>
      <c r="K29" s="81">
        <f>Functional!K29</f>
        <v>124042.28024161553</v>
      </c>
      <c r="L29" s="81">
        <f>Functional!L29</f>
        <v>75048.696186384463</v>
      </c>
      <c r="M29" s="81">
        <f>Functional!M29</f>
        <v>107960.41677310452</v>
      </c>
      <c r="N29" s="81">
        <f>Functional!N29</f>
        <v>109207.07285593484</v>
      </c>
      <c r="P29" s="81">
        <f t="shared" si="9"/>
        <v>175255.37978570588</v>
      </c>
      <c r="Q29" s="81">
        <f t="shared" si="10"/>
        <v>243721.2641933249</v>
      </c>
      <c r="R29" s="81">
        <f t="shared" si="11"/>
        <v>236739.99012947522</v>
      </c>
      <c r="S29" s="81">
        <f t="shared" si="12"/>
        <v>292216.18581542384</v>
      </c>
      <c r="T29" s="79"/>
      <c r="U29" s="81">
        <f t="shared" si="13"/>
        <v>947932.81992392987</v>
      </c>
    </row>
    <row r="30" spans="2:21" ht="15" customHeight="1" x14ac:dyDescent="0.2">
      <c r="B30" s="78" t="s">
        <v>11</v>
      </c>
      <c r="C30" s="81">
        <f>Functional!C30</f>
        <v>57164.874137350569</v>
      </c>
      <c r="D30" s="81">
        <f>Functional!D30</f>
        <v>49550.040997103133</v>
      </c>
      <c r="E30" s="81">
        <f>Functional!E30</f>
        <v>52844.75301376127</v>
      </c>
      <c r="F30" s="81">
        <f>Functional!F30</f>
        <v>58966.832717873498</v>
      </c>
      <c r="G30" s="81">
        <f>Functional!G30</f>
        <v>48868.918446948024</v>
      </c>
      <c r="H30" s="81">
        <f>Functional!H30</f>
        <v>69189.412597082017</v>
      </c>
      <c r="I30" s="81">
        <f>Functional!I30</f>
        <v>44505.622157041951</v>
      </c>
      <c r="J30" s="81">
        <f>Functional!J30</f>
        <v>41014.985125117084</v>
      </c>
      <c r="K30" s="81">
        <f>Functional!K30</f>
        <v>46749.603106136477</v>
      </c>
      <c r="L30" s="81">
        <f>Functional!L30</f>
        <v>33036.386195003121</v>
      </c>
      <c r="M30" s="81">
        <f>Functional!M30</f>
        <v>33161.051803286151</v>
      </c>
      <c r="N30" s="81">
        <f>Functional!N30</f>
        <v>45502.947023306209</v>
      </c>
      <c r="P30" s="81">
        <f t="shared" si="9"/>
        <v>159559.66814821499</v>
      </c>
      <c r="Q30" s="81">
        <f t="shared" si="10"/>
        <v>177025.16376190353</v>
      </c>
      <c r="R30" s="81">
        <f t="shared" si="11"/>
        <v>132270.21038829553</v>
      </c>
      <c r="S30" s="81">
        <f t="shared" si="12"/>
        <v>111700.38502159549</v>
      </c>
      <c r="T30" s="79"/>
      <c r="U30" s="81">
        <f t="shared" si="13"/>
        <v>580555.42732000956</v>
      </c>
    </row>
    <row r="31" spans="2:21" ht="15" customHeight="1" x14ac:dyDescent="0.2">
      <c r="B31" s="31" t="s">
        <v>13</v>
      </c>
      <c r="C31" s="97">
        <f>Functional!C31</f>
        <v>30137.579048021606</v>
      </c>
      <c r="D31" s="97">
        <f>Functional!D31</f>
        <v>10403.363585971869</v>
      </c>
      <c r="E31" s="97">
        <f>Functional!E31</f>
        <v>74861.317350601734</v>
      </c>
      <c r="F31" s="97">
        <f>Functional!F31</f>
        <v>37025.685660060102</v>
      </c>
      <c r="G31" s="97">
        <f>Functional!G31</f>
        <v>80907.979775686879</v>
      </c>
      <c r="H31" s="97">
        <f>Functional!H31</f>
        <v>102350.46440036818</v>
      </c>
      <c r="I31" s="97">
        <f>Functional!I31</f>
        <v>33161.051803286144</v>
      </c>
      <c r="J31" s="97">
        <f>Functional!J31</f>
        <v>64452.119482326831</v>
      </c>
      <c r="K31" s="97">
        <f>Functional!K31</f>
        <v>73677.374495271113</v>
      </c>
      <c r="L31" s="97">
        <f>Functional!L31</f>
        <v>103846.45169976456</v>
      </c>
      <c r="M31" s="97">
        <f>Functional!M31</f>
        <v>54977.533252816516</v>
      </c>
      <c r="N31" s="97">
        <f>Functional!N31</f>
        <v>60961.482450401993</v>
      </c>
      <c r="O31" s="36"/>
      <c r="P31" s="97">
        <f t="shared" si="9"/>
        <v>115402.25998459521</v>
      </c>
      <c r="Q31" s="97">
        <f t="shared" si="10"/>
        <v>220284.12983611517</v>
      </c>
      <c r="R31" s="97">
        <f t="shared" si="11"/>
        <v>171290.5457808841</v>
      </c>
      <c r="S31" s="97">
        <f t="shared" si="12"/>
        <v>219785.46740298305</v>
      </c>
      <c r="T31" s="85"/>
      <c r="U31" s="97">
        <f t="shared" si="13"/>
        <v>726762.40300457762</v>
      </c>
    </row>
    <row r="32" spans="2:21" ht="15" customHeight="1" x14ac:dyDescent="0.2">
      <c r="B32" s="52" t="s">
        <v>14</v>
      </c>
      <c r="C32" s="82">
        <f>Functional!C32</f>
        <v>220722.9098961867</v>
      </c>
      <c r="D32" s="82">
        <f>Functional!D32</f>
        <v>268235.17864449124</v>
      </c>
      <c r="E32" s="82">
        <f>Functional!E32</f>
        <v>351793.12524402793</v>
      </c>
      <c r="F32" s="82">
        <f>Functional!F32</f>
        <v>330239.19634174817</v>
      </c>
      <c r="G32" s="82">
        <f>Functional!G32</f>
        <v>324504.5783607288</v>
      </c>
      <c r="H32" s="82">
        <f>Functional!H32</f>
        <v>563613.21504758159</v>
      </c>
      <c r="I32" s="82">
        <f>Functional!I32</f>
        <v>319767.28524597362</v>
      </c>
      <c r="J32" s="82">
        <f>Functional!J32</f>
        <v>331236.52120801242</v>
      </c>
      <c r="K32" s="82">
        <f>Functional!K32</f>
        <v>542295.39603118331</v>
      </c>
      <c r="L32" s="82">
        <f>Functional!L32</f>
        <v>486320.53791210265</v>
      </c>
      <c r="M32" s="82">
        <f>Functional!M32</f>
        <v>414513.14754107693</v>
      </c>
      <c r="N32" s="82">
        <f>Functional!N32</f>
        <v>576204.44148416759</v>
      </c>
      <c r="P32" s="82">
        <f t="shared" si="9"/>
        <v>840751.21378470585</v>
      </c>
      <c r="Q32" s="82">
        <f t="shared" si="10"/>
        <v>1218356.9897500586</v>
      </c>
      <c r="R32" s="82">
        <f t="shared" si="11"/>
        <v>1193299.2024851693</v>
      </c>
      <c r="S32" s="82">
        <f t="shared" si="12"/>
        <v>1477038.126937347</v>
      </c>
      <c r="T32" s="79"/>
      <c r="U32" s="82">
        <f t="shared" si="13"/>
        <v>4729445.5329572801</v>
      </c>
    </row>
    <row r="33" spans="2:21" ht="15" customHeight="1" x14ac:dyDescent="0.2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P33" s="79"/>
      <c r="Q33" s="79"/>
      <c r="R33" s="79"/>
      <c r="S33" s="79"/>
      <c r="T33" s="79"/>
      <c r="U33" s="79"/>
    </row>
    <row r="34" spans="2:21" ht="15" customHeight="1" x14ac:dyDescent="0.2">
      <c r="B34" s="51" t="s">
        <v>8</v>
      </c>
      <c r="C34" s="86">
        <f>Functional!C34</f>
        <v>168</v>
      </c>
      <c r="D34" s="86">
        <f>Functional!D34</f>
        <v>160</v>
      </c>
      <c r="E34" s="86">
        <f>Functional!E34</f>
        <v>184</v>
      </c>
      <c r="F34" s="86">
        <f>Functional!F34</f>
        <v>160</v>
      </c>
      <c r="G34" s="86">
        <f>Functional!G34</f>
        <v>184</v>
      </c>
      <c r="H34" s="86">
        <f>Functional!H34</f>
        <v>168</v>
      </c>
      <c r="I34" s="86">
        <f>Functional!I34</f>
        <v>160</v>
      </c>
      <c r="J34" s="86">
        <f>Functional!J34</f>
        <v>184</v>
      </c>
      <c r="K34" s="86">
        <f>Functional!K34</f>
        <v>160</v>
      </c>
      <c r="L34" s="86">
        <f>Functional!L34</f>
        <v>176</v>
      </c>
      <c r="M34" s="86">
        <f>Functional!M34</f>
        <v>168</v>
      </c>
      <c r="N34" s="86">
        <f>Functional!N34</f>
        <v>168</v>
      </c>
      <c r="O34" s="38"/>
      <c r="P34" s="86">
        <f t="shared" ref="P34" si="14">SUM(C34:E34)</f>
        <v>512</v>
      </c>
      <c r="Q34" s="86">
        <f t="shared" ref="Q34" si="15">SUM(F34:H34)</f>
        <v>512</v>
      </c>
      <c r="R34" s="86">
        <f t="shared" ref="R34" si="16">SUM(I34:K34)</f>
        <v>504</v>
      </c>
      <c r="S34" s="86">
        <f t="shared" ref="S34" si="17">SUM(L34:N34)</f>
        <v>512</v>
      </c>
      <c r="T34" s="86"/>
      <c r="U34" s="86">
        <f t="shared" ref="U34" si="18">SUM(P34:S34)</f>
        <v>2040</v>
      </c>
    </row>
    <row r="35" spans="2:21" ht="15" customHeight="1" x14ac:dyDescent="0.2">
      <c r="B35" s="52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37"/>
      <c r="P35" s="87"/>
      <c r="Q35" s="87"/>
      <c r="R35" s="87"/>
      <c r="S35" s="87"/>
      <c r="T35" s="87"/>
      <c r="U35" s="87"/>
    </row>
    <row r="36" spans="2:21" ht="15" customHeight="1" x14ac:dyDescent="0.2">
      <c r="B36" s="51" t="s">
        <v>0</v>
      </c>
      <c r="C36" s="103">
        <f>Functional!C36</f>
        <v>16</v>
      </c>
      <c r="D36" s="103">
        <f>Functional!D36</f>
        <v>16</v>
      </c>
      <c r="E36" s="103">
        <f>Functional!E36</f>
        <v>16</v>
      </c>
      <c r="F36" s="103">
        <f>Functional!F36</f>
        <v>17</v>
      </c>
      <c r="G36" s="103">
        <f>Functional!G36</f>
        <v>18</v>
      </c>
      <c r="H36" s="103">
        <f>Functional!H36</f>
        <v>18</v>
      </c>
      <c r="I36" s="103">
        <f>Functional!I36</f>
        <v>18</v>
      </c>
      <c r="J36" s="103">
        <f>Functional!J36</f>
        <v>19</v>
      </c>
      <c r="K36" s="103">
        <f>Functional!K36</f>
        <v>19</v>
      </c>
      <c r="L36" s="103">
        <f>Functional!L36</f>
        <v>19</v>
      </c>
      <c r="M36" s="103">
        <f>Functional!M36</f>
        <v>19</v>
      </c>
      <c r="N36" s="103">
        <f>Functional!N36</f>
        <v>20</v>
      </c>
      <c r="O36" s="37"/>
      <c r="P36" s="103">
        <f>SUMPRODUCT(C36:E36,$C$41:$E$41)/SUM($C$41:$E$41)</f>
        <v>16</v>
      </c>
      <c r="Q36" s="103">
        <f>SUMPRODUCT(F36:H36,$F$41:$H$41)/SUM($F$41:$H$41)</f>
        <v>17.70064874884152</v>
      </c>
      <c r="R36" s="103">
        <f>SUMPRODUCT(I36:K36,$I$41:$K$41)/SUM($I$41:$K$41)</f>
        <v>18.694915254237287</v>
      </c>
      <c r="S36" s="103">
        <f>SUMPRODUCT(L36:N36,$L$41:$N$41)/SUM($L$41:$N$41)</f>
        <v>19.339270568278202</v>
      </c>
      <c r="T36" s="87"/>
      <c r="U36" s="103">
        <f>SUMPRODUCT(P36:S36,$P$41:$S$41)/SUM($P$41:$S$41)</f>
        <v>18.038498912362567</v>
      </c>
    </row>
    <row r="37" spans="2:21" ht="15" customHeight="1" x14ac:dyDescent="0.2">
      <c r="B37" s="51" t="s">
        <v>1</v>
      </c>
      <c r="C37" s="103">
        <f>Functional!C37</f>
        <v>225</v>
      </c>
      <c r="D37" s="103">
        <f>Functional!D37</f>
        <v>225</v>
      </c>
      <c r="E37" s="103">
        <f>Functional!E37</f>
        <v>225</v>
      </c>
      <c r="F37" s="103">
        <f>Functional!F37</f>
        <v>235</v>
      </c>
      <c r="G37" s="103">
        <f>Functional!G37</f>
        <v>235</v>
      </c>
      <c r="H37" s="103">
        <f>Functional!H37</f>
        <v>235</v>
      </c>
      <c r="I37" s="103">
        <f>Functional!I37</f>
        <v>235</v>
      </c>
      <c r="J37" s="103">
        <f>Functional!J37</f>
        <v>235</v>
      </c>
      <c r="K37" s="103">
        <f>Functional!K37</f>
        <v>235</v>
      </c>
      <c r="L37" s="103">
        <f>Functional!L37</f>
        <v>235</v>
      </c>
      <c r="M37" s="103">
        <f>Functional!M37</f>
        <v>235</v>
      </c>
      <c r="N37" s="103">
        <f>Functional!N37</f>
        <v>235</v>
      </c>
      <c r="O37" s="37"/>
      <c r="P37" s="103">
        <f>SUMPRODUCT(C37:E37,$C$41:$E$41)/SUM($C$41:$E$41)</f>
        <v>225</v>
      </c>
      <c r="Q37" s="103">
        <f>SUMPRODUCT(F37:H37,$F$41:$H$41)/SUM($F$41:$H$41)</f>
        <v>235</v>
      </c>
      <c r="R37" s="103">
        <f>SUMPRODUCT(I37:K37,$I$41:$K$41)/SUM($I$41:$K$41)</f>
        <v>235</v>
      </c>
      <c r="S37" s="103">
        <f>SUMPRODUCT(L37:N37,$L$41:$N$41)/SUM($L$41:$N$41)</f>
        <v>235</v>
      </c>
      <c r="T37" s="87"/>
      <c r="U37" s="103">
        <f>SUMPRODUCT(P37:S37,$P$41:$S$41)/SUM($P$41:$S$41)</f>
        <v>232.83360380401808</v>
      </c>
    </row>
    <row r="38" spans="2:21" ht="15" customHeight="1" x14ac:dyDescent="0.2">
      <c r="B38" s="51" t="s">
        <v>2</v>
      </c>
      <c r="C38" s="103">
        <f>Functional!C38</f>
        <v>128</v>
      </c>
      <c r="D38" s="103">
        <f>Functional!D38</f>
        <v>128</v>
      </c>
      <c r="E38" s="103">
        <f>Functional!E38</f>
        <v>128</v>
      </c>
      <c r="F38" s="103">
        <f>Functional!F38</f>
        <v>136</v>
      </c>
      <c r="G38" s="103">
        <f>Functional!G38</f>
        <v>144</v>
      </c>
      <c r="H38" s="103">
        <f>Functional!H38</f>
        <v>144</v>
      </c>
      <c r="I38" s="103">
        <f>Functional!I38</f>
        <v>144</v>
      </c>
      <c r="J38" s="103">
        <f>Functional!J38</f>
        <v>152</v>
      </c>
      <c r="K38" s="103">
        <f>Functional!K38</f>
        <v>152</v>
      </c>
      <c r="L38" s="103">
        <f>Functional!L38</f>
        <v>152</v>
      </c>
      <c r="M38" s="103">
        <f>Functional!M38</f>
        <v>152</v>
      </c>
      <c r="N38" s="103">
        <f>Functional!N38</f>
        <v>160</v>
      </c>
      <c r="O38" s="38"/>
      <c r="P38" s="103">
        <f>SUM(C38:E38)</f>
        <v>384</v>
      </c>
      <c r="Q38" s="103">
        <f>SUM(F38:H38)</f>
        <v>424</v>
      </c>
      <c r="R38" s="103">
        <f>SUM(I38:K38)</f>
        <v>448</v>
      </c>
      <c r="S38" s="103">
        <f>SUM(L38:N38)</f>
        <v>464</v>
      </c>
      <c r="T38" s="86"/>
      <c r="U38" s="103">
        <f>SUM(P38:S38)</f>
        <v>1720</v>
      </c>
    </row>
    <row r="39" spans="2:21" ht="15" customHeight="1" x14ac:dyDescent="0.2">
      <c r="B39" s="51" t="s">
        <v>3</v>
      </c>
      <c r="C39" s="84">
        <f>Functional!C39</f>
        <v>0.75</v>
      </c>
      <c r="D39" s="84">
        <f>Functional!D39</f>
        <v>0.75</v>
      </c>
      <c r="E39" s="84">
        <f>Functional!E39</f>
        <v>0.75</v>
      </c>
      <c r="F39" s="84">
        <f>Functional!F39</f>
        <v>0.75</v>
      </c>
      <c r="G39" s="84">
        <f>Functional!G39</f>
        <v>0.75</v>
      </c>
      <c r="H39" s="84">
        <f>Functional!H39</f>
        <v>0.75</v>
      </c>
      <c r="I39" s="84">
        <f>Functional!I39</f>
        <v>0.75</v>
      </c>
      <c r="J39" s="84">
        <f>Functional!J39</f>
        <v>0.75</v>
      </c>
      <c r="K39" s="84">
        <f>Functional!K39</f>
        <v>0.75</v>
      </c>
      <c r="L39" s="84">
        <f>Functional!L39</f>
        <v>0.75</v>
      </c>
      <c r="M39" s="84">
        <f>Functional!M39</f>
        <v>0.75</v>
      </c>
      <c r="N39" s="84">
        <f>Functional!N39</f>
        <v>0.75</v>
      </c>
      <c r="P39" s="84">
        <f t="shared" ref="P39:P40" si="19">SUMPRODUCT(C39:E39,$C$41:$E$41)/SUM($C$41:$E$41)</f>
        <v>0.75</v>
      </c>
      <c r="Q39" s="84">
        <f t="shared" ref="Q39:Q40" si="20">SUMPRODUCT(F39:H39,$F$41:$H$41)/SUM($F$41:$H$41)</f>
        <v>0.75</v>
      </c>
      <c r="R39" s="84">
        <f t="shared" ref="R39:R40" si="21">SUMPRODUCT(I39:K39,$I$41:$K$41)/SUM($I$41:$K$41)</f>
        <v>0.75</v>
      </c>
      <c r="S39" s="84">
        <f t="shared" ref="S39:S40" si="22">SUMPRODUCT(L39:N39,$L$41:$N$41)/SUM($L$41:$N$41)</f>
        <v>0.75</v>
      </c>
      <c r="T39" s="79"/>
      <c r="U39" s="84">
        <f t="shared" ref="U39:U40" si="23">SUMPRODUCT(P39:S39,$P$41:$S$41)/SUM($P$41:$S$41)</f>
        <v>0.75</v>
      </c>
    </row>
    <row r="40" spans="2:21" ht="15" customHeight="1" x14ac:dyDescent="0.2">
      <c r="B40" s="31" t="s">
        <v>6</v>
      </c>
      <c r="C40" s="104">
        <f>Functional!C40</f>
        <v>0.625</v>
      </c>
      <c r="D40" s="104">
        <f>Functional!D40</f>
        <v>0.625</v>
      </c>
      <c r="E40" s="104">
        <f>Functional!E40</f>
        <v>0.625</v>
      </c>
      <c r="F40" s="104">
        <f>Functional!F40</f>
        <v>0.625</v>
      </c>
      <c r="G40" s="104">
        <f>Functional!G40</f>
        <v>0.625</v>
      </c>
      <c r="H40" s="104">
        <f>Functional!H40</f>
        <v>0.625</v>
      </c>
      <c r="I40" s="104">
        <f>Functional!I40</f>
        <v>0.625</v>
      </c>
      <c r="J40" s="104">
        <f>Functional!J40</f>
        <v>0.625</v>
      </c>
      <c r="K40" s="104">
        <f>Functional!K40</f>
        <v>0.625</v>
      </c>
      <c r="L40" s="104">
        <f>Functional!L40</f>
        <v>0.625</v>
      </c>
      <c r="M40" s="104">
        <f>Functional!M40</f>
        <v>0.625</v>
      </c>
      <c r="N40" s="104">
        <f>Functional!N40</f>
        <v>0.625</v>
      </c>
      <c r="P40" s="104">
        <f t="shared" si="19"/>
        <v>0.625</v>
      </c>
      <c r="Q40" s="104">
        <f t="shared" si="20"/>
        <v>0.625</v>
      </c>
      <c r="R40" s="104">
        <f t="shared" si="21"/>
        <v>0.625</v>
      </c>
      <c r="S40" s="104">
        <f t="shared" si="22"/>
        <v>0.625</v>
      </c>
      <c r="T40" s="79"/>
      <c r="U40" s="104">
        <f t="shared" si="23"/>
        <v>0.625</v>
      </c>
    </row>
    <row r="41" spans="2:21" ht="15" customHeight="1" x14ac:dyDescent="0.2">
      <c r="B41" s="52" t="s">
        <v>25</v>
      </c>
      <c r="C41" s="82">
        <f>Functional!C41</f>
        <v>360000</v>
      </c>
      <c r="D41" s="82">
        <f>Functional!D41</f>
        <v>342000</v>
      </c>
      <c r="E41" s="82">
        <f>Functional!E41</f>
        <v>396000</v>
      </c>
      <c r="F41" s="82">
        <f>Functional!F41</f>
        <v>379525</v>
      </c>
      <c r="G41" s="82">
        <f>Functional!G41</f>
        <v>465300</v>
      </c>
      <c r="H41" s="82">
        <f>Functional!H41</f>
        <v>423000</v>
      </c>
      <c r="I41" s="82">
        <f>Functional!I41</f>
        <v>401850</v>
      </c>
      <c r="J41" s="82">
        <f>Functional!J41</f>
        <v>491150</v>
      </c>
      <c r="K41" s="82">
        <f>Functional!K41</f>
        <v>424175</v>
      </c>
      <c r="L41" s="82">
        <f>Functional!L41</f>
        <v>468825</v>
      </c>
      <c r="M41" s="82">
        <f>Functional!M41</f>
        <v>446500</v>
      </c>
      <c r="N41" s="82">
        <f>Functional!N41</f>
        <v>470000</v>
      </c>
      <c r="P41" s="82">
        <f>SUM(C41:E41)</f>
        <v>1098000</v>
      </c>
      <c r="Q41" s="82">
        <f>SUM(F41:H41)</f>
        <v>1267825</v>
      </c>
      <c r="R41" s="82">
        <f>SUM(I41:K41)</f>
        <v>1317175</v>
      </c>
      <c r="S41" s="82">
        <f>SUM(L41:N41)</f>
        <v>1385325</v>
      </c>
      <c r="T41" s="79"/>
      <c r="U41" s="82">
        <f>SUM(P41:S41)</f>
        <v>5068325</v>
      </c>
    </row>
    <row r="42" spans="2:21" ht="15" customHeight="1" x14ac:dyDescent="0.2"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P42" s="80"/>
      <c r="Q42" s="80"/>
      <c r="R42" s="80"/>
      <c r="S42" s="80"/>
      <c r="T42" s="79"/>
      <c r="U42" s="80"/>
    </row>
    <row r="43" spans="2:21" ht="15" customHeight="1" x14ac:dyDescent="0.2">
      <c r="B43" s="51" t="s">
        <v>4</v>
      </c>
      <c r="C43" s="103">
        <f>Functional!C43</f>
        <v>5</v>
      </c>
      <c r="D43" s="103">
        <f>Functional!D43</f>
        <v>5</v>
      </c>
      <c r="E43" s="103">
        <f>Functional!E43</f>
        <v>5</v>
      </c>
      <c r="F43" s="103">
        <f>Functional!F43</f>
        <v>6</v>
      </c>
      <c r="G43" s="103">
        <f>Functional!G43</f>
        <v>6</v>
      </c>
      <c r="H43" s="103">
        <f>Functional!H43</f>
        <v>6</v>
      </c>
      <c r="I43" s="103">
        <f>Functional!I43</f>
        <v>6</v>
      </c>
      <c r="J43" s="103">
        <f>Functional!J43</f>
        <v>6</v>
      </c>
      <c r="K43" s="103">
        <f>Functional!K43</f>
        <v>6</v>
      </c>
      <c r="L43" s="103">
        <f>Functional!L43</f>
        <v>7</v>
      </c>
      <c r="M43" s="103">
        <f>Functional!M43</f>
        <v>7</v>
      </c>
      <c r="N43" s="103">
        <f>Functional!N43</f>
        <v>7</v>
      </c>
      <c r="P43" s="103">
        <f>SUMPRODUCT(C43:E43,$C$47:$E$47)/SUM($C$47:$E$47)</f>
        <v>5</v>
      </c>
      <c r="Q43" s="103">
        <f>SUMPRODUCT(F43:H43,$F$47:$H$47)/SUM($F$47:$H$47)</f>
        <v>6</v>
      </c>
      <c r="R43" s="103">
        <f>SUMPRODUCT(I43:K43,$I$47:$K$47)/SUM($I$47:$K$47)</f>
        <v>6</v>
      </c>
      <c r="S43" s="103">
        <f>SUMPRODUCT(L43:N43,$L$47:$N$47)/SUM($L$47:$N$47)</f>
        <v>7</v>
      </c>
      <c r="T43" s="87"/>
      <c r="U43" s="103">
        <f>SUMPRODUCT(P43:S43,$P$47:$S$47)/SUM($P$47:$S$47)</f>
        <v>6.0906966864910794</v>
      </c>
    </row>
    <row r="44" spans="2:21" ht="15" customHeight="1" x14ac:dyDescent="0.2">
      <c r="B44" s="51" t="s">
        <v>5</v>
      </c>
      <c r="C44" s="103">
        <f>Functional!C44</f>
        <v>315</v>
      </c>
      <c r="D44" s="103">
        <f>Functional!D44</f>
        <v>315</v>
      </c>
      <c r="E44" s="103">
        <f>Functional!E44</f>
        <v>315</v>
      </c>
      <c r="F44" s="103">
        <f>Functional!F44</f>
        <v>325</v>
      </c>
      <c r="G44" s="103">
        <f>Functional!G44</f>
        <v>325</v>
      </c>
      <c r="H44" s="103">
        <f>Functional!H44</f>
        <v>325</v>
      </c>
      <c r="I44" s="103">
        <f>Functional!I44</f>
        <v>325</v>
      </c>
      <c r="J44" s="103">
        <f>Functional!J44</f>
        <v>325</v>
      </c>
      <c r="K44" s="103">
        <f>Functional!K44</f>
        <v>325</v>
      </c>
      <c r="L44" s="103">
        <f>Functional!L44</f>
        <v>325</v>
      </c>
      <c r="M44" s="103">
        <f>Functional!M44</f>
        <v>325</v>
      </c>
      <c r="N44" s="103">
        <f>Functional!N44</f>
        <v>325</v>
      </c>
      <c r="P44" s="103">
        <f>SUMPRODUCT(C44:E44,$C$47:$E$47)/SUM($C$47:$E$47)</f>
        <v>315</v>
      </c>
      <c r="Q44" s="103">
        <f>SUMPRODUCT(F44:H44,$F$47:$H$47)/SUM($F$47:$H$47)</f>
        <v>325</v>
      </c>
      <c r="R44" s="103">
        <f>SUMPRODUCT(I44:K44,$I$47:$K$47)/SUM($I$47:$K$47)</f>
        <v>325</v>
      </c>
      <c r="S44" s="103">
        <f>SUMPRODUCT(L44:N44,$L$47:$N$47)/SUM($L$47:$N$47)</f>
        <v>325</v>
      </c>
      <c r="T44" s="87"/>
      <c r="U44" s="103">
        <f>SUMPRODUCT(P44:S44,$P$47:$S$47)/SUM($P$47:$S$47)</f>
        <v>322.95932455395069</v>
      </c>
    </row>
    <row r="45" spans="2:21" ht="15" customHeight="1" x14ac:dyDescent="0.2">
      <c r="B45" s="51" t="s">
        <v>2</v>
      </c>
      <c r="C45" s="103">
        <f>Functional!C45</f>
        <v>40</v>
      </c>
      <c r="D45" s="103">
        <f>Functional!D45</f>
        <v>40</v>
      </c>
      <c r="E45" s="103">
        <f>Functional!E45</f>
        <v>40</v>
      </c>
      <c r="F45" s="103">
        <f>Functional!F45</f>
        <v>48</v>
      </c>
      <c r="G45" s="103">
        <f>Functional!G45</f>
        <v>48</v>
      </c>
      <c r="H45" s="103">
        <f>Functional!H45</f>
        <v>48</v>
      </c>
      <c r="I45" s="103">
        <f>Functional!I45</f>
        <v>48</v>
      </c>
      <c r="J45" s="103">
        <f>Functional!J45</f>
        <v>48</v>
      </c>
      <c r="K45" s="103">
        <f>Functional!K45</f>
        <v>48</v>
      </c>
      <c r="L45" s="103">
        <f>Functional!L45</f>
        <v>56</v>
      </c>
      <c r="M45" s="103">
        <f>Functional!M45</f>
        <v>56</v>
      </c>
      <c r="N45" s="103">
        <f>Functional!N45</f>
        <v>56</v>
      </c>
      <c r="P45" s="103">
        <f>SUM(C45:E45)</f>
        <v>120</v>
      </c>
      <c r="Q45" s="103">
        <f>SUM(F45:H45)</f>
        <v>144</v>
      </c>
      <c r="R45" s="103">
        <f>SUM(I45:K45)</f>
        <v>144</v>
      </c>
      <c r="S45" s="103">
        <f>SUM(L45:N45)</f>
        <v>168</v>
      </c>
      <c r="T45" s="86"/>
      <c r="U45" s="103">
        <f>SUM(P45:S45)</f>
        <v>576</v>
      </c>
    </row>
    <row r="46" spans="2:21" ht="15" customHeight="1" x14ac:dyDescent="0.2">
      <c r="B46" s="31" t="s">
        <v>6</v>
      </c>
      <c r="C46" s="104">
        <f>Functional!C46</f>
        <v>0.375</v>
      </c>
      <c r="D46" s="104">
        <f>Functional!D46</f>
        <v>0.375</v>
      </c>
      <c r="E46" s="104">
        <f>Functional!E46</f>
        <v>0.375</v>
      </c>
      <c r="F46" s="104">
        <f>Functional!F46</f>
        <v>0.375</v>
      </c>
      <c r="G46" s="104">
        <f>Functional!G46</f>
        <v>0.375</v>
      </c>
      <c r="H46" s="104">
        <f>Functional!H46</f>
        <v>0.375</v>
      </c>
      <c r="I46" s="104">
        <f>Functional!I46</f>
        <v>0.375</v>
      </c>
      <c r="J46" s="104">
        <f>Functional!J46</f>
        <v>0.375</v>
      </c>
      <c r="K46" s="104">
        <f>Functional!K46</f>
        <v>0.375</v>
      </c>
      <c r="L46" s="104">
        <f>Functional!L46</f>
        <v>0.375</v>
      </c>
      <c r="M46" s="104">
        <f>Functional!M46</f>
        <v>0.375</v>
      </c>
      <c r="N46" s="104">
        <f>Functional!N46</f>
        <v>0.375</v>
      </c>
      <c r="P46" s="104">
        <f>SUMPRODUCT(C46:E46,$C$47:$E$47)/SUM($C$47:$E$47)</f>
        <v>0.375</v>
      </c>
      <c r="Q46" s="104">
        <f>SUMPRODUCT(F46:H46,$F$47:$H$47)/SUM($F$47:$H$47)</f>
        <v>0.375</v>
      </c>
      <c r="R46" s="104">
        <f>SUMPRODUCT(I46:K46,$I$47:$K$47)/SUM($I$47:$K$47)</f>
        <v>0.375</v>
      </c>
      <c r="S46" s="104">
        <f>SUMPRODUCT(L46:N46,$L$47:$N$47)/SUM($L$47:$N$47)</f>
        <v>0.375</v>
      </c>
      <c r="T46" s="79"/>
      <c r="U46" s="104">
        <f>SUMPRODUCT(P46:S46,$P$47:$S$47)/SUM($P$47:$S$47)</f>
        <v>0.375</v>
      </c>
    </row>
    <row r="47" spans="2:21" ht="15" customHeight="1" x14ac:dyDescent="0.2">
      <c r="B47" s="52" t="s">
        <v>25</v>
      </c>
      <c r="C47" s="82">
        <f>Functional!C47</f>
        <v>94500</v>
      </c>
      <c r="D47" s="82">
        <f>Functional!D47</f>
        <v>89775</v>
      </c>
      <c r="E47" s="82">
        <f>Functional!E47</f>
        <v>103950</v>
      </c>
      <c r="F47" s="82">
        <f>Functional!F47</f>
        <v>111150</v>
      </c>
      <c r="G47" s="82">
        <f>Functional!G47</f>
        <v>128700</v>
      </c>
      <c r="H47" s="82">
        <f>Functional!H47</f>
        <v>117000</v>
      </c>
      <c r="I47" s="82">
        <f>Functional!I47</f>
        <v>111150</v>
      </c>
      <c r="J47" s="82">
        <f>Functional!J47</f>
        <v>128700</v>
      </c>
      <c r="K47" s="82">
        <f>Functional!K47</f>
        <v>111150</v>
      </c>
      <c r="L47" s="82">
        <f>Functional!L47</f>
        <v>143325</v>
      </c>
      <c r="M47" s="82">
        <f>Functional!M47</f>
        <v>136500</v>
      </c>
      <c r="N47" s="82">
        <f>Functional!N47</f>
        <v>136500</v>
      </c>
      <c r="P47" s="82">
        <f>SUM(C47:E47)</f>
        <v>288225</v>
      </c>
      <c r="Q47" s="82">
        <f>SUM(F47:H47)</f>
        <v>356850</v>
      </c>
      <c r="R47" s="82">
        <f>SUM(I47:K47)</f>
        <v>351000</v>
      </c>
      <c r="S47" s="82">
        <f>SUM(L47:N47)</f>
        <v>416325</v>
      </c>
      <c r="T47" s="79"/>
      <c r="U47" s="82">
        <f>SUM(P47:S47)</f>
        <v>1412400</v>
      </c>
    </row>
    <row r="48" spans="2:21" ht="15" customHeight="1" x14ac:dyDescent="0.2">
      <c r="C48" s="88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P48" s="79"/>
      <c r="Q48" s="79"/>
      <c r="R48" s="79"/>
      <c r="S48" s="79"/>
      <c r="T48" s="79"/>
      <c r="U48" s="79"/>
    </row>
    <row r="49" spans="2:21" ht="15" customHeight="1" x14ac:dyDescent="0.2">
      <c r="B49" s="52" t="s">
        <v>66</v>
      </c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P49" s="79"/>
      <c r="Q49" s="79"/>
      <c r="R49" s="79"/>
      <c r="S49" s="79"/>
      <c r="T49" s="79"/>
      <c r="U49" s="79"/>
    </row>
    <row r="50" spans="2:21" ht="15" customHeight="1" x14ac:dyDescent="0.2">
      <c r="B50" s="55" t="s">
        <v>65</v>
      </c>
      <c r="C50" s="96">
        <f>Functional!C50</f>
        <v>0</v>
      </c>
      <c r="D50" s="96">
        <f>Functional!D50</f>
        <v>153190.23301159657</v>
      </c>
      <c r="E50" s="96">
        <f>Functional!E50</f>
        <v>169090.83155475667</v>
      </c>
      <c r="F50" s="96">
        <f>Functional!F50</f>
        <v>265251.83996901853</v>
      </c>
      <c r="G50" s="96">
        <f>Functional!G50</f>
        <v>163590.50427945584</v>
      </c>
      <c r="H50" s="96">
        <f>Functional!H50</f>
        <v>188491.94161960133</v>
      </c>
      <c r="I50" s="96">
        <f>Functional!I50</f>
        <v>277821.58413262333</v>
      </c>
      <c r="J50" s="96">
        <f>Functional!J50</f>
        <v>236009.34191387901</v>
      </c>
      <c r="K50" s="96">
        <f>Functional!K50</f>
        <v>204916.65679669732</v>
      </c>
      <c r="L50" s="96">
        <f>Functional!L50</f>
        <v>273335.9142555971</v>
      </c>
      <c r="M50" s="96">
        <f>Functional!M50</f>
        <v>194921.97030263895</v>
      </c>
      <c r="N50" s="96">
        <f>Functional!N50</f>
        <v>241552.47008891139</v>
      </c>
      <c r="P50" s="96">
        <f t="shared" ref="P50:P59" si="24">SUM(C50:E50)</f>
        <v>322281.06456635322</v>
      </c>
      <c r="Q50" s="96">
        <f t="shared" ref="Q50:Q59" si="25">SUM(F50:H50)</f>
        <v>617334.28586807568</v>
      </c>
      <c r="R50" s="96">
        <f t="shared" ref="R50:R59" si="26">SUM(I50:K50)</f>
        <v>718747.58284319961</v>
      </c>
      <c r="S50" s="96">
        <f t="shared" ref="S50:S59" si="27">SUM(L50:N50)</f>
        <v>709810.35464714747</v>
      </c>
      <c r="T50" s="79"/>
      <c r="U50" s="96">
        <f t="shared" ref="U50:U59" si="28">SUM(P50:S50)</f>
        <v>2368173.2879247759</v>
      </c>
    </row>
    <row r="51" spans="2:21" ht="15" customHeight="1" x14ac:dyDescent="0.2">
      <c r="B51" s="55" t="s">
        <v>67</v>
      </c>
      <c r="C51" s="96">
        <f>Functional!C51</f>
        <v>5500000</v>
      </c>
      <c r="D51" s="96">
        <f>Functional!D51</f>
        <v>5458749.9999999991</v>
      </c>
      <c r="E51" s="96">
        <f>Functional!E51</f>
        <v>5417809.3749999991</v>
      </c>
      <c r="F51" s="96">
        <f>Functional!F51</f>
        <v>5378304.514973958</v>
      </c>
      <c r="G51" s="96">
        <f>Functional!G51</f>
        <v>5339087.7112189392</v>
      </c>
      <c r="H51" s="96">
        <f>Functional!H51</f>
        <v>5300156.8633246347</v>
      </c>
      <c r="I51" s="96">
        <f>Functional!I51</f>
        <v>5261509.886196225</v>
      </c>
      <c r="J51" s="96">
        <f>Functional!J51</f>
        <v>5223144.7099427115</v>
      </c>
      <c r="K51" s="96">
        <f>Functional!K51</f>
        <v>5185059.2797660455</v>
      </c>
      <c r="L51" s="96">
        <f>Functional!L51</f>
        <v>5147251.5558510851</v>
      </c>
      <c r="M51" s="96">
        <f>Functional!M51</f>
        <v>5109719.5132563375</v>
      </c>
      <c r="N51" s="96">
        <f>Functional!N51</f>
        <v>5072461.1418055091</v>
      </c>
      <c r="P51" s="96">
        <f t="shared" si="24"/>
        <v>16376559.375</v>
      </c>
      <c r="Q51" s="96">
        <f t="shared" si="25"/>
        <v>16017549.089517532</v>
      </c>
      <c r="R51" s="96">
        <f t="shared" si="26"/>
        <v>15669713.875904981</v>
      </c>
      <c r="S51" s="96">
        <f t="shared" si="27"/>
        <v>15329432.210912932</v>
      </c>
      <c r="T51" s="79"/>
      <c r="U51" s="96">
        <f t="shared" si="28"/>
        <v>63393254.551335439</v>
      </c>
    </row>
    <row r="52" spans="2:21" ht="15" customHeight="1" x14ac:dyDescent="0.2">
      <c r="B52" s="105" t="s">
        <v>70</v>
      </c>
      <c r="C52" s="81">
        <f>Functional!C52</f>
        <v>2530000</v>
      </c>
      <c r="D52" s="81">
        <f>Functional!D52</f>
        <v>2511024.9999999995</v>
      </c>
      <c r="E52" s="81">
        <f>Functional!E52</f>
        <v>2492192.3124999995</v>
      </c>
      <c r="F52" s="81">
        <f>Functional!F52</f>
        <v>2447128.5543131512</v>
      </c>
      <c r="G52" s="81">
        <f>Functional!G52</f>
        <v>2429284.9086046172</v>
      </c>
      <c r="H52" s="81">
        <f>Functional!H52</f>
        <v>2411571.3728127088</v>
      </c>
      <c r="I52" s="81">
        <f>Functional!I52</f>
        <v>2393986.9982192824</v>
      </c>
      <c r="J52" s="81">
        <f>Functional!J52</f>
        <v>2376530.8430239339</v>
      </c>
      <c r="K52" s="81">
        <f>Functional!K52</f>
        <v>2359201.9722935506</v>
      </c>
      <c r="L52" s="81">
        <f>Functional!L52</f>
        <v>2341999.4579122439</v>
      </c>
      <c r="M52" s="81">
        <f>Functional!M52</f>
        <v>2324922.3785316334</v>
      </c>
      <c r="N52" s="81">
        <f>Functional!N52</f>
        <v>2307969.8195215068</v>
      </c>
      <c r="P52" s="81">
        <f t="shared" si="24"/>
        <v>7533217.3125</v>
      </c>
      <c r="Q52" s="81">
        <f t="shared" si="25"/>
        <v>7287984.8357304772</v>
      </c>
      <c r="R52" s="81">
        <f t="shared" si="26"/>
        <v>7129719.8135367669</v>
      </c>
      <c r="S52" s="81">
        <f t="shared" si="27"/>
        <v>6974891.6559653841</v>
      </c>
      <c r="T52" s="79"/>
      <c r="U52" s="81">
        <f t="shared" si="28"/>
        <v>28925813.617732629</v>
      </c>
    </row>
    <row r="53" spans="2:21" ht="15" customHeight="1" x14ac:dyDescent="0.2">
      <c r="B53" s="105" t="s">
        <v>71</v>
      </c>
      <c r="C53" s="81">
        <f>Functional!C53</f>
        <v>2420000</v>
      </c>
      <c r="D53" s="81">
        <f>Functional!D53</f>
        <v>2401849.9999999995</v>
      </c>
      <c r="E53" s="81">
        <f>Functional!E53</f>
        <v>2383836.1249999995</v>
      </c>
      <c r="F53" s="81">
        <f>Functional!F53</f>
        <v>2393345.5091634113</v>
      </c>
      <c r="G53" s="81">
        <f>Functional!G53</f>
        <v>2375894.0314924279</v>
      </c>
      <c r="H53" s="81">
        <f>Functional!H53</f>
        <v>2358569.8041794626</v>
      </c>
      <c r="I53" s="81">
        <f>Functional!I53</f>
        <v>2341371.8993573203</v>
      </c>
      <c r="J53" s="81">
        <f>Functional!J53</f>
        <v>2324299.3959245067</v>
      </c>
      <c r="K53" s="81">
        <f>Functional!K53</f>
        <v>2307351.3794958903</v>
      </c>
      <c r="L53" s="81">
        <f>Functional!L53</f>
        <v>2290526.9423537329</v>
      </c>
      <c r="M53" s="81">
        <f>Functional!M53</f>
        <v>2273825.1833990701</v>
      </c>
      <c r="N53" s="81">
        <f>Functional!N53</f>
        <v>2257245.2081034514</v>
      </c>
      <c r="P53" s="81">
        <f t="shared" si="24"/>
        <v>7205686.125</v>
      </c>
      <c r="Q53" s="81">
        <f t="shared" si="25"/>
        <v>7127809.3448353019</v>
      </c>
      <c r="R53" s="81">
        <f t="shared" si="26"/>
        <v>6973022.6747777183</v>
      </c>
      <c r="S53" s="81">
        <f t="shared" si="27"/>
        <v>6821597.3338562548</v>
      </c>
      <c r="T53" s="79"/>
      <c r="U53" s="81">
        <f t="shared" si="28"/>
        <v>28128115.478469275</v>
      </c>
    </row>
    <row r="54" spans="2:21" ht="15" customHeight="1" x14ac:dyDescent="0.2">
      <c r="B54" s="105" t="s">
        <v>72</v>
      </c>
      <c r="C54" s="81">
        <f>Functional!C54</f>
        <v>385000.00000000006</v>
      </c>
      <c r="D54" s="81">
        <f>Functional!D54</f>
        <v>382112.5</v>
      </c>
      <c r="E54" s="81">
        <f>Functional!E54</f>
        <v>379246.65625</v>
      </c>
      <c r="F54" s="81">
        <f>Functional!F54</f>
        <v>322698.27089843748</v>
      </c>
      <c r="G54" s="81">
        <f>Functional!G54</f>
        <v>320345.26267313631</v>
      </c>
      <c r="H54" s="81">
        <f>Functional!H54</f>
        <v>318009.41179947805</v>
      </c>
      <c r="I54" s="81">
        <f>Functional!I54</f>
        <v>315690.59317177348</v>
      </c>
      <c r="J54" s="81">
        <f>Functional!J54</f>
        <v>313388.68259656266</v>
      </c>
      <c r="K54" s="81">
        <f>Functional!K54</f>
        <v>311103.55678596272</v>
      </c>
      <c r="L54" s="81">
        <f>Functional!L54</f>
        <v>308835.09335106512</v>
      </c>
      <c r="M54" s="81">
        <f>Functional!M54</f>
        <v>306583.17079538025</v>
      </c>
      <c r="N54" s="81">
        <f>Functional!N54</f>
        <v>304347.66850833053</v>
      </c>
      <c r="P54" s="81">
        <f t="shared" si="24"/>
        <v>1146359.15625</v>
      </c>
      <c r="Q54" s="81">
        <f t="shared" si="25"/>
        <v>961052.94537105178</v>
      </c>
      <c r="R54" s="81">
        <f t="shared" si="26"/>
        <v>940182.83255429892</v>
      </c>
      <c r="S54" s="81">
        <f t="shared" si="27"/>
        <v>919765.93265477591</v>
      </c>
      <c r="T54" s="79"/>
      <c r="U54" s="81">
        <f t="shared" si="28"/>
        <v>3967360.8668301264</v>
      </c>
    </row>
    <row r="55" spans="2:21" ht="15" customHeight="1" x14ac:dyDescent="0.2">
      <c r="B55" s="105" t="s">
        <v>73</v>
      </c>
      <c r="C55" s="81">
        <f>Functional!C55</f>
        <v>165000</v>
      </c>
      <c r="D55" s="81">
        <f>Functional!D55</f>
        <v>163762.49999999997</v>
      </c>
      <c r="E55" s="81">
        <f>Functional!E55</f>
        <v>162534.28124999997</v>
      </c>
      <c r="F55" s="81">
        <f>Functional!F55</f>
        <v>215132.18059895834</v>
      </c>
      <c r="G55" s="81">
        <f>Functional!G55</f>
        <v>213563.50844875758</v>
      </c>
      <c r="H55" s="81">
        <f>Functional!H55</f>
        <v>212006.27453298541</v>
      </c>
      <c r="I55" s="81">
        <f>Functional!I55</f>
        <v>210460.395447849</v>
      </c>
      <c r="J55" s="81">
        <f>Functional!J55</f>
        <v>208925.78839770847</v>
      </c>
      <c r="K55" s="81">
        <f>Functional!K55</f>
        <v>207402.37119064183</v>
      </c>
      <c r="L55" s="81">
        <f>Functional!L55</f>
        <v>205890.06223404341</v>
      </c>
      <c r="M55" s="81">
        <f>Functional!M55</f>
        <v>204388.78053025351</v>
      </c>
      <c r="N55" s="81">
        <f>Functional!N55</f>
        <v>202898.44567222038</v>
      </c>
      <c r="P55" s="81">
        <f t="shared" si="24"/>
        <v>491296.78125</v>
      </c>
      <c r="Q55" s="81">
        <f t="shared" si="25"/>
        <v>640701.96358070127</v>
      </c>
      <c r="R55" s="81">
        <f t="shared" si="26"/>
        <v>626788.55503619928</v>
      </c>
      <c r="S55" s="81">
        <f t="shared" si="27"/>
        <v>613177.28843651735</v>
      </c>
      <c r="T55" s="79"/>
      <c r="U55" s="81">
        <f t="shared" si="28"/>
        <v>2371964.5883034179</v>
      </c>
    </row>
    <row r="56" spans="2:21" ht="15" customHeight="1" x14ac:dyDescent="0.2">
      <c r="B56" s="55" t="s">
        <v>68</v>
      </c>
      <c r="C56" s="107">
        <f>Functional!C56</f>
        <v>454500</v>
      </c>
      <c r="D56" s="107">
        <f>Functional!D56</f>
        <v>431775</v>
      </c>
      <c r="E56" s="107">
        <f>Functional!E56</f>
        <v>499950</v>
      </c>
      <c r="F56" s="107">
        <f>Functional!F56</f>
        <v>490675</v>
      </c>
      <c r="G56" s="107">
        <f>Functional!G56</f>
        <v>594000</v>
      </c>
      <c r="H56" s="107">
        <f>Functional!H56</f>
        <v>540000</v>
      </c>
      <c r="I56" s="107">
        <f>Functional!I56</f>
        <v>513000</v>
      </c>
      <c r="J56" s="107">
        <f>Functional!J56</f>
        <v>619850</v>
      </c>
      <c r="K56" s="107">
        <f>Functional!K56</f>
        <v>535325</v>
      </c>
      <c r="L56" s="107">
        <f>Functional!L56</f>
        <v>612150</v>
      </c>
      <c r="M56" s="107">
        <f>Functional!M56</f>
        <v>583000</v>
      </c>
      <c r="N56" s="107">
        <f>Functional!N56</f>
        <v>606500</v>
      </c>
      <c r="P56" s="107">
        <f t="shared" si="24"/>
        <v>1386225</v>
      </c>
      <c r="Q56" s="107">
        <f t="shared" si="25"/>
        <v>1624675</v>
      </c>
      <c r="R56" s="107">
        <f t="shared" si="26"/>
        <v>1668175</v>
      </c>
      <c r="S56" s="107">
        <f t="shared" si="27"/>
        <v>1801650</v>
      </c>
      <c r="T56" s="79"/>
      <c r="U56" s="107">
        <f t="shared" si="28"/>
        <v>6480725</v>
      </c>
    </row>
    <row r="57" spans="2:21" ht="15" customHeight="1" x14ac:dyDescent="0.2">
      <c r="B57" s="105" t="s">
        <v>22</v>
      </c>
      <c r="C57" s="27">
        <f>Functional!C57</f>
        <v>360000</v>
      </c>
      <c r="D57" s="27">
        <f>Functional!D57</f>
        <v>342000</v>
      </c>
      <c r="E57" s="27">
        <f>Functional!E57</f>
        <v>396000</v>
      </c>
      <c r="F57" s="27">
        <f>Functional!F57</f>
        <v>379525</v>
      </c>
      <c r="G57" s="27">
        <f>Functional!G57</f>
        <v>465300</v>
      </c>
      <c r="H57" s="27">
        <f>Functional!H57</f>
        <v>423000</v>
      </c>
      <c r="I57" s="27">
        <f>Functional!I57</f>
        <v>401850</v>
      </c>
      <c r="J57" s="27">
        <f>Functional!J57</f>
        <v>491150</v>
      </c>
      <c r="K57" s="27">
        <f>Functional!K57</f>
        <v>424175</v>
      </c>
      <c r="L57" s="27">
        <f>Functional!L57</f>
        <v>468825</v>
      </c>
      <c r="M57" s="27">
        <f>Functional!M57</f>
        <v>446500</v>
      </c>
      <c r="N57" s="27">
        <f>Functional!N57</f>
        <v>470000</v>
      </c>
      <c r="P57" s="27">
        <f t="shared" si="24"/>
        <v>1098000</v>
      </c>
      <c r="Q57" s="27">
        <f t="shared" si="25"/>
        <v>1267825</v>
      </c>
      <c r="R57" s="27">
        <f t="shared" si="26"/>
        <v>1317175</v>
      </c>
      <c r="S57" s="27">
        <f t="shared" si="27"/>
        <v>1385325</v>
      </c>
      <c r="T57" s="79"/>
      <c r="U57" s="27">
        <f t="shared" si="28"/>
        <v>5068325</v>
      </c>
    </row>
    <row r="58" spans="2:21" ht="15" customHeight="1" x14ac:dyDescent="0.2">
      <c r="B58" s="69" t="s">
        <v>23</v>
      </c>
      <c r="C58" s="106">
        <f>Functional!C58</f>
        <v>94500</v>
      </c>
      <c r="D58" s="106">
        <f>Functional!D58</f>
        <v>89775</v>
      </c>
      <c r="E58" s="106">
        <f>Functional!E58</f>
        <v>103950</v>
      </c>
      <c r="F58" s="106">
        <f>Functional!F58</f>
        <v>111150</v>
      </c>
      <c r="G58" s="106">
        <f>Functional!G58</f>
        <v>128700</v>
      </c>
      <c r="H58" s="106">
        <f>Functional!H58</f>
        <v>117000</v>
      </c>
      <c r="I58" s="106">
        <f>Functional!I58</f>
        <v>111150</v>
      </c>
      <c r="J58" s="106">
        <f>Functional!J58</f>
        <v>128700</v>
      </c>
      <c r="K58" s="106">
        <f>Functional!K58</f>
        <v>111150</v>
      </c>
      <c r="L58" s="106">
        <f>Functional!L58</f>
        <v>143325</v>
      </c>
      <c r="M58" s="106">
        <f>Functional!M58</f>
        <v>136500</v>
      </c>
      <c r="N58" s="106">
        <f>Functional!N58</f>
        <v>136500</v>
      </c>
      <c r="P58" s="106">
        <f t="shared" si="24"/>
        <v>288225</v>
      </c>
      <c r="Q58" s="106">
        <f t="shared" si="25"/>
        <v>356850</v>
      </c>
      <c r="R58" s="106">
        <f t="shared" si="26"/>
        <v>351000</v>
      </c>
      <c r="S58" s="106">
        <f t="shared" si="27"/>
        <v>416325</v>
      </c>
      <c r="T58" s="79"/>
      <c r="U58" s="106">
        <f t="shared" si="28"/>
        <v>1412400</v>
      </c>
    </row>
    <row r="59" spans="2:21" ht="15" customHeight="1" x14ac:dyDescent="0.2">
      <c r="B59" s="52" t="s">
        <v>69</v>
      </c>
      <c r="C59" s="28">
        <f>Functional!C59</f>
        <v>5954500</v>
      </c>
      <c r="D59" s="28">
        <f>Functional!D59</f>
        <v>6043715.2330115959</v>
      </c>
      <c r="E59" s="28">
        <f>Functional!E59</f>
        <v>6086850.2065547556</v>
      </c>
      <c r="F59" s="28">
        <f>Functional!F59</f>
        <v>6134231.3549429765</v>
      </c>
      <c r="G59" s="28">
        <f>Functional!G59</f>
        <v>6096678.2154983953</v>
      </c>
      <c r="H59" s="28">
        <f>Functional!H59</f>
        <v>6028648.8049442358</v>
      </c>
      <c r="I59" s="28">
        <f>Functional!I59</f>
        <v>6052331.4703288479</v>
      </c>
      <c r="J59" s="28">
        <f>Functional!J59</f>
        <v>6079004.0518565904</v>
      </c>
      <c r="K59" s="28">
        <f>Functional!K59</f>
        <v>5925300.936562743</v>
      </c>
      <c r="L59" s="28">
        <f>Functional!L59</f>
        <v>6032737.4701066818</v>
      </c>
      <c r="M59" s="28">
        <f>Functional!M59</f>
        <v>5887641.4835589761</v>
      </c>
      <c r="N59" s="28">
        <f>Functional!N59</f>
        <v>5920513.6118944203</v>
      </c>
      <c r="P59" s="28">
        <f t="shared" si="24"/>
        <v>18085065.439566351</v>
      </c>
      <c r="Q59" s="28">
        <f t="shared" si="25"/>
        <v>18259558.375385609</v>
      </c>
      <c r="R59" s="28">
        <f t="shared" si="26"/>
        <v>18056636.45874818</v>
      </c>
      <c r="S59" s="28">
        <f t="shared" si="27"/>
        <v>17840892.56556008</v>
      </c>
      <c r="T59" s="79"/>
      <c r="U59" s="28">
        <f t="shared" si="28"/>
        <v>72242152.839260221</v>
      </c>
    </row>
    <row r="60" spans="2:21" ht="15" customHeight="1" x14ac:dyDescent="0.2">
      <c r="B60" s="55"/>
      <c r="T60" s="79"/>
    </row>
    <row r="61" spans="2:21" ht="15" customHeight="1" x14ac:dyDescent="0.2">
      <c r="B61" s="59" t="s">
        <v>26</v>
      </c>
      <c r="T61" s="79"/>
    </row>
    <row r="62" spans="2:21" ht="15" customHeight="1" x14ac:dyDescent="0.2">
      <c r="B62" s="57" t="s">
        <v>44</v>
      </c>
      <c r="C62" s="26">
        <f>Functional!C62</f>
        <v>357270</v>
      </c>
      <c r="D62" s="26">
        <f>Functional!D62</f>
        <v>362622.91398069577</v>
      </c>
      <c r="E62" s="26">
        <f>Functional!E62</f>
        <v>365211.01239328535</v>
      </c>
      <c r="F62" s="26">
        <f>Functional!F62</f>
        <v>337382.72452186368</v>
      </c>
      <c r="G62" s="26">
        <f>Functional!G62</f>
        <v>335317.30185241177</v>
      </c>
      <c r="H62" s="26">
        <f>Functional!H62</f>
        <v>331575.68427193299</v>
      </c>
      <c r="I62" s="26">
        <f>Functional!I62</f>
        <v>332878.23086808663</v>
      </c>
      <c r="J62" s="26">
        <f>Functional!J62</f>
        <v>334345.22285211249</v>
      </c>
      <c r="K62" s="26">
        <f>Functional!K62</f>
        <v>325891.55151095084</v>
      </c>
      <c r="L62" s="26">
        <f>Functional!L62</f>
        <v>331800.56085586752</v>
      </c>
      <c r="M62" s="26">
        <f>Functional!M62</f>
        <v>323820.28159574367</v>
      </c>
      <c r="N62" s="26">
        <f>Functional!N62</f>
        <v>325628.24865419313</v>
      </c>
      <c r="P62" s="26">
        <f t="shared" ref="P62:P66" si="29">SUM(C62:E62)</f>
        <v>1085103.9263739812</v>
      </c>
      <c r="Q62" s="26">
        <f t="shared" ref="Q62:Q66" si="30">SUM(F62:H62)</f>
        <v>1004275.7106462084</v>
      </c>
      <c r="R62" s="26">
        <f t="shared" ref="R62:R66" si="31">SUM(I62:K62)</f>
        <v>993115.00523114996</v>
      </c>
      <c r="S62" s="26">
        <f t="shared" ref="S62:S66" si="32">SUM(L62:N62)</f>
        <v>981249.09110580431</v>
      </c>
      <c r="T62" s="79"/>
      <c r="U62" s="26">
        <f t="shared" ref="U62:U66" si="33">SUM(P62:S62)</f>
        <v>4063743.7333571441</v>
      </c>
    </row>
    <row r="63" spans="2:21" ht="15" customHeight="1" x14ac:dyDescent="0.2">
      <c r="B63" s="57" t="s">
        <v>45</v>
      </c>
      <c r="C63" s="26">
        <f>Functional!C63</f>
        <v>238180</v>
      </c>
      <c r="D63" s="26">
        <f>Functional!D63</f>
        <v>241748.60932046385</v>
      </c>
      <c r="E63" s="26">
        <f>Functional!E63</f>
        <v>243474.00826219024</v>
      </c>
      <c r="F63" s="26">
        <f>Functional!F63</f>
        <v>245369.25419771907</v>
      </c>
      <c r="G63" s="26">
        <f>Functional!G63</f>
        <v>243867.12861993583</v>
      </c>
      <c r="H63" s="26">
        <f>Functional!H63</f>
        <v>241145.95219776942</v>
      </c>
      <c r="I63" s="26">
        <f>Functional!I63</f>
        <v>242093.25881315392</v>
      </c>
      <c r="J63" s="26">
        <f>Functional!J63</f>
        <v>243160.16207426362</v>
      </c>
      <c r="K63" s="26">
        <f>Functional!K63</f>
        <v>237012.03746250973</v>
      </c>
      <c r="L63" s="26">
        <f>Functional!L63</f>
        <v>241309.49880426726</v>
      </c>
      <c r="M63" s="26">
        <f>Functional!M63</f>
        <v>235505.65934235905</v>
      </c>
      <c r="N63" s="26">
        <f>Functional!N63</f>
        <v>236820.54447577681</v>
      </c>
      <c r="P63" s="26">
        <f t="shared" si="29"/>
        <v>723402.61758265411</v>
      </c>
      <c r="Q63" s="26">
        <f t="shared" si="30"/>
        <v>730382.33501542429</v>
      </c>
      <c r="R63" s="26">
        <f t="shared" si="31"/>
        <v>722265.45834992721</v>
      </c>
      <c r="S63" s="26">
        <f t="shared" si="32"/>
        <v>713635.70262240316</v>
      </c>
      <c r="T63" s="79"/>
      <c r="U63" s="26">
        <f t="shared" si="33"/>
        <v>2889686.1135704089</v>
      </c>
    </row>
    <row r="64" spans="2:21" ht="15" customHeight="1" x14ac:dyDescent="0.2">
      <c r="B64" s="57" t="s">
        <v>74</v>
      </c>
      <c r="C64" s="26">
        <f>Functional!C64</f>
        <v>244134.5</v>
      </c>
      <c r="D64" s="26">
        <f>Functional!D64</f>
        <v>247792.32455347545</v>
      </c>
      <c r="E64" s="26">
        <f>Functional!E64</f>
        <v>249560.85846874499</v>
      </c>
      <c r="F64" s="26">
        <f>Functional!F64</f>
        <v>245369.25419771907</v>
      </c>
      <c r="G64" s="26">
        <f>Functional!G64</f>
        <v>243867.12861993583</v>
      </c>
      <c r="H64" s="26">
        <f>Functional!H64</f>
        <v>241145.95219776942</v>
      </c>
      <c r="I64" s="26">
        <f>Functional!I64</f>
        <v>242093.25881315392</v>
      </c>
      <c r="J64" s="26">
        <f>Functional!J64</f>
        <v>243160.16207426362</v>
      </c>
      <c r="K64" s="26">
        <f>Functional!K64</f>
        <v>237012.03746250973</v>
      </c>
      <c r="L64" s="26">
        <f>Functional!L64</f>
        <v>241309.49880426726</v>
      </c>
      <c r="M64" s="26">
        <f>Functional!M64</f>
        <v>235505.65934235905</v>
      </c>
      <c r="N64" s="26">
        <f>Functional!N64</f>
        <v>236820.54447577681</v>
      </c>
      <c r="P64" s="26">
        <f t="shared" si="29"/>
        <v>741487.6830222205</v>
      </c>
      <c r="Q64" s="26">
        <f t="shared" si="30"/>
        <v>730382.33501542429</v>
      </c>
      <c r="R64" s="26">
        <f t="shared" si="31"/>
        <v>722265.45834992721</v>
      </c>
      <c r="S64" s="26">
        <f t="shared" si="32"/>
        <v>713635.70262240316</v>
      </c>
      <c r="T64" s="79"/>
      <c r="U64" s="26">
        <f t="shared" si="33"/>
        <v>2907771.1790099749</v>
      </c>
    </row>
    <row r="65" spans="2:21" ht="15" customHeight="1" x14ac:dyDescent="0.2">
      <c r="B65" s="89" t="s">
        <v>75</v>
      </c>
      <c r="C65" s="32">
        <f>Functional!C65</f>
        <v>267952.5</v>
      </c>
      <c r="D65" s="32">
        <f>Functional!D65</f>
        <v>271967.1854855218</v>
      </c>
      <c r="E65" s="32">
        <f>Functional!E65</f>
        <v>273908.25929496397</v>
      </c>
      <c r="F65" s="32">
        <f>Functional!F65</f>
        <v>251503.48555266205</v>
      </c>
      <c r="G65" s="32">
        <f>Functional!G65</f>
        <v>249963.80683543422</v>
      </c>
      <c r="H65" s="32">
        <f>Functional!H65</f>
        <v>247174.60100271367</v>
      </c>
      <c r="I65" s="32">
        <f>Functional!I65</f>
        <v>248145.59028348277</v>
      </c>
      <c r="J65" s="32">
        <f>Functional!J65</f>
        <v>249239.16612612022</v>
      </c>
      <c r="K65" s="32">
        <f>Functional!K65</f>
        <v>242937.33839907247</v>
      </c>
      <c r="L65" s="32">
        <f>Functional!L65</f>
        <v>247342.23627437395</v>
      </c>
      <c r="M65" s="32">
        <f>Functional!M65</f>
        <v>241393.30082591804</v>
      </c>
      <c r="N65" s="32">
        <f>Functional!N65</f>
        <v>242741.05808767123</v>
      </c>
      <c r="P65" s="32">
        <f t="shared" si="29"/>
        <v>813827.9447804857</v>
      </c>
      <c r="Q65" s="32">
        <f t="shared" si="30"/>
        <v>748641.89339080988</v>
      </c>
      <c r="R65" s="32">
        <f t="shared" si="31"/>
        <v>740322.09480867547</v>
      </c>
      <c r="S65" s="32">
        <f t="shared" si="32"/>
        <v>731476.59518796322</v>
      </c>
      <c r="T65" s="79"/>
      <c r="U65" s="32">
        <f t="shared" si="33"/>
        <v>3034268.5281679342</v>
      </c>
    </row>
    <row r="66" spans="2:21" ht="15" customHeight="1" x14ac:dyDescent="0.2">
      <c r="B66" s="52" t="s">
        <v>46</v>
      </c>
      <c r="C66" s="28">
        <f>Functional!C66</f>
        <v>1107537</v>
      </c>
      <c r="D66" s="28">
        <f>Functional!D66</f>
        <v>1124131.033340157</v>
      </c>
      <c r="E66" s="28">
        <f>Functional!E66</f>
        <v>1132154.1384191846</v>
      </c>
      <c r="F66" s="28">
        <f>Functional!F66</f>
        <v>1079624.7184699639</v>
      </c>
      <c r="G66" s="28">
        <f>Functional!G66</f>
        <v>1073015.3659277176</v>
      </c>
      <c r="H66" s="28">
        <f>Functional!H66</f>
        <v>1061042.1896701856</v>
      </c>
      <c r="I66" s="28">
        <f>Functional!I66</f>
        <v>1065210.3387778772</v>
      </c>
      <c r="J66" s="28">
        <f>Functional!J66</f>
        <v>1069904.71312676</v>
      </c>
      <c r="K66" s="28">
        <f>Functional!K66</f>
        <v>1042852.9648350428</v>
      </c>
      <c r="L66" s="28">
        <f>Functional!L66</f>
        <v>1061761.7947387761</v>
      </c>
      <c r="M66" s="28">
        <f>Functional!M66</f>
        <v>1036224.9011063799</v>
      </c>
      <c r="N66" s="28">
        <f>Functional!N66</f>
        <v>1042010.3956934181</v>
      </c>
      <c r="P66" s="28">
        <f t="shared" si="29"/>
        <v>3363822.1717593418</v>
      </c>
      <c r="Q66" s="28">
        <f t="shared" si="30"/>
        <v>3213682.2740678671</v>
      </c>
      <c r="R66" s="28">
        <f t="shared" si="31"/>
        <v>3177968.0167396804</v>
      </c>
      <c r="S66" s="28">
        <f t="shared" si="32"/>
        <v>3139997.0915385741</v>
      </c>
      <c r="T66" s="79"/>
      <c r="U66" s="28">
        <f t="shared" si="33"/>
        <v>12895469.554105464</v>
      </c>
    </row>
    <row r="67" spans="2:21" ht="15" customHeight="1" x14ac:dyDescent="0.2">
      <c r="B67" s="55"/>
      <c r="T67" s="79"/>
    </row>
    <row r="68" spans="2:21" ht="15" customHeight="1" x14ac:dyDescent="0.2">
      <c r="B68" s="57" t="s">
        <v>76</v>
      </c>
      <c r="C68" s="26">
        <f>Functional!C68</f>
        <v>45360</v>
      </c>
      <c r="D68" s="26">
        <f>Functional!D68</f>
        <v>43200</v>
      </c>
      <c r="E68" s="26">
        <f>Functional!E68</f>
        <v>49680</v>
      </c>
      <c r="F68" s="26">
        <f>Functional!F68</f>
        <v>47940</v>
      </c>
      <c r="G68" s="26">
        <f>Functional!G68</f>
        <v>58374</v>
      </c>
      <c r="H68" s="26">
        <f>Functional!H68</f>
        <v>53298</v>
      </c>
      <c r="I68" s="26">
        <f>Functional!I68</f>
        <v>50760</v>
      </c>
      <c r="J68" s="26">
        <f>Functional!J68</f>
        <v>61617</v>
      </c>
      <c r="K68" s="26">
        <f>Functional!K68</f>
        <v>53580</v>
      </c>
      <c r="L68" s="26">
        <f>Functional!L68</f>
        <v>58938</v>
      </c>
      <c r="M68" s="26">
        <f>Functional!M68</f>
        <v>56259</v>
      </c>
      <c r="N68" s="26">
        <f>Functional!N68</f>
        <v>59220</v>
      </c>
      <c r="P68" s="26">
        <f t="shared" ref="P68:P71" si="34">SUM(C68:E68)</f>
        <v>138240</v>
      </c>
      <c r="Q68" s="26">
        <f t="shared" ref="Q68:Q71" si="35">SUM(F68:H68)</f>
        <v>159612</v>
      </c>
      <c r="R68" s="26">
        <f t="shared" ref="R68:R71" si="36">SUM(I68:K68)</f>
        <v>165957</v>
      </c>
      <c r="S68" s="26">
        <f t="shared" ref="S68:S71" si="37">SUM(L68:N68)</f>
        <v>174417</v>
      </c>
      <c r="T68" s="79"/>
      <c r="U68" s="26">
        <f t="shared" ref="U68:U71" si="38">SUM(P68:S68)</f>
        <v>638226</v>
      </c>
    </row>
    <row r="69" spans="2:21" ht="15" customHeight="1" x14ac:dyDescent="0.2">
      <c r="B69" s="57" t="s">
        <v>77</v>
      </c>
      <c r="C69" s="26">
        <f>Functional!C69</f>
        <v>34398</v>
      </c>
      <c r="D69" s="26">
        <f>Functional!D69</f>
        <v>32760.000000000004</v>
      </c>
      <c r="E69" s="26">
        <f>Functional!E69</f>
        <v>37674</v>
      </c>
      <c r="F69" s="26">
        <f>Functional!F69</f>
        <v>40560</v>
      </c>
      <c r="G69" s="26">
        <f>Functional!G69</f>
        <v>46644</v>
      </c>
      <c r="H69" s="26">
        <f>Functional!H69</f>
        <v>42588</v>
      </c>
      <c r="I69" s="26">
        <f>Functional!I69</f>
        <v>40560</v>
      </c>
      <c r="J69" s="26">
        <f>Functional!J69</f>
        <v>46644</v>
      </c>
      <c r="K69" s="26">
        <f>Functional!K69</f>
        <v>40560</v>
      </c>
      <c r="L69" s="26">
        <f>Functional!L69</f>
        <v>52052</v>
      </c>
      <c r="M69" s="26">
        <f>Functional!M69</f>
        <v>49686</v>
      </c>
      <c r="N69" s="26">
        <f>Functional!N69</f>
        <v>49686</v>
      </c>
      <c r="P69" s="26">
        <f t="shared" si="34"/>
        <v>104832</v>
      </c>
      <c r="Q69" s="26">
        <f t="shared" si="35"/>
        <v>129792</v>
      </c>
      <c r="R69" s="26">
        <f t="shared" si="36"/>
        <v>127764</v>
      </c>
      <c r="S69" s="26">
        <f t="shared" si="37"/>
        <v>151424</v>
      </c>
      <c r="T69" s="79"/>
      <c r="U69" s="26">
        <f t="shared" si="38"/>
        <v>513812</v>
      </c>
    </row>
    <row r="70" spans="2:21" ht="15" customHeight="1" x14ac:dyDescent="0.2">
      <c r="B70" s="89" t="s">
        <v>27</v>
      </c>
      <c r="C70" s="32">
        <f>Functional!C70</f>
        <v>18382.827961391591</v>
      </c>
      <c r="D70" s="32">
        <f>Functional!D70</f>
        <v>20290.899786570801</v>
      </c>
      <c r="E70" s="32">
        <f>Functional!E70</f>
        <v>31830.220796282229</v>
      </c>
      <c r="F70" s="32">
        <f>Functional!F70</f>
        <v>19630.860513534702</v>
      </c>
      <c r="G70" s="32">
        <f>Functional!G70</f>
        <v>22619.032994352161</v>
      </c>
      <c r="H70" s="32">
        <f>Functional!H70</f>
        <v>33338.590095914798</v>
      </c>
      <c r="I70" s="32">
        <f>Functional!I70</f>
        <v>28321.121029665479</v>
      </c>
      <c r="J70" s="32">
        <f>Functional!J70</f>
        <v>24589.998815603682</v>
      </c>
      <c r="K70" s="32">
        <f>Functional!K70</f>
        <v>32800.309710671652</v>
      </c>
      <c r="L70" s="32">
        <f>Functional!L70</f>
        <v>23390.636436316676</v>
      </c>
      <c r="M70" s="32">
        <f>Functional!M70</f>
        <v>28986.296410669369</v>
      </c>
      <c r="N70" s="32">
        <f>Functional!N70</f>
        <v>31036.059930901341</v>
      </c>
      <c r="P70" s="32">
        <f t="shared" si="34"/>
        <v>70503.948544244617</v>
      </c>
      <c r="Q70" s="32">
        <f t="shared" si="35"/>
        <v>75588.483603801666</v>
      </c>
      <c r="R70" s="32">
        <f t="shared" si="36"/>
        <v>85711.42955594082</v>
      </c>
      <c r="S70" s="32">
        <f t="shared" si="37"/>
        <v>83412.992777887383</v>
      </c>
      <c r="T70" s="79"/>
      <c r="U70" s="32">
        <f t="shared" si="38"/>
        <v>315216.8544818745</v>
      </c>
    </row>
    <row r="71" spans="2:21" ht="15" customHeight="1" x14ac:dyDescent="0.2">
      <c r="B71" s="52" t="s">
        <v>24</v>
      </c>
      <c r="C71" s="28">
        <f>Functional!C71</f>
        <v>98140.827961391595</v>
      </c>
      <c r="D71" s="28">
        <f>Functional!D71</f>
        <v>96250.899786570808</v>
      </c>
      <c r="E71" s="28">
        <f>Functional!E71</f>
        <v>119184.22079628223</v>
      </c>
      <c r="F71" s="28">
        <f>Functional!F71</f>
        <v>108130.8605135347</v>
      </c>
      <c r="G71" s="28">
        <f>Functional!G71</f>
        <v>127637.03299435216</v>
      </c>
      <c r="H71" s="28">
        <f>Functional!H71</f>
        <v>129224.5900959148</v>
      </c>
      <c r="I71" s="28">
        <f>Functional!I71</f>
        <v>119641.12102966548</v>
      </c>
      <c r="J71" s="28">
        <f>Functional!J71</f>
        <v>132850.99881560367</v>
      </c>
      <c r="K71" s="28">
        <f>Functional!K71</f>
        <v>126940.30971067166</v>
      </c>
      <c r="L71" s="28">
        <f>Functional!L71</f>
        <v>134380.63643631668</v>
      </c>
      <c r="M71" s="28">
        <f>Functional!M71</f>
        <v>134931.29641066937</v>
      </c>
      <c r="N71" s="28">
        <f>Functional!N71</f>
        <v>139942.05993090133</v>
      </c>
      <c r="P71" s="28">
        <f t="shared" si="34"/>
        <v>313575.94854424463</v>
      </c>
      <c r="Q71" s="28">
        <f t="shared" si="35"/>
        <v>364992.48360380164</v>
      </c>
      <c r="R71" s="28">
        <f t="shared" si="36"/>
        <v>379432.42955594079</v>
      </c>
      <c r="S71" s="28">
        <f t="shared" si="37"/>
        <v>409253.99277788738</v>
      </c>
      <c r="T71" s="79"/>
      <c r="U71" s="28">
        <f t="shared" si="38"/>
        <v>1467254.8544818745</v>
      </c>
    </row>
    <row r="72" spans="2:21" ht="15" customHeight="1" x14ac:dyDescent="0.2">
      <c r="B72" s="52"/>
      <c r="T72" s="79"/>
    </row>
    <row r="73" spans="2:21" ht="15" customHeight="1" x14ac:dyDescent="0.2">
      <c r="B73" s="52" t="s">
        <v>28</v>
      </c>
      <c r="C73" s="28">
        <f>Functional!C73</f>
        <v>4748822.1720386082</v>
      </c>
      <c r="D73" s="28">
        <f>Functional!D73</f>
        <v>4823333.2998848679</v>
      </c>
      <c r="E73" s="28">
        <f>Functional!E73</f>
        <v>4835511.8473392883</v>
      </c>
      <c r="F73" s="28">
        <f>Functional!F73</f>
        <v>4946475.7759594787</v>
      </c>
      <c r="G73" s="28">
        <f>Functional!G73</f>
        <v>4896025.8165763253</v>
      </c>
      <c r="H73" s="28">
        <f>Functional!H73</f>
        <v>4838382.0251781354</v>
      </c>
      <c r="I73" s="28">
        <f>Functional!I73</f>
        <v>4867480.0105213048</v>
      </c>
      <c r="J73" s="28">
        <f>Functional!J73</f>
        <v>4876248.3399142269</v>
      </c>
      <c r="K73" s="28">
        <f>Functional!K73</f>
        <v>4755507.6620170288</v>
      </c>
      <c r="L73" s="28">
        <f>Functional!L73</f>
        <v>4836595.0389315886</v>
      </c>
      <c r="M73" s="28">
        <f>Functional!M73</f>
        <v>4716485.2860419266</v>
      </c>
      <c r="N73" s="28">
        <f>Functional!N73</f>
        <v>4738561.1562701007</v>
      </c>
      <c r="P73" s="28">
        <f>P59-P66-P71</f>
        <v>14407667.319262765</v>
      </c>
      <c r="Q73" s="28">
        <f t="shared" ref="Q73:S73" si="39">Q59-Q66-Q71</f>
        <v>14680883.617713939</v>
      </c>
      <c r="R73" s="28">
        <f t="shared" si="39"/>
        <v>14499236.012452558</v>
      </c>
      <c r="S73" s="28">
        <f t="shared" si="39"/>
        <v>14291641.481243618</v>
      </c>
      <c r="T73" s="79"/>
      <c r="U73" s="28">
        <f t="shared" ref="U73" si="40">U59-U66-U71</f>
        <v>57879428.430672884</v>
      </c>
    </row>
    <row r="74" spans="2:21" ht="15" customHeight="1" x14ac:dyDescent="0.2">
      <c r="B74" s="52" t="s">
        <v>29</v>
      </c>
      <c r="C74" s="71">
        <f>Functional!C74</f>
        <v>0.79751820842028853</v>
      </c>
      <c r="D74" s="71">
        <f>Functional!D74</f>
        <v>0.79807421659100752</v>
      </c>
      <c r="E74" s="71">
        <f>Functional!E74</f>
        <v>0.7944193931587249</v>
      </c>
      <c r="F74" s="71">
        <f>Functional!F74</f>
        <v>0.80637254934533864</v>
      </c>
      <c r="G74" s="71">
        <f>Functional!G74</f>
        <v>0.80306449570031668</v>
      </c>
      <c r="H74" s="71">
        <f>Functional!H74</f>
        <v>0.80256491657136586</v>
      </c>
      <c r="I74" s="71">
        <f>Functional!I74</f>
        <v>0.8042322259419864</v>
      </c>
      <c r="J74" s="71">
        <f>Functional!J74</f>
        <v>0.80214592691790865</v>
      </c>
      <c r="K74" s="71">
        <f>Functional!K74</f>
        <v>0.80257656327168603</v>
      </c>
      <c r="L74" s="71">
        <f>Functional!L74</f>
        <v>0.80172476639300183</v>
      </c>
      <c r="M74" s="71">
        <f>Functional!M74</f>
        <v>0.80108228383343982</v>
      </c>
      <c r="N74" s="71">
        <f>Functional!N74</f>
        <v>0.80036318922571925</v>
      </c>
      <c r="P74" s="71">
        <f>P73/P59</f>
        <v>0.79666105535575193</v>
      </c>
      <c r="Q74" s="71">
        <f t="shared" ref="Q74:U74" si="41">Q73/Q59</f>
        <v>0.80401088109032137</v>
      </c>
      <c r="R74" s="71">
        <f t="shared" si="41"/>
        <v>0.80298653880401338</v>
      </c>
      <c r="S74" s="71">
        <f t="shared" si="41"/>
        <v>0.80106090145019371</v>
      </c>
      <c r="T74" s="79"/>
      <c r="U74" s="71">
        <f t="shared" si="41"/>
        <v>0.80118637327233877</v>
      </c>
    </row>
    <row r="75" spans="2:21" ht="15" customHeight="1" x14ac:dyDescent="0.2">
      <c r="T75" s="79"/>
    </row>
    <row r="76" spans="2:21" ht="15" customHeight="1" x14ac:dyDescent="0.2">
      <c r="B76" s="52" t="s">
        <v>100</v>
      </c>
      <c r="T76" s="79"/>
    </row>
    <row r="77" spans="2:21" ht="15" customHeight="1" x14ac:dyDescent="0.2">
      <c r="B77" s="58" t="s">
        <v>84</v>
      </c>
      <c r="C77" s="26">
        <f>Functional!C98</f>
        <v>562700.25</v>
      </c>
      <c r="D77" s="26">
        <f>Functional!D98</f>
        <v>571131.08951959584</v>
      </c>
      <c r="E77" s="26">
        <f>Functional!E98</f>
        <v>575207.34451942449</v>
      </c>
      <c r="F77" s="26">
        <f>Functional!F98</f>
        <v>441664.65755589429</v>
      </c>
      <c r="G77" s="26">
        <f>Functional!G98</f>
        <v>438960.83151588443</v>
      </c>
      <c r="H77" s="26">
        <f>Functional!H98</f>
        <v>434062.71395598497</v>
      </c>
      <c r="I77" s="26">
        <f>Functional!I98</f>
        <v>435767.86586367706</v>
      </c>
      <c r="J77" s="26">
        <f>Functional!J98</f>
        <v>437688.29173367447</v>
      </c>
      <c r="K77" s="26">
        <f>Functional!K98</f>
        <v>426621.66743251745</v>
      </c>
      <c r="L77" s="26">
        <f>Functional!L98</f>
        <v>434357.09784768109</v>
      </c>
      <c r="M77" s="26">
        <f>Functional!M98</f>
        <v>423910.18681624631</v>
      </c>
      <c r="N77" s="26">
        <f>Functional!N98</f>
        <v>426276.98005639826</v>
      </c>
      <c r="P77" s="26">
        <f t="shared" ref="P77:P80" si="42">SUM(C77:E77)</f>
        <v>1709038.6840390202</v>
      </c>
      <c r="Q77" s="26">
        <f t="shared" ref="Q77:Q80" si="43">SUM(F77:H77)</f>
        <v>1314688.2030277636</v>
      </c>
      <c r="R77" s="26">
        <f t="shared" ref="R77:R80" si="44">SUM(I77:K77)</f>
        <v>1300077.8250298691</v>
      </c>
      <c r="S77" s="26">
        <f t="shared" ref="S77:S80" si="45">SUM(L77:N77)</f>
        <v>1284544.2647203256</v>
      </c>
      <c r="T77" s="33"/>
      <c r="U77" s="26">
        <f t="shared" ref="U77:U80" si="46">SUM(P77:S77)</f>
        <v>5608348.9768169783</v>
      </c>
    </row>
    <row r="78" spans="2:21" ht="15" customHeight="1" x14ac:dyDescent="0.2">
      <c r="B78" s="58" t="s">
        <v>85</v>
      </c>
      <c r="C78" s="26">
        <f>Functional!C99</f>
        <v>1511252.1</v>
      </c>
      <c r="D78" s="26">
        <f>Functional!D99</f>
        <v>1533894.9261383433</v>
      </c>
      <c r="E78" s="26">
        <f>Functional!E99</f>
        <v>1544842.5824235971</v>
      </c>
      <c r="F78" s="26">
        <f>Functional!F99</f>
        <v>1487857.8151414189</v>
      </c>
      <c r="G78" s="26">
        <f>Functional!G99</f>
        <v>1478749.3011691358</v>
      </c>
      <c r="H78" s="26">
        <f>Functional!H99</f>
        <v>1462248.7676392242</v>
      </c>
      <c r="I78" s="26">
        <f>Functional!I99</f>
        <v>1467992.9981282621</v>
      </c>
      <c r="J78" s="26">
        <f>Functional!J99</f>
        <v>1474462.4327778162</v>
      </c>
      <c r="K78" s="26">
        <f>Functional!K99</f>
        <v>1437181.7421632935</v>
      </c>
      <c r="L78" s="26">
        <f>Functional!L99</f>
        <v>1463240.4733743758</v>
      </c>
      <c r="M78" s="26">
        <f>Functional!M99</f>
        <v>1428047.4418372298</v>
      </c>
      <c r="N78" s="26">
        <f>Functional!N99</f>
        <v>1436020.5765649918</v>
      </c>
      <c r="P78" s="26">
        <f t="shared" si="42"/>
        <v>4589989.6085619405</v>
      </c>
      <c r="Q78" s="26">
        <f t="shared" si="43"/>
        <v>4428855.883949779</v>
      </c>
      <c r="R78" s="26">
        <f t="shared" si="44"/>
        <v>4379637.1730693718</v>
      </c>
      <c r="S78" s="26">
        <f t="shared" si="45"/>
        <v>4327308.4917765977</v>
      </c>
      <c r="T78" s="33"/>
      <c r="U78" s="26">
        <f t="shared" si="46"/>
        <v>17725791.157357689</v>
      </c>
    </row>
    <row r="79" spans="2:21" ht="15" customHeight="1" x14ac:dyDescent="0.2">
      <c r="B79" s="121" t="s">
        <v>86</v>
      </c>
      <c r="C79" s="32">
        <f>Functional!C100</f>
        <v>20739.523500000003</v>
      </c>
      <c r="D79" s="32">
        <f>Functional!D100</f>
        <v>21050.260156579392</v>
      </c>
      <c r="E79" s="32">
        <f>Functional!E100</f>
        <v>21200.499269430216</v>
      </c>
      <c r="F79" s="32">
        <f>Functional!F100</f>
        <v>21365.527809266387</v>
      </c>
      <c r="G79" s="32">
        <f>Functional!G100</f>
        <v>21234.730224580915</v>
      </c>
      <c r="H79" s="32">
        <f>Functional!H100</f>
        <v>20997.783787620774</v>
      </c>
      <c r="I79" s="32">
        <f>Functional!I100</f>
        <v>21080.270511155377</v>
      </c>
      <c r="J79" s="32">
        <f>Functional!J100</f>
        <v>21173.171112616506</v>
      </c>
      <c r="K79" s="32">
        <f>Functional!K100</f>
        <v>20637.823162048033</v>
      </c>
      <c r="L79" s="32">
        <f>Functional!L100</f>
        <v>21012.024608381576</v>
      </c>
      <c r="M79" s="32">
        <f>Functional!M100</f>
        <v>20506.655287235913</v>
      </c>
      <c r="N79" s="32">
        <f>Functional!N100</f>
        <v>20621.148910228265</v>
      </c>
      <c r="P79" s="32">
        <f t="shared" si="42"/>
        <v>62990.282926009619</v>
      </c>
      <c r="Q79" s="32">
        <f t="shared" si="43"/>
        <v>63598.041821468083</v>
      </c>
      <c r="R79" s="32">
        <f t="shared" si="44"/>
        <v>62891.26478581992</v>
      </c>
      <c r="S79" s="32">
        <f t="shared" si="45"/>
        <v>62139.828805845755</v>
      </c>
      <c r="T79" s="33"/>
      <c r="U79" s="32">
        <f t="shared" si="46"/>
        <v>251619.41833914339</v>
      </c>
    </row>
    <row r="80" spans="2:21" ht="15" customHeight="1" x14ac:dyDescent="0.2">
      <c r="B80" s="23" t="s">
        <v>87</v>
      </c>
      <c r="C80" s="28">
        <f>Functional!C101</f>
        <v>2094691.8735</v>
      </c>
      <c r="D80" s="28">
        <f>Functional!D101</f>
        <v>2126076.2758145183</v>
      </c>
      <c r="E80" s="28">
        <f>Functional!E101</f>
        <v>2141250.4262124519</v>
      </c>
      <c r="F80" s="28">
        <f>Functional!F101</f>
        <v>1950888.0005065796</v>
      </c>
      <c r="G80" s="28">
        <f>Functional!G101</f>
        <v>1938944.8629096013</v>
      </c>
      <c r="H80" s="28">
        <f>Functional!H101</f>
        <v>1917309.2653828298</v>
      </c>
      <c r="I80" s="28">
        <f>Functional!I101</f>
        <v>1924841.1345030947</v>
      </c>
      <c r="J80" s="28">
        <f>Functional!J101</f>
        <v>1933323.8956241072</v>
      </c>
      <c r="K80" s="28">
        <f>Functional!K101</f>
        <v>1884441.2327578592</v>
      </c>
      <c r="L80" s="28">
        <f>Functional!L101</f>
        <v>1918609.5958304384</v>
      </c>
      <c r="M80" s="28">
        <f>Functional!M101</f>
        <v>1872464.283940712</v>
      </c>
      <c r="N80" s="28">
        <f>Functional!N101</f>
        <v>1882918.7055316183</v>
      </c>
      <c r="P80" s="28">
        <f t="shared" si="42"/>
        <v>6362018.5755269695</v>
      </c>
      <c r="Q80" s="28">
        <f t="shared" si="43"/>
        <v>5807142.128799011</v>
      </c>
      <c r="R80" s="28">
        <f t="shared" si="44"/>
        <v>5742606.2628850611</v>
      </c>
      <c r="S80" s="28">
        <f t="shared" si="45"/>
        <v>5673992.5853027692</v>
      </c>
      <c r="T80" s="54"/>
      <c r="U80" s="28">
        <f t="shared" si="46"/>
        <v>23585759.552513812</v>
      </c>
    </row>
    <row r="81" spans="2:21" ht="15" customHeight="1" x14ac:dyDescent="0.2">
      <c r="B81"/>
      <c r="N81" s="35"/>
      <c r="T81" s="51"/>
    </row>
    <row r="82" spans="2:21" ht="15" customHeight="1" x14ac:dyDescent="0.2">
      <c r="B82" s="58" t="s">
        <v>94</v>
      </c>
      <c r="C82" s="28">
        <f>Functional!C103</f>
        <v>2654130.2985386085</v>
      </c>
      <c r="D82" s="28">
        <f>Functional!D103</f>
        <v>2697257.0240703495</v>
      </c>
      <c r="E82" s="28">
        <f>Functional!E103</f>
        <v>2694261.4211268364</v>
      </c>
      <c r="F82" s="28">
        <f>Functional!F103</f>
        <v>2995587.7754528988</v>
      </c>
      <c r="G82" s="28">
        <f>Functional!G103</f>
        <v>2957080.9536667243</v>
      </c>
      <c r="H82" s="28">
        <f>Functional!H103</f>
        <v>2921072.7597953053</v>
      </c>
      <c r="I82" s="28">
        <f>Functional!I103</f>
        <v>2942638.8760182103</v>
      </c>
      <c r="J82" s="28">
        <f>Functional!J103</f>
        <v>2942924.4442901197</v>
      </c>
      <c r="K82" s="28">
        <f>Functional!K103</f>
        <v>2871066.4292591698</v>
      </c>
      <c r="L82" s="28">
        <f>Functional!L103</f>
        <v>2917985.44310115</v>
      </c>
      <c r="M82" s="28">
        <f>Functional!M103</f>
        <v>2844021.0021012146</v>
      </c>
      <c r="N82" s="28">
        <f>Functional!N103</f>
        <v>2855642.4507384822</v>
      </c>
      <c r="P82" s="28">
        <f>P73-P80</f>
        <v>8045648.7437357958</v>
      </c>
      <c r="Q82" s="28">
        <f t="shared" ref="Q82:S82" si="47">Q73-Q80</f>
        <v>8873741.4889149293</v>
      </c>
      <c r="R82" s="28">
        <f t="shared" si="47"/>
        <v>8756629.7495674975</v>
      </c>
      <c r="S82" s="28">
        <f t="shared" si="47"/>
        <v>8617648.8959408477</v>
      </c>
      <c r="T82" s="54"/>
      <c r="U82" s="28">
        <f t="shared" ref="U82" si="48">U73-U80</f>
        <v>34293668.878159076</v>
      </c>
    </row>
    <row r="83" spans="2:21" ht="15" customHeight="1" x14ac:dyDescent="0.2">
      <c r="B83" s="58" t="s">
        <v>95</v>
      </c>
      <c r="C83" s="71">
        <f>Functional!C104</f>
        <v>0.44573520842028858</v>
      </c>
      <c r="D83" s="71">
        <f>Functional!D104</f>
        <v>0.44629121659100751</v>
      </c>
      <c r="E83" s="71">
        <f>Functional!E104</f>
        <v>0.44263639315872488</v>
      </c>
      <c r="F83" s="71">
        <f>Functional!F104</f>
        <v>0.48833954934533857</v>
      </c>
      <c r="G83" s="71">
        <f>Functional!G104</f>
        <v>0.48503149570031667</v>
      </c>
      <c r="H83" s="71">
        <f>Functional!H104</f>
        <v>0.48453191657136591</v>
      </c>
      <c r="I83" s="71">
        <f>Functional!I104</f>
        <v>0.48619922594198639</v>
      </c>
      <c r="J83" s="71">
        <f>Functional!J104</f>
        <v>0.48411292691790858</v>
      </c>
      <c r="K83" s="71">
        <f>Functional!K104</f>
        <v>0.48454356327168602</v>
      </c>
      <c r="L83" s="71">
        <f>Functional!L104</f>
        <v>0.48369176639300182</v>
      </c>
      <c r="M83" s="71">
        <f>Functional!M104</f>
        <v>0.48304928383343981</v>
      </c>
      <c r="N83" s="71">
        <f>Functional!N104</f>
        <v>0.48233018922571924</v>
      </c>
      <c r="P83" s="71">
        <f>P82/P59</f>
        <v>0.44487805535575198</v>
      </c>
      <c r="Q83" s="71">
        <f t="shared" ref="Q83:U83" si="49">Q82/Q59</f>
        <v>0.48597788109032142</v>
      </c>
      <c r="R83" s="71">
        <f t="shared" si="49"/>
        <v>0.48495353880401332</v>
      </c>
      <c r="S83" s="71">
        <f t="shared" si="49"/>
        <v>0.4830279014501937</v>
      </c>
      <c r="T83" s="123"/>
      <c r="U83" s="71">
        <f t="shared" si="49"/>
        <v>0.47470441467134789</v>
      </c>
    </row>
    <row r="84" spans="2:21" ht="15" customHeight="1" x14ac:dyDescent="0.2">
      <c r="B84"/>
      <c r="T84" s="51"/>
    </row>
    <row r="85" spans="2:21" ht="15" customHeight="1" x14ac:dyDescent="0.2">
      <c r="B85" s="58" t="s">
        <v>89</v>
      </c>
      <c r="C85" s="26">
        <f>Functional!C106</f>
        <v>146628.43114500001</v>
      </c>
      <c r="D85" s="26">
        <f>Functional!D106</f>
        <v>148825.33930701629</v>
      </c>
      <c r="E85" s="26">
        <f>Functional!E106</f>
        <v>149887.52983487162</v>
      </c>
      <c r="F85" s="26">
        <f>Functional!F106</f>
        <v>136562.16003546058</v>
      </c>
      <c r="G85" s="26">
        <f>Functional!G106</f>
        <v>135726.14040367209</v>
      </c>
      <c r="H85" s="26">
        <f>Functional!H106</f>
        <v>134211.64857679812</v>
      </c>
      <c r="I85" s="26">
        <f>Functional!I106</f>
        <v>134738.87941521662</v>
      </c>
      <c r="J85" s="26">
        <f>Functional!J106</f>
        <v>135332.67269368749</v>
      </c>
      <c r="K85" s="26">
        <f>Functional!K106</f>
        <v>131910.88629305011</v>
      </c>
      <c r="L85" s="26">
        <f>Functional!L106</f>
        <v>134302.67170813069</v>
      </c>
      <c r="M85" s="26">
        <f>Functional!M106</f>
        <v>131072.49987584984</v>
      </c>
      <c r="N85" s="26">
        <f>Functional!N106</f>
        <v>131804.30938721329</v>
      </c>
      <c r="P85" s="26">
        <f t="shared" ref="P85:P89" si="50">SUM(C85:E85)</f>
        <v>445341.30028688791</v>
      </c>
      <c r="Q85" s="26">
        <f t="shared" ref="Q85:Q89" si="51">SUM(F85:H85)</f>
        <v>406499.94901593076</v>
      </c>
      <c r="R85" s="26">
        <f t="shared" ref="R85:R89" si="52">SUM(I85:K85)</f>
        <v>401982.43840195425</v>
      </c>
      <c r="S85" s="26">
        <f t="shared" ref="S85:S89" si="53">SUM(L85:N85)</f>
        <v>397179.48097119387</v>
      </c>
      <c r="T85" s="33"/>
      <c r="U85" s="26">
        <f t="shared" ref="U85:U89" si="54">SUM(P85:S85)</f>
        <v>1651003.1686759668</v>
      </c>
    </row>
    <row r="86" spans="2:21" ht="15" customHeight="1" x14ac:dyDescent="0.2">
      <c r="B86" s="58" t="s">
        <v>90</v>
      </c>
      <c r="C86" s="26">
        <f>Functional!C107</f>
        <v>51203.579130000006</v>
      </c>
      <c r="D86" s="26">
        <f>Functional!D107</f>
        <v>51970.753408799341</v>
      </c>
      <c r="E86" s="26">
        <f>Functional!E107</f>
        <v>52341.677085193267</v>
      </c>
      <c r="F86" s="26">
        <f>Functional!F107</f>
        <v>47688.373345716398</v>
      </c>
      <c r="G86" s="26">
        <f>Functional!G107</f>
        <v>47396.429982234702</v>
      </c>
      <c r="H86" s="26">
        <f>Functional!H107</f>
        <v>46867.559820469185</v>
      </c>
      <c r="I86" s="26">
        <f>Functional!I107</f>
        <v>47051.672176742315</v>
      </c>
      <c r="J86" s="26">
        <f>Functional!J107</f>
        <v>47259.028559700397</v>
      </c>
      <c r="K86" s="26">
        <f>Functional!K107</f>
        <v>46064.119022969877</v>
      </c>
      <c r="L86" s="26">
        <f>Functional!L107</f>
        <v>46899.345675855162</v>
      </c>
      <c r="M86" s="26">
        <f>Functional!M107</f>
        <v>45771.349162995182</v>
      </c>
      <c r="N86" s="26">
        <f>Functional!N107</f>
        <v>46026.901690772895</v>
      </c>
      <c r="P86" s="26">
        <f t="shared" si="50"/>
        <v>155516.00962399261</v>
      </c>
      <c r="Q86" s="26">
        <f t="shared" si="51"/>
        <v>141952.36314842029</v>
      </c>
      <c r="R86" s="26">
        <f t="shared" si="52"/>
        <v>140374.81975941258</v>
      </c>
      <c r="S86" s="26">
        <f t="shared" si="53"/>
        <v>138697.59652962326</v>
      </c>
      <c r="T86" s="33"/>
      <c r="U86" s="26">
        <f t="shared" si="54"/>
        <v>576540.78906144877</v>
      </c>
    </row>
    <row r="87" spans="2:21" ht="15" customHeight="1" x14ac:dyDescent="0.2">
      <c r="B87" s="58" t="s">
        <v>91</v>
      </c>
      <c r="C87" s="26">
        <f>Functional!C108</f>
        <v>23274.354150000003</v>
      </c>
      <c r="D87" s="26">
        <f>Functional!D108</f>
        <v>23623.06973127243</v>
      </c>
      <c r="E87" s="26">
        <f>Functional!E108</f>
        <v>23791.671402360575</v>
      </c>
      <c r="F87" s="26">
        <f>Functional!F108</f>
        <v>21676.533338961999</v>
      </c>
      <c r="G87" s="26">
        <f>Functional!G108</f>
        <v>21543.831810106683</v>
      </c>
      <c r="H87" s="26">
        <f>Functional!H108</f>
        <v>21303.436282031449</v>
      </c>
      <c r="I87" s="26">
        <f>Functional!I108</f>
        <v>21387.123716701055</v>
      </c>
      <c r="J87" s="26">
        <f>Functional!J108</f>
        <v>21481.376618045637</v>
      </c>
      <c r="K87" s="26">
        <f>Functional!K108</f>
        <v>20938.235919531766</v>
      </c>
      <c r="L87" s="26">
        <f>Functional!L108</f>
        <v>21317.884398115984</v>
      </c>
      <c r="M87" s="26">
        <f>Functional!M108</f>
        <v>20805.158710452357</v>
      </c>
      <c r="N87" s="26">
        <f>Functional!N108</f>
        <v>20921.318950351317</v>
      </c>
      <c r="P87" s="26">
        <f t="shared" si="50"/>
        <v>70689.095283633011</v>
      </c>
      <c r="Q87" s="26">
        <f t="shared" si="51"/>
        <v>64523.801431100132</v>
      </c>
      <c r="R87" s="26">
        <f t="shared" si="52"/>
        <v>63806.736254278454</v>
      </c>
      <c r="S87" s="26">
        <f t="shared" si="53"/>
        <v>63044.362058919651</v>
      </c>
      <c r="T87" s="33"/>
      <c r="U87" s="26">
        <f t="shared" si="54"/>
        <v>262063.99502793126</v>
      </c>
    </row>
    <row r="88" spans="2:21" ht="15" customHeight="1" x14ac:dyDescent="0.2">
      <c r="B88" s="121" t="s">
        <v>92</v>
      </c>
      <c r="C88" s="32">
        <f>Functional!C109</f>
        <v>11637.177075000001</v>
      </c>
      <c r="D88" s="32">
        <f>Functional!D109</f>
        <v>11811.534865636215</v>
      </c>
      <c r="E88" s="32">
        <f>Functional!E109</f>
        <v>11895.835701180287</v>
      </c>
      <c r="F88" s="32">
        <f>Functional!F109</f>
        <v>10838.266669481</v>
      </c>
      <c r="G88" s="32">
        <f>Functional!G109</f>
        <v>10771.915905053342</v>
      </c>
      <c r="H88" s="32">
        <f>Functional!H109</f>
        <v>10651.718141015725</v>
      </c>
      <c r="I88" s="32">
        <f>Functional!I109</f>
        <v>10693.561858350527</v>
      </c>
      <c r="J88" s="32">
        <f>Functional!J109</f>
        <v>10740.688309022818</v>
      </c>
      <c r="K88" s="32">
        <f>Functional!K109</f>
        <v>10469.117959765883</v>
      </c>
      <c r="L88" s="32">
        <f>Functional!L109</f>
        <v>10658.942199057992</v>
      </c>
      <c r="M88" s="32">
        <f>Functional!M109</f>
        <v>10402.579355226178</v>
      </c>
      <c r="N88" s="32">
        <f>Functional!N109</f>
        <v>10460.659475175658</v>
      </c>
      <c r="P88" s="32">
        <f t="shared" si="50"/>
        <v>35344.547641816505</v>
      </c>
      <c r="Q88" s="32">
        <f t="shared" si="51"/>
        <v>32261.900715550066</v>
      </c>
      <c r="R88" s="32">
        <f t="shared" si="52"/>
        <v>31903.368127139227</v>
      </c>
      <c r="S88" s="32">
        <f t="shared" si="53"/>
        <v>31522.181029459825</v>
      </c>
      <c r="T88" s="33"/>
      <c r="U88" s="32">
        <f t="shared" si="54"/>
        <v>131031.99751396563</v>
      </c>
    </row>
    <row r="89" spans="2:21" ht="15" customHeight="1" x14ac:dyDescent="0.2">
      <c r="B89" s="23" t="s">
        <v>93</v>
      </c>
      <c r="C89" s="28">
        <f>Functional!C110</f>
        <v>232743.54150000002</v>
      </c>
      <c r="D89" s="28">
        <f>Functional!D110</f>
        <v>236230.69731272428</v>
      </c>
      <c r="E89" s="28">
        <f>Functional!E110</f>
        <v>237916.71402360575</v>
      </c>
      <c r="F89" s="28">
        <f>Functional!F110</f>
        <v>216765.33338961998</v>
      </c>
      <c r="G89" s="28">
        <f>Functional!G110</f>
        <v>215438.31810106683</v>
      </c>
      <c r="H89" s="28">
        <f>Functional!H110</f>
        <v>213034.36282031448</v>
      </c>
      <c r="I89" s="28">
        <f>Functional!I110</f>
        <v>213871.23716701052</v>
      </c>
      <c r="J89" s="28">
        <f>Functional!J110</f>
        <v>214813.76618045635</v>
      </c>
      <c r="K89" s="28">
        <f>Functional!K110</f>
        <v>209382.35919531764</v>
      </c>
      <c r="L89" s="28">
        <f>Functional!L110</f>
        <v>213178.84398115982</v>
      </c>
      <c r="M89" s="28">
        <f>Functional!M110</f>
        <v>208051.58710452355</v>
      </c>
      <c r="N89" s="28">
        <f>Functional!N110</f>
        <v>209213.18950351316</v>
      </c>
      <c r="P89" s="28">
        <f t="shared" si="50"/>
        <v>706890.95283633005</v>
      </c>
      <c r="Q89" s="28">
        <f t="shared" si="51"/>
        <v>645238.01431100129</v>
      </c>
      <c r="R89" s="28">
        <f t="shared" si="52"/>
        <v>638067.36254278454</v>
      </c>
      <c r="S89" s="28">
        <f t="shared" si="53"/>
        <v>630443.62058919657</v>
      </c>
      <c r="T89" s="54"/>
      <c r="U89" s="28">
        <f t="shared" si="54"/>
        <v>2620639.9502793122</v>
      </c>
    </row>
    <row r="90" spans="2:21" ht="15" customHeight="1" x14ac:dyDescent="0.2">
      <c r="B90"/>
    </row>
    <row r="91" spans="2:21" ht="15" customHeight="1" x14ac:dyDescent="0.2">
      <c r="B91" s="23" t="s">
        <v>96</v>
      </c>
      <c r="C91" s="28">
        <f>Functional!C112</f>
        <v>2421386.7570386087</v>
      </c>
      <c r="D91" s="28">
        <f>Functional!D112</f>
        <v>2461026.3267576252</v>
      </c>
      <c r="E91" s="28">
        <f>Functional!E112</f>
        <v>2456344.7071032305</v>
      </c>
      <c r="F91" s="28">
        <f>Functional!F112</f>
        <v>2778822.442063279</v>
      </c>
      <c r="G91" s="28">
        <f>Functional!G112</f>
        <v>2741642.6355656576</v>
      </c>
      <c r="H91" s="28">
        <f>Functional!H112</f>
        <v>2708038.3969749911</v>
      </c>
      <c r="I91" s="28">
        <f>Functional!I112</f>
        <v>2728767.6388511998</v>
      </c>
      <c r="J91" s="28">
        <f>Functional!J112</f>
        <v>2728110.6781096635</v>
      </c>
      <c r="K91" s="28">
        <f>Functional!K112</f>
        <v>2661684.0700638522</v>
      </c>
      <c r="L91" s="28">
        <f>Functional!L112</f>
        <v>2704806.5991199901</v>
      </c>
      <c r="M91" s="28">
        <f>Functional!M112</f>
        <v>2635969.414996691</v>
      </c>
      <c r="N91" s="28">
        <f>Functional!N112</f>
        <v>2646429.2612349689</v>
      </c>
      <c r="P91" s="28">
        <f>P82-P89</f>
        <v>7338757.7908994658</v>
      </c>
      <c r="Q91" s="28">
        <f t="shared" ref="Q91:S91" si="55">Q82-Q89</f>
        <v>8228503.4746039277</v>
      </c>
      <c r="R91" s="28">
        <f t="shared" si="55"/>
        <v>8118562.3870247127</v>
      </c>
      <c r="S91" s="28">
        <f t="shared" si="55"/>
        <v>7987205.275351651</v>
      </c>
      <c r="T91" s="28"/>
      <c r="U91" s="28">
        <f t="shared" ref="U91" si="56">U82-U89</f>
        <v>31673028.927879766</v>
      </c>
    </row>
    <row r="92" spans="2:21" ht="15" customHeight="1" x14ac:dyDescent="0.2">
      <c r="B92" s="23" t="s">
        <v>97</v>
      </c>
      <c r="C92" s="71">
        <f>Functional!C113</f>
        <v>0.40664820842028865</v>
      </c>
      <c r="D92" s="71">
        <f>Functional!D113</f>
        <v>0.40720421659100747</v>
      </c>
      <c r="E92" s="71">
        <f>Functional!E113</f>
        <v>0.40354939315872485</v>
      </c>
      <c r="F92" s="71">
        <f>Functional!F113</f>
        <v>0.45300254934533862</v>
      </c>
      <c r="G92" s="71">
        <f>Functional!G113</f>
        <v>0.44969449570031672</v>
      </c>
      <c r="H92" s="71">
        <f>Functional!H113</f>
        <v>0.44919491657136595</v>
      </c>
      <c r="I92" s="71">
        <f>Functional!I113</f>
        <v>0.45086222594198638</v>
      </c>
      <c r="J92" s="71">
        <f>Functional!J113</f>
        <v>0.44877592691790863</v>
      </c>
      <c r="K92" s="71">
        <f>Functional!K113</f>
        <v>0.44920656327168601</v>
      </c>
      <c r="L92" s="71">
        <f>Functional!L113</f>
        <v>0.44835476639300181</v>
      </c>
      <c r="M92" s="71">
        <f>Functional!M113</f>
        <v>0.44771228383343981</v>
      </c>
      <c r="N92" s="71">
        <f>Functional!N113</f>
        <v>0.44699318922571918</v>
      </c>
      <c r="P92" s="71">
        <f>P91/P59</f>
        <v>0.40579105535575194</v>
      </c>
      <c r="Q92" s="71">
        <f t="shared" ref="Q92:U92" si="57">Q91/Q59</f>
        <v>0.45064088109032135</v>
      </c>
      <c r="R92" s="71">
        <f t="shared" si="57"/>
        <v>0.44961653880401331</v>
      </c>
      <c r="S92" s="71">
        <f t="shared" si="57"/>
        <v>0.44769090145019369</v>
      </c>
      <c r="T92" s="71"/>
      <c r="U92" s="71">
        <f t="shared" si="57"/>
        <v>0.43842864149346006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Cover</vt:lpstr>
      <vt:lpstr>BVA - Natural</vt:lpstr>
      <vt:lpstr>BVA - Functional</vt:lpstr>
      <vt:lpstr>Natural View --&gt;</vt:lpstr>
      <vt:lpstr>NatEndView</vt:lpstr>
      <vt:lpstr>NatPriorFcst</vt:lpstr>
      <vt:lpstr>NatBudget</vt:lpstr>
      <vt:lpstr>Functional View --&gt;</vt:lpstr>
      <vt:lpstr>FuncEndView</vt:lpstr>
      <vt:lpstr>FuncPriorFcst</vt:lpstr>
      <vt:lpstr>FuncBudget</vt:lpstr>
      <vt:lpstr>Scenario Modeling --&gt;</vt:lpstr>
      <vt:lpstr>Nat View - Data-Driven</vt:lpstr>
      <vt:lpstr>Natural Data-Driven</vt:lpstr>
      <vt:lpstr>Func View - Data-Driven</vt:lpstr>
      <vt:lpstr>Functional Data-Driven</vt:lpstr>
      <vt:lpstr>Admin --&gt;</vt:lpstr>
      <vt:lpstr>Natural</vt:lpstr>
      <vt:lpstr>Functional</vt:lpstr>
      <vt:lpstr>DB Vars</vt:lpstr>
      <vt:lpstr>Natural View - Plan Settings</vt:lpstr>
      <vt:lpstr>Natural (ORIGINAL VALUES)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P</dc:creator>
  <cp:lastModifiedBy>Vince P</cp:lastModifiedBy>
  <cp:lastPrinted>2023-02-03T02:28:22Z</cp:lastPrinted>
  <dcterms:created xsi:type="dcterms:W3CDTF">2023-02-01T00:29:30Z</dcterms:created>
  <dcterms:modified xsi:type="dcterms:W3CDTF">2023-02-03T04:03:51Z</dcterms:modified>
</cp:coreProperties>
</file>