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b14b852b9884f8/Desktop/Website Stuff/Website Models (Less than 30MB)/"/>
    </mc:Choice>
  </mc:AlternateContent>
  <xr:revisionPtr revIDLastSave="0" documentId="8_{E876877D-1D84-47C1-8017-7750ED4F6E47}" xr6:coauthVersionLast="47" xr6:coauthVersionMax="47" xr10:uidLastSave="{00000000-0000-0000-0000-000000000000}"/>
  <bookViews>
    <workbookView xWindow="28680" yWindow="-120" windowWidth="29040" windowHeight="16440" tabRatio="943" xr2:uid="{FCC07554-9184-4D3E-B5A3-C23E5C9FE69D}"/>
  </bookViews>
  <sheets>
    <sheet name="Cover" sheetId="19" r:id="rId1"/>
    <sheet name="Summary View" sheetId="13" r:id="rId2"/>
    <sheet name="Comparison --&gt;" sheetId="14" r:id="rId3"/>
    <sheet name="Prof Svcs - Current" sheetId="3" r:id="rId4"/>
    <sheet name="Prof Svcs - Prior" sheetId="4" r:id="rId5"/>
    <sheet name="Prof Svcs - Plan" sheetId="2" r:id="rId6"/>
    <sheet name="Scenarios --&gt;" sheetId="23" r:id="rId7"/>
    <sheet name="Data-Driven" sheetId="22" r:id="rId8"/>
    <sheet name="Prof Svcs - Data-Driven" sheetId="12" r:id="rId9"/>
    <sheet name="Services Stats --&gt;" sheetId="5" r:id="rId10"/>
    <sheet name="Backlog Details" sheetId="21" r:id="rId11"/>
    <sheet name="Consultant Stats" sheetId="7" r:id="rId12"/>
    <sheet name="Specialist Stats" sheetId="8" r:id="rId13"/>
    <sheet name="Admin --&gt;" sheetId="15" r:id="rId14"/>
    <sheet name="PS Roster" sheetId="9" r:id="rId15"/>
    <sheet name="Current" sheetId="1" r:id="rId16"/>
    <sheet name="Utilization Data" sheetId="16" r:id="rId17"/>
  </sheets>
  <definedNames>
    <definedName name="_xlnm._FilterDatabase" localSheetId="14" hidden="1">'PS Roster'!$A$1:$N$36</definedName>
    <definedName name="_xlnm._FilterDatabase" localSheetId="16" hidden="1">'Utilization Data'!$A$1:$H$287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22" l="1"/>
  <c r="M46" i="22"/>
  <c r="L46" i="22"/>
  <c r="K46" i="22"/>
  <c r="J46" i="22"/>
  <c r="I46" i="22"/>
  <c r="H46" i="22"/>
  <c r="G46" i="22"/>
  <c r="F46" i="22"/>
  <c r="E46" i="22"/>
  <c r="D46" i="22"/>
  <c r="C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M43" i="22" s="1"/>
  <c r="L44" i="22"/>
  <c r="K44" i="22"/>
  <c r="K43" i="22" s="1"/>
  <c r="J44" i="22"/>
  <c r="I44" i="22"/>
  <c r="H44" i="22"/>
  <c r="G44" i="22"/>
  <c r="F44" i="22"/>
  <c r="E44" i="22"/>
  <c r="E43" i="22" s="1"/>
  <c r="D44" i="22"/>
  <c r="C44" i="22"/>
  <c r="C43" i="22" s="1"/>
  <c r="N43" i="22"/>
  <c r="L43" i="22"/>
  <c r="J43" i="22"/>
  <c r="I43" i="22"/>
  <c r="H43" i="22"/>
  <c r="G43" i="22"/>
  <c r="F43" i="22"/>
  <c r="D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I40" i="22" s="1"/>
  <c r="I47" i="22" s="1"/>
  <c r="H41" i="22"/>
  <c r="G41" i="22"/>
  <c r="G40" i="22" s="1"/>
  <c r="G47" i="22" s="1"/>
  <c r="F41" i="22"/>
  <c r="E41" i="22"/>
  <c r="D41" i="22"/>
  <c r="C41" i="22"/>
  <c r="N40" i="22"/>
  <c r="N47" i="22" s="1"/>
  <c r="M40" i="22"/>
  <c r="M47" i="22" s="1"/>
  <c r="L40" i="22"/>
  <c r="L47" i="22" s="1"/>
  <c r="K40" i="22"/>
  <c r="K47" i="22" s="1"/>
  <c r="J40" i="22"/>
  <c r="J47" i="22" s="1"/>
  <c r="H40" i="22"/>
  <c r="H47" i="22" s="1"/>
  <c r="F40" i="22"/>
  <c r="F47" i="22" s="1"/>
  <c r="E40" i="22"/>
  <c r="E47" i="22" s="1"/>
  <c r="D40" i="22"/>
  <c r="D47" i="22" s="1"/>
  <c r="C40" i="22"/>
  <c r="C47" i="22" s="1"/>
  <c r="N23" i="22"/>
  <c r="M23" i="22"/>
  <c r="L23" i="22"/>
  <c r="K23" i="22"/>
  <c r="J23" i="22"/>
  <c r="I23" i="22"/>
  <c r="H23" i="22"/>
  <c r="G23" i="22"/>
  <c r="F23" i="22"/>
  <c r="E23" i="22"/>
  <c r="D23" i="22"/>
  <c r="C23" i="22"/>
  <c r="N20" i="22"/>
  <c r="N27" i="22" s="1"/>
  <c r="M20" i="22"/>
  <c r="M27" i="22" s="1"/>
  <c r="L20" i="22"/>
  <c r="L27" i="22" s="1"/>
  <c r="K20" i="22"/>
  <c r="K27" i="22" s="1"/>
  <c r="J20" i="22"/>
  <c r="J27" i="22" s="1"/>
  <c r="I20" i="22"/>
  <c r="I27" i="22" s="1"/>
  <c r="H20" i="22"/>
  <c r="H27" i="22" s="1"/>
  <c r="G20" i="22"/>
  <c r="G27" i="22" s="1"/>
  <c r="F20" i="22"/>
  <c r="F27" i="22" s="1"/>
  <c r="E20" i="22"/>
  <c r="E27" i="22" s="1"/>
  <c r="D20" i="22"/>
  <c r="D27" i="22" s="1"/>
  <c r="C20" i="22"/>
  <c r="C27" i="22" s="1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C17" i="22" s="1"/>
  <c r="S12" i="22"/>
  <c r="S11" i="22"/>
  <c r="S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S9" i="22"/>
  <c r="N9" i="22"/>
  <c r="M9" i="22"/>
  <c r="L9" i="22"/>
  <c r="K9" i="22"/>
  <c r="J9" i="22"/>
  <c r="I9" i="22"/>
  <c r="H9" i="22"/>
  <c r="G9" i="22"/>
  <c r="F9" i="22"/>
  <c r="E9" i="22"/>
  <c r="D9" i="22"/>
  <c r="C9" i="22"/>
  <c r="N8" i="22"/>
  <c r="M8" i="22"/>
  <c r="L8" i="22"/>
  <c r="K8" i="22"/>
  <c r="J8" i="22"/>
  <c r="I8" i="22"/>
  <c r="H8" i="22"/>
  <c r="G8" i="22"/>
  <c r="F8" i="22"/>
  <c r="E8" i="22"/>
  <c r="D8" i="22"/>
  <c r="C8" i="22"/>
  <c r="S7" i="22"/>
  <c r="D4" i="22"/>
  <c r="D11" i="22" s="1"/>
  <c r="C4" i="22"/>
  <c r="C11" i="22" s="1"/>
  <c r="D3" i="22"/>
  <c r="E3" i="22" s="1"/>
  <c r="C4" i="21"/>
  <c r="P18" i="21"/>
  <c r="P12" i="21"/>
  <c r="U12" i="21" s="1"/>
  <c r="D24" i="21"/>
  <c r="E24" i="21"/>
  <c r="F24" i="21"/>
  <c r="G24" i="21"/>
  <c r="H24" i="21"/>
  <c r="I24" i="21"/>
  <c r="J24" i="21"/>
  <c r="K24" i="21"/>
  <c r="L24" i="21"/>
  <c r="M24" i="21"/>
  <c r="N24" i="21"/>
  <c r="D25" i="21"/>
  <c r="E25" i="21"/>
  <c r="F25" i="21"/>
  <c r="G25" i="21"/>
  <c r="H25" i="21"/>
  <c r="I25" i="21"/>
  <c r="J25" i="21"/>
  <c r="K25" i="21"/>
  <c r="L25" i="21"/>
  <c r="M25" i="21"/>
  <c r="N25" i="21"/>
  <c r="D26" i="21"/>
  <c r="E26" i="21"/>
  <c r="F26" i="21"/>
  <c r="G26" i="21"/>
  <c r="H26" i="21"/>
  <c r="I26" i="21"/>
  <c r="J26" i="21"/>
  <c r="K26" i="21"/>
  <c r="L26" i="21"/>
  <c r="M26" i="21"/>
  <c r="N26" i="21"/>
  <c r="D27" i="21"/>
  <c r="E27" i="21"/>
  <c r="F27" i="21"/>
  <c r="G27" i="21"/>
  <c r="H27" i="21"/>
  <c r="I27" i="21"/>
  <c r="J27" i="21"/>
  <c r="K27" i="21"/>
  <c r="L27" i="21"/>
  <c r="M27" i="21"/>
  <c r="N27" i="21"/>
  <c r="D28" i="21"/>
  <c r="E28" i="21"/>
  <c r="F28" i="21"/>
  <c r="G28" i="21"/>
  <c r="H28" i="21"/>
  <c r="I28" i="21"/>
  <c r="J28" i="21"/>
  <c r="K28" i="21"/>
  <c r="L28" i="21"/>
  <c r="M28" i="21"/>
  <c r="N28" i="21"/>
  <c r="D29" i="21"/>
  <c r="E29" i="21"/>
  <c r="F29" i="21"/>
  <c r="G29" i="21"/>
  <c r="H29" i="21"/>
  <c r="I29" i="21"/>
  <c r="J29" i="21"/>
  <c r="K29" i="21"/>
  <c r="L29" i="21"/>
  <c r="M29" i="21"/>
  <c r="N29" i="21"/>
  <c r="D30" i="21"/>
  <c r="E30" i="21"/>
  <c r="F30" i="21"/>
  <c r="G30" i="21"/>
  <c r="H30" i="21"/>
  <c r="I30" i="21"/>
  <c r="J30" i="21"/>
  <c r="K30" i="21"/>
  <c r="L30" i="21"/>
  <c r="M30" i="21"/>
  <c r="N30" i="21"/>
  <c r="D31" i="21"/>
  <c r="E31" i="21"/>
  <c r="F31" i="21"/>
  <c r="G31" i="21"/>
  <c r="H31" i="21"/>
  <c r="I31" i="21"/>
  <c r="J31" i="21"/>
  <c r="K31" i="21"/>
  <c r="L31" i="21"/>
  <c r="M31" i="21"/>
  <c r="N31" i="21"/>
  <c r="C31" i="21"/>
  <c r="C30" i="21"/>
  <c r="C29" i="21"/>
  <c r="C28" i="21"/>
  <c r="C27" i="21"/>
  <c r="C26" i="21"/>
  <c r="C25" i="21"/>
  <c r="C24" i="21"/>
  <c r="D3" i="21"/>
  <c r="E3" i="21" s="1"/>
  <c r="F3" i="21" s="1"/>
  <c r="G3" i="21" s="1"/>
  <c r="H3" i="21" s="1"/>
  <c r="I3" i="21" s="1"/>
  <c r="J3" i="21" s="1"/>
  <c r="K3" i="21" s="1"/>
  <c r="L3" i="21" s="1"/>
  <c r="M3" i="21" s="1"/>
  <c r="N3" i="21" s="1"/>
  <c r="P4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S67" i="21"/>
  <c r="R67" i="21"/>
  <c r="Q67" i="21"/>
  <c r="P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S58" i="21"/>
  <c r="R58" i="21"/>
  <c r="Q58" i="21"/>
  <c r="P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F3" i="8"/>
  <c r="G3" i="8"/>
  <c r="H3" i="8"/>
  <c r="F4" i="8"/>
  <c r="G4" i="8"/>
  <c r="H4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D17" i="13"/>
  <c r="E17" i="13"/>
  <c r="C17" i="13"/>
  <c r="D12" i="13"/>
  <c r="E12" i="13"/>
  <c r="C12" i="13"/>
  <c r="K24" i="3"/>
  <c r="C24" i="12"/>
  <c r="I14" i="12"/>
  <c r="K14" i="12"/>
  <c r="P34" i="12"/>
  <c r="U34" i="12" s="1"/>
  <c r="N28" i="12"/>
  <c r="M28" i="12"/>
  <c r="L28" i="12"/>
  <c r="K28" i="12"/>
  <c r="J28" i="12"/>
  <c r="I28" i="12"/>
  <c r="H28" i="12"/>
  <c r="G28" i="12"/>
  <c r="F28" i="12"/>
  <c r="E28" i="12"/>
  <c r="D28" i="12"/>
  <c r="C28" i="12"/>
  <c r="S27" i="12"/>
  <c r="U27" i="12" s="1"/>
  <c r="R27" i="12"/>
  <c r="Q27" i="12"/>
  <c r="P27" i="12"/>
  <c r="N24" i="12"/>
  <c r="M24" i="12"/>
  <c r="I24" i="12"/>
  <c r="H24" i="12"/>
  <c r="G24" i="12"/>
  <c r="F24" i="12"/>
  <c r="E24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S17" i="12"/>
  <c r="U17" i="12" s="1"/>
  <c r="R17" i="12"/>
  <c r="Q17" i="12"/>
  <c r="P17" i="12"/>
  <c r="N14" i="12"/>
  <c r="M14" i="12"/>
  <c r="L14" i="12"/>
  <c r="H14" i="12"/>
  <c r="G14" i="12"/>
  <c r="F14" i="12"/>
  <c r="E14" i="12"/>
  <c r="D14" i="12"/>
  <c r="C14" i="12"/>
  <c r="D3" i="12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P34" i="3"/>
  <c r="U34" i="3" s="1"/>
  <c r="N28" i="3"/>
  <c r="M28" i="3"/>
  <c r="L28" i="3"/>
  <c r="K28" i="3"/>
  <c r="J28" i="3"/>
  <c r="I28" i="3"/>
  <c r="H28" i="3"/>
  <c r="G28" i="3"/>
  <c r="F28" i="3"/>
  <c r="E28" i="3"/>
  <c r="D28" i="3"/>
  <c r="C28" i="3"/>
  <c r="S27" i="3"/>
  <c r="R27" i="3"/>
  <c r="Q27" i="3"/>
  <c r="P27" i="3"/>
  <c r="U27" i="3" s="1"/>
  <c r="N24" i="3"/>
  <c r="M24" i="3"/>
  <c r="L24" i="3"/>
  <c r="J24" i="3"/>
  <c r="I24" i="3"/>
  <c r="H24" i="3"/>
  <c r="G24" i="3"/>
  <c r="F24" i="3"/>
  <c r="E24" i="3"/>
  <c r="D24" i="3"/>
  <c r="N18" i="3"/>
  <c r="M18" i="3"/>
  <c r="L18" i="3"/>
  <c r="K18" i="3"/>
  <c r="J18" i="3"/>
  <c r="I18" i="3"/>
  <c r="H18" i="3"/>
  <c r="G18" i="3"/>
  <c r="F18" i="3"/>
  <c r="E18" i="3"/>
  <c r="D18" i="3"/>
  <c r="C18" i="3"/>
  <c r="S17" i="3"/>
  <c r="R17" i="3"/>
  <c r="Q17" i="3"/>
  <c r="P17" i="3"/>
  <c r="N14" i="3"/>
  <c r="M14" i="3"/>
  <c r="L14" i="3"/>
  <c r="K14" i="3"/>
  <c r="J14" i="3"/>
  <c r="I14" i="3"/>
  <c r="H14" i="3"/>
  <c r="G14" i="3"/>
  <c r="F14" i="3"/>
  <c r="E14" i="3"/>
  <c r="D14" i="3"/>
  <c r="C14" i="3"/>
  <c r="D3" i="3"/>
  <c r="E3" i="3" s="1"/>
  <c r="F3" i="3" s="1"/>
  <c r="G3" i="3" s="1"/>
  <c r="H3" i="3" s="1"/>
  <c r="I3" i="3" s="1"/>
  <c r="J3" i="3" s="1"/>
  <c r="K3" i="3" s="1"/>
  <c r="L3" i="3" s="1"/>
  <c r="M3" i="3" s="1"/>
  <c r="N3" i="3" s="1"/>
  <c r="S12" i="1"/>
  <c r="S11" i="1"/>
  <c r="S10" i="1"/>
  <c r="S9" i="1"/>
  <c r="C4" i="1"/>
  <c r="C41" i="3" s="1"/>
  <c r="D2" i="8"/>
  <c r="E2" i="8" s="1"/>
  <c r="F2" i="8" s="1"/>
  <c r="G2" i="8" s="1"/>
  <c r="H2" i="8" s="1"/>
  <c r="I2" i="8" s="1"/>
  <c r="J2" i="8" s="1"/>
  <c r="K2" i="8" s="1"/>
  <c r="L2" i="8" s="1"/>
  <c r="M2" i="8" s="1"/>
  <c r="N2" i="8" s="1"/>
  <c r="D2" i="7"/>
  <c r="E2" i="7" s="1"/>
  <c r="F2" i="7" s="1"/>
  <c r="G2" i="7" s="1"/>
  <c r="H2" i="7" s="1"/>
  <c r="I2" i="7" s="1"/>
  <c r="J2" i="7" s="1"/>
  <c r="K2" i="7" s="1"/>
  <c r="L2" i="7" s="1"/>
  <c r="M2" i="7" s="1"/>
  <c r="N2" i="7" s="1"/>
  <c r="D39" i="9"/>
  <c r="E39" i="9"/>
  <c r="F39" i="9"/>
  <c r="G39" i="9"/>
  <c r="H39" i="9"/>
  <c r="I39" i="9"/>
  <c r="J39" i="9"/>
  <c r="K39" i="9"/>
  <c r="L39" i="9"/>
  <c r="M39" i="9"/>
  <c r="N39" i="9"/>
  <c r="C39" i="9"/>
  <c r="D38" i="9"/>
  <c r="E38" i="9"/>
  <c r="F38" i="9"/>
  <c r="G38" i="9"/>
  <c r="H38" i="9"/>
  <c r="I38" i="9"/>
  <c r="J38" i="9"/>
  <c r="K38" i="9"/>
  <c r="L38" i="9"/>
  <c r="M38" i="9"/>
  <c r="N38" i="9"/>
  <c r="C38" i="9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U17" i="3" l="1"/>
  <c r="F3" i="22"/>
  <c r="E4" i="22"/>
  <c r="D17" i="22"/>
  <c r="U18" i="21"/>
  <c r="P26" i="21"/>
  <c r="P25" i="21"/>
  <c r="Q30" i="21"/>
  <c r="R27" i="21"/>
  <c r="R26" i="21"/>
  <c r="R29" i="21"/>
  <c r="P28" i="21"/>
  <c r="R31" i="21"/>
  <c r="S30" i="21"/>
  <c r="Q24" i="21"/>
  <c r="P30" i="21"/>
  <c r="Q29" i="21"/>
  <c r="R28" i="21"/>
  <c r="S27" i="21"/>
  <c r="P27" i="21"/>
  <c r="Q26" i="21"/>
  <c r="R25" i="21"/>
  <c r="S24" i="21"/>
  <c r="R30" i="21"/>
  <c r="Q28" i="21"/>
  <c r="S31" i="21"/>
  <c r="P31" i="21"/>
  <c r="Q25" i="21"/>
  <c r="R24" i="21"/>
  <c r="Q31" i="21"/>
  <c r="P29" i="21"/>
  <c r="J61" i="21"/>
  <c r="J14" i="21" s="1"/>
  <c r="J6" i="21" s="1"/>
  <c r="S26" i="21"/>
  <c r="S28" i="21"/>
  <c r="P24" i="21"/>
  <c r="S29" i="21"/>
  <c r="Q27" i="21"/>
  <c r="S25" i="21"/>
  <c r="S57" i="21"/>
  <c r="D70" i="21"/>
  <c r="D20" i="21" s="1"/>
  <c r="D7" i="21" s="1"/>
  <c r="D61" i="21"/>
  <c r="D14" i="21" s="1"/>
  <c r="D6" i="21" s="1"/>
  <c r="S56" i="21"/>
  <c r="U57" i="21"/>
  <c r="M70" i="21"/>
  <c r="M20" i="21" s="1"/>
  <c r="M7" i="21" s="1"/>
  <c r="R66" i="21"/>
  <c r="I61" i="21"/>
  <c r="U58" i="21"/>
  <c r="Q65" i="21"/>
  <c r="J70" i="21"/>
  <c r="J20" i="21" s="1"/>
  <c r="J7" i="21" s="1"/>
  <c r="Q56" i="21"/>
  <c r="P66" i="21"/>
  <c r="P57" i="21"/>
  <c r="K70" i="21"/>
  <c r="K20" i="21" s="1"/>
  <c r="K7" i="21" s="1"/>
  <c r="I70" i="21"/>
  <c r="I20" i="21" s="1"/>
  <c r="E70" i="21"/>
  <c r="E20" i="21" s="1"/>
  <c r="E7" i="21" s="1"/>
  <c r="H61" i="21"/>
  <c r="H14" i="21" s="1"/>
  <c r="H6" i="21" s="1"/>
  <c r="C61" i="21"/>
  <c r="Q66" i="21"/>
  <c r="U67" i="21"/>
  <c r="P56" i="21"/>
  <c r="K61" i="21"/>
  <c r="K14" i="21" s="1"/>
  <c r="K6" i="21" s="1"/>
  <c r="N61" i="21"/>
  <c r="N14" i="21" s="1"/>
  <c r="N6" i="21" s="1"/>
  <c r="L61" i="21"/>
  <c r="G70" i="21"/>
  <c r="G20" i="21" s="1"/>
  <c r="U4" i="21"/>
  <c r="U56" i="21"/>
  <c r="S66" i="21"/>
  <c r="F61" i="21"/>
  <c r="F14" i="21" s="1"/>
  <c r="F6" i="21" s="1"/>
  <c r="P65" i="21"/>
  <c r="S65" i="21"/>
  <c r="L70" i="21"/>
  <c r="L20" i="21" s="1"/>
  <c r="E61" i="21"/>
  <c r="E14" i="21" s="1"/>
  <c r="E6" i="21" s="1"/>
  <c r="M61" i="21"/>
  <c r="M14" i="21" s="1"/>
  <c r="M6" i="21" s="1"/>
  <c r="R56" i="21"/>
  <c r="F70" i="21"/>
  <c r="F20" i="21" s="1"/>
  <c r="F7" i="21" s="1"/>
  <c r="N70" i="21"/>
  <c r="N20" i="21" s="1"/>
  <c r="N7" i="21" s="1"/>
  <c r="C70" i="21"/>
  <c r="C20" i="21" s="1"/>
  <c r="C7" i="21" s="1"/>
  <c r="G61" i="21"/>
  <c r="G14" i="21" s="1"/>
  <c r="G6" i="21" s="1"/>
  <c r="R65" i="21"/>
  <c r="H70" i="21"/>
  <c r="H20" i="21" s="1"/>
  <c r="H7" i="21" s="1"/>
  <c r="Q57" i="21"/>
  <c r="R57" i="21"/>
  <c r="F19" i="7"/>
  <c r="H24" i="7"/>
  <c r="H12" i="7"/>
  <c r="F26" i="7"/>
  <c r="F18" i="7"/>
  <c r="F10" i="7"/>
  <c r="G28" i="7"/>
  <c r="G24" i="7"/>
  <c r="G20" i="7"/>
  <c r="G16" i="7"/>
  <c r="G12" i="7"/>
  <c r="G8" i="7"/>
  <c r="G4" i="7"/>
  <c r="F11" i="7"/>
  <c r="H20" i="7"/>
  <c r="H8" i="7"/>
  <c r="F25" i="7"/>
  <c r="F17" i="7"/>
  <c r="F9" i="7"/>
  <c r="H27" i="7"/>
  <c r="H23" i="7"/>
  <c r="H19" i="7"/>
  <c r="H15" i="7"/>
  <c r="H11" i="7"/>
  <c r="H7" i="7"/>
  <c r="H3" i="7"/>
  <c r="F24" i="7"/>
  <c r="F16" i="7"/>
  <c r="F8" i="7"/>
  <c r="G27" i="7"/>
  <c r="G23" i="7"/>
  <c r="G19" i="7"/>
  <c r="G15" i="7"/>
  <c r="G11" i="7"/>
  <c r="G7" i="7"/>
  <c r="G3" i="7"/>
  <c r="F27" i="7"/>
  <c r="H28" i="7"/>
  <c r="H16" i="7"/>
  <c r="H4" i="7"/>
  <c r="F23" i="7"/>
  <c r="F15" i="7"/>
  <c r="F7" i="7"/>
  <c r="H26" i="7"/>
  <c r="H22" i="7"/>
  <c r="H18" i="7"/>
  <c r="H14" i="7"/>
  <c r="H10" i="7"/>
  <c r="H6" i="7"/>
  <c r="F14" i="7"/>
  <c r="G26" i="7"/>
  <c r="G18" i="7"/>
  <c r="G6" i="7"/>
  <c r="F3" i="7"/>
  <c r="F21" i="7"/>
  <c r="F13" i="7"/>
  <c r="F5" i="7"/>
  <c r="H25" i="7"/>
  <c r="H21" i="7"/>
  <c r="H17" i="7"/>
  <c r="H13" i="7"/>
  <c r="H9" i="7"/>
  <c r="H5" i="7"/>
  <c r="F22" i="7"/>
  <c r="F6" i="7"/>
  <c r="G22" i="7"/>
  <c r="G14" i="7"/>
  <c r="G10" i="7"/>
  <c r="F28" i="7"/>
  <c r="F20" i="7"/>
  <c r="F12" i="7"/>
  <c r="F4" i="7"/>
  <c r="G25" i="7"/>
  <c r="G21" i="7"/>
  <c r="G17" i="7"/>
  <c r="G13" i="7"/>
  <c r="G9" i="7"/>
  <c r="G5" i="7"/>
  <c r="C25" i="12"/>
  <c r="C15" i="3"/>
  <c r="C25" i="3"/>
  <c r="C15" i="12"/>
  <c r="C41" i="12"/>
  <c r="J24" i="12"/>
  <c r="K24" i="12"/>
  <c r="D24" i="12"/>
  <c r="L24" i="12"/>
  <c r="C42" i="12"/>
  <c r="C42" i="3"/>
  <c r="C50" i="12"/>
  <c r="C50" i="3"/>
  <c r="C24" i="3"/>
  <c r="J14" i="12"/>
  <c r="D41" i="1"/>
  <c r="E41" i="1"/>
  <c r="F41" i="1"/>
  <c r="G41" i="1"/>
  <c r="H41" i="1"/>
  <c r="I41" i="1"/>
  <c r="J41" i="1"/>
  <c r="K41" i="1"/>
  <c r="L41" i="1"/>
  <c r="M41" i="1"/>
  <c r="N41" i="1"/>
  <c r="D42" i="1"/>
  <c r="E42" i="1"/>
  <c r="F42" i="1"/>
  <c r="G42" i="1"/>
  <c r="H42" i="1"/>
  <c r="I42" i="1"/>
  <c r="J42" i="1"/>
  <c r="K42" i="1"/>
  <c r="L42" i="1"/>
  <c r="M42" i="1"/>
  <c r="N42" i="1"/>
  <c r="D44" i="1"/>
  <c r="E44" i="1"/>
  <c r="F44" i="1"/>
  <c r="G44" i="1"/>
  <c r="H44" i="1"/>
  <c r="I44" i="1"/>
  <c r="J44" i="1"/>
  <c r="K44" i="1"/>
  <c r="L44" i="1"/>
  <c r="M44" i="1"/>
  <c r="N44" i="1"/>
  <c r="D45" i="1"/>
  <c r="E45" i="1"/>
  <c r="F45" i="1"/>
  <c r="G45" i="1"/>
  <c r="H45" i="1"/>
  <c r="I45" i="1"/>
  <c r="J45" i="1"/>
  <c r="K45" i="1"/>
  <c r="L45" i="1"/>
  <c r="M45" i="1"/>
  <c r="N45" i="1"/>
  <c r="D46" i="1"/>
  <c r="E46" i="1"/>
  <c r="F46" i="1"/>
  <c r="G46" i="1"/>
  <c r="H46" i="1"/>
  <c r="I46" i="1"/>
  <c r="J46" i="1"/>
  <c r="K46" i="1"/>
  <c r="L46" i="1"/>
  <c r="M46" i="1"/>
  <c r="N46" i="1"/>
  <c r="C46" i="1"/>
  <c r="C45" i="1"/>
  <c r="C44" i="1"/>
  <c r="C42" i="1"/>
  <c r="C41" i="1"/>
  <c r="D23" i="1"/>
  <c r="E23" i="1"/>
  <c r="F23" i="1"/>
  <c r="G23" i="1"/>
  <c r="H23" i="1"/>
  <c r="I23" i="1"/>
  <c r="J23" i="1"/>
  <c r="K23" i="1"/>
  <c r="L23" i="1"/>
  <c r="M23" i="1"/>
  <c r="N23" i="1"/>
  <c r="C23" i="1"/>
  <c r="D20" i="1"/>
  <c r="E20" i="1"/>
  <c r="F20" i="1"/>
  <c r="G20" i="1"/>
  <c r="H20" i="1"/>
  <c r="I20" i="1"/>
  <c r="J20" i="1"/>
  <c r="K20" i="1"/>
  <c r="L20" i="1"/>
  <c r="M20" i="1"/>
  <c r="N20" i="1"/>
  <c r="C20" i="1"/>
  <c r="E17" i="22" l="1"/>
  <c r="E11" i="22"/>
  <c r="G3" i="22"/>
  <c r="F4" i="22"/>
  <c r="C14" i="21"/>
  <c r="C6" i="21" s="1"/>
  <c r="L14" i="21"/>
  <c r="L6" i="21" s="1"/>
  <c r="I14" i="21"/>
  <c r="I6" i="21" s="1"/>
  <c r="S20" i="21"/>
  <c r="L7" i="21"/>
  <c r="R20" i="21"/>
  <c r="I7" i="21"/>
  <c r="P20" i="21"/>
  <c r="Q20" i="21"/>
  <c r="G7" i="21"/>
  <c r="Q14" i="21"/>
  <c r="C35" i="21"/>
  <c r="H51" i="21"/>
  <c r="H49" i="21"/>
  <c r="H47" i="21"/>
  <c r="H45" i="21"/>
  <c r="H52" i="21"/>
  <c r="H19" i="21" s="1"/>
  <c r="H50" i="21"/>
  <c r="H48" i="21"/>
  <c r="H46" i="21"/>
  <c r="J51" i="21"/>
  <c r="J49" i="21"/>
  <c r="J47" i="21"/>
  <c r="J45" i="21"/>
  <c r="J46" i="21"/>
  <c r="J52" i="21"/>
  <c r="J19" i="21" s="1"/>
  <c r="J50" i="21"/>
  <c r="J48" i="21"/>
  <c r="N52" i="21"/>
  <c r="N19" i="21" s="1"/>
  <c r="N50" i="21"/>
  <c r="N48" i="21"/>
  <c r="N46" i="21"/>
  <c r="N51" i="21"/>
  <c r="N49" i="21"/>
  <c r="N47" i="21"/>
  <c r="N45" i="21"/>
  <c r="F52" i="21"/>
  <c r="F19" i="21" s="1"/>
  <c r="F50" i="21"/>
  <c r="F48" i="21"/>
  <c r="F46" i="21"/>
  <c r="F51" i="21"/>
  <c r="F49" i="21"/>
  <c r="F45" i="21"/>
  <c r="F47" i="21"/>
  <c r="E52" i="21"/>
  <c r="E19" i="21" s="1"/>
  <c r="E50" i="21"/>
  <c r="E48" i="21"/>
  <c r="E46" i="21"/>
  <c r="E51" i="21"/>
  <c r="E49" i="21"/>
  <c r="E47" i="21"/>
  <c r="E45" i="21"/>
  <c r="U24" i="21"/>
  <c r="K45" i="21"/>
  <c r="K49" i="21"/>
  <c r="K52" i="21"/>
  <c r="K19" i="21" s="1"/>
  <c r="K50" i="21"/>
  <c r="K48" i="21"/>
  <c r="K46" i="21"/>
  <c r="K51" i="21"/>
  <c r="K47" i="21"/>
  <c r="C45" i="21"/>
  <c r="C51" i="21"/>
  <c r="C47" i="21"/>
  <c r="C52" i="21"/>
  <c r="C19" i="21" s="1"/>
  <c r="C50" i="21"/>
  <c r="C48" i="21"/>
  <c r="C46" i="21"/>
  <c r="C49" i="21"/>
  <c r="M52" i="21"/>
  <c r="M19" i="21" s="1"/>
  <c r="M50" i="21"/>
  <c r="M48" i="21"/>
  <c r="M46" i="21"/>
  <c r="M51" i="21"/>
  <c r="M49" i="21"/>
  <c r="M47" i="21"/>
  <c r="M45" i="21"/>
  <c r="L52" i="21"/>
  <c r="L19" i="21" s="1"/>
  <c r="L50" i="21"/>
  <c r="L48" i="21"/>
  <c r="L46" i="21"/>
  <c r="L51" i="21"/>
  <c r="L49" i="21"/>
  <c r="L47" i="21"/>
  <c r="L45" i="21"/>
  <c r="G52" i="21"/>
  <c r="G19" i="21" s="1"/>
  <c r="G48" i="21"/>
  <c r="G51" i="21"/>
  <c r="G49" i="21"/>
  <c r="G47" i="21"/>
  <c r="G45" i="21"/>
  <c r="G50" i="21"/>
  <c r="G46" i="21"/>
  <c r="I51" i="21"/>
  <c r="I49" i="21"/>
  <c r="I47" i="21"/>
  <c r="I45" i="21"/>
  <c r="I52" i="21"/>
  <c r="I19" i="21" s="1"/>
  <c r="I50" i="21"/>
  <c r="I48" i="21"/>
  <c r="I46" i="21"/>
  <c r="D52" i="21"/>
  <c r="D19" i="21" s="1"/>
  <c r="D50" i="21"/>
  <c r="D48" i="21"/>
  <c r="D46" i="21"/>
  <c r="D51" i="21"/>
  <c r="D49" i="21"/>
  <c r="D47" i="21"/>
  <c r="D45" i="21"/>
  <c r="F37" i="21"/>
  <c r="F38" i="21"/>
  <c r="F39" i="21"/>
  <c r="F42" i="21"/>
  <c r="F13" i="21" s="1"/>
  <c r="F40" i="21"/>
  <c r="F35" i="21"/>
  <c r="F36" i="21"/>
  <c r="F41" i="21"/>
  <c r="J41" i="21"/>
  <c r="J36" i="21"/>
  <c r="J39" i="21"/>
  <c r="J42" i="21"/>
  <c r="J13" i="21" s="1"/>
  <c r="J40" i="21"/>
  <c r="J35" i="21"/>
  <c r="J38" i="21"/>
  <c r="J37" i="21"/>
  <c r="U28" i="21"/>
  <c r="H39" i="21"/>
  <c r="H38" i="21"/>
  <c r="H36" i="21"/>
  <c r="H42" i="21"/>
  <c r="H13" i="21" s="1"/>
  <c r="H37" i="21"/>
  <c r="H40" i="21"/>
  <c r="H41" i="21"/>
  <c r="H35" i="21"/>
  <c r="N37" i="21"/>
  <c r="N36" i="21"/>
  <c r="N40" i="21"/>
  <c r="N35" i="21"/>
  <c r="N38" i="21"/>
  <c r="N39" i="21"/>
  <c r="N41" i="21"/>
  <c r="N42" i="21"/>
  <c r="N13" i="21" s="1"/>
  <c r="M40" i="21"/>
  <c r="M39" i="21"/>
  <c r="M37" i="21"/>
  <c r="M35" i="21"/>
  <c r="M38" i="21"/>
  <c r="M41" i="21"/>
  <c r="M42" i="21"/>
  <c r="M13" i="21" s="1"/>
  <c r="M36" i="21"/>
  <c r="K38" i="21"/>
  <c r="K39" i="21"/>
  <c r="K40" i="21"/>
  <c r="K41" i="21"/>
  <c r="K36" i="21"/>
  <c r="K37" i="21"/>
  <c r="K42" i="21"/>
  <c r="K13" i="21" s="1"/>
  <c r="K35" i="21"/>
  <c r="U30" i="21"/>
  <c r="I36" i="21"/>
  <c r="I35" i="21"/>
  <c r="I39" i="21"/>
  <c r="I42" i="21"/>
  <c r="I13" i="21" s="1"/>
  <c r="I37" i="21"/>
  <c r="I38" i="21"/>
  <c r="I41" i="21"/>
  <c r="I40" i="21"/>
  <c r="G42" i="21"/>
  <c r="G13" i="21" s="1"/>
  <c r="G35" i="21"/>
  <c r="G41" i="21"/>
  <c r="G36" i="21"/>
  <c r="G39" i="21"/>
  <c r="G37" i="21"/>
  <c r="G40" i="21"/>
  <c r="G38" i="21"/>
  <c r="E40" i="21"/>
  <c r="E41" i="21"/>
  <c r="E42" i="21"/>
  <c r="E13" i="21" s="1"/>
  <c r="E35" i="21"/>
  <c r="E38" i="21"/>
  <c r="E39" i="21"/>
  <c r="E37" i="21"/>
  <c r="E36" i="21"/>
  <c r="L35" i="21"/>
  <c r="L36" i="21"/>
  <c r="L42" i="21"/>
  <c r="L13" i="21" s="1"/>
  <c r="L40" i="21"/>
  <c r="L38" i="21"/>
  <c r="L37" i="21"/>
  <c r="L41" i="21"/>
  <c r="L39" i="21"/>
  <c r="C42" i="21"/>
  <c r="C13" i="21" s="1"/>
  <c r="C15" i="21" s="1"/>
  <c r="C39" i="21"/>
  <c r="C36" i="21"/>
  <c r="C41" i="21"/>
  <c r="C40" i="21"/>
  <c r="C37" i="21"/>
  <c r="C38" i="21"/>
  <c r="D35" i="21"/>
  <c r="D38" i="21"/>
  <c r="D41" i="21"/>
  <c r="D36" i="21"/>
  <c r="D42" i="21"/>
  <c r="D13" i="21" s="1"/>
  <c r="D40" i="21"/>
  <c r="D39" i="21"/>
  <c r="D37" i="21"/>
  <c r="U29" i="21"/>
  <c r="U31" i="21"/>
  <c r="U25" i="21"/>
  <c r="U26" i="21"/>
  <c r="U27" i="21"/>
  <c r="U66" i="21"/>
  <c r="Q55" i="21"/>
  <c r="R69" i="21"/>
  <c r="S68" i="21"/>
  <c r="P55" i="21"/>
  <c r="R59" i="21"/>
  <c r="R70" i="21"/>
  <c r="R68" i="21"/>
  <c r="P59" i="21"/>
  <c r="R64" i="21"/>
  <c r="R61" i="21"/>
  <c r="R60" i="21"/>
  <c r="S59" i="21"/>
  <c r="R55" i="21"/>
  <c r="Q69" i="21"/>
  <c r="P60" i="21"/>
  <c r="U69" i="21"/>
  <c r="U68" i="21"/>
  <c r="U64" i="21"/>
  <c r="P69" i="21"/>
  <c r="P70" i="21"/>
  <c r="P68" i="21"/>
  <c r="P64" i="21"/>
  <c r="Q61" i="21"/>
  <c r="Q60" i="21"/>
  <c r="U61" i="21"/>
  <c r="U65" i="21"/>
  <c r="U55" i="21"/>
  <c r="Q64" i="21"/>
  <c r="S61" i="21"/>
  <c r="S70" i="21"/>
  <c r="S69" i="21"/>
  <c r="S60" i="21"/>
  <c r="Q59" i="21"/>
  <c r="U60" i="21"/>
  <c r="Q70" i="21"/>
  <c r="S64" i="21"/>
  <c r="S55" i="21"/>
  <c r="U59" i="21"/>
  <c r="Q68" i="21"/>
  <c r="P61" i="21"/>
  <c r="E9" i="3"/>
  <c r="E9" i="12"/>
  <c r="F5" i="3"/>
  <c r="F5" i="12"/>
  <c r="C8" i="12"/>
  <c r="C8" i="3"/>
  <c r="D9" i="3"/>
  <c r="D9" i="12"/>
  <c r="M5" i="3"/>
  <c r="M5" i="12"/>
  <c r="H10" i="3"/>
  <c r="H10" i="12"/>
  <c r="F8" i="3"/>
  <c r="F8" i="12"/>
  <c r="D5" i="12"/>
  <c r="D5" i="3"/>
  <c r="C10" i="12"/>
  <c r="C10" i="3"/>
  <c r="G10" i="3"/>
  <c r="G10" i="12"/>
  <c r="J9" i="12"/>
  <c r="J9" i="3"/>
  <c r="M8" i="3"/>
  <c r="M8" i="12"/>
  <c r="E8" i="12"/>
  <c r="E7" i="12" s="1"/>
  <c r="E8" i="3"/>
  <c r="H6" i="12"/>
  <c r="H6" i="3"/>
  <c r="K5" i="12"/>
  <c r="K5" i="3"/>
  <c r="M9" i="3"/>
  <c r="M9" i="12"/>
  <c r="N5" i="3"/>
  <c r="N5" i="12"/>
  <c r="J6" i="12"/>
  <c r="J6" i="3"/>
  <c r="C9" i="3"/>
  <c r="C9" i="12"/>
  <c r="I6" i="12"/>
  <c r="I6" i="3"/>
  <c r="N10" i="3"/>
  <c r="N10" i="12"/>
  <c r="F10" i="3"/>
  <c r="F10" i="12"/>
  <c r="I9" i="3"/>
  <c r="I9" i="12"/>
  <c r="L8" i="12"/>
  <c r="L8" i="3"/>
  <c r="D8" i="12"/>
  <c r="D8" i="3"/>
  <c r="G6" i="3"/>
  <c r="G6" i="12"/>
  <c r="J5" i="12"/>
  <c r="J5" i="3"/>
  <c r="C6" i="12"/>
  <c r="C6" i="3"/>
  <c r="H8" i="3"/>
  <c r="H8" i="12"/>
  <c r="L9" i="3"/>
  <c r="L9" i="12"/>
  <c r="E5" i="12"/>
  <c r="E5" i="3"/>
  <c r="K9" i="12"/>
  <c r="K9" i="3"/>
  <c r="M10" i="12"/>
  <c r="M10" i="3"/>
  <c r="E10" i="12"/>
  <c r="E10" i="3"/>
  <c r="H9" i="12"/>
  <c r="H9" i="3"/>
  <c r="K8" i="12"/>
  <c r="K8" i="3"/>
  <c r="N6" i="12"/>
  <c r="N6" i="3"/>
  <c r="F6" i="3"/>
  <c r="F6" i="12"/>
  <c r="I5" i="3"/>
  <c r="I5" i="12"/>
  <c r="J10" i="12"/>
  <c r="J10" i="3"/>
  <c r="K6" i="12"/>
  <c r="K6" i="3"/>
  <c r="G8" i="3"/>
  <c r="G8" i="12"/>
  <c r="N8" i="12"/>
  <c r="N8" i="3"/>
  <c r="L5" i="3"/>
  <c r="L5" i="12"/>
  <c r="L10" i="12"/>
  <c r="L10" i="3"/>
  <c r="D10" i="12"/>
  <c r="D10" i="3"/>
  <c r="G9" i="3"/>
  <c r="G9" i="12"/>
  <c r="J8" i="3"/>
  <c r="J8" i="12"/>
  <c r="M6" i="3"/>
  <c r="M6" i="12"/>
  <c r="E6" i="12"/>
  <c r="E6" i="3"/>
  <c r="H5" i="3"/>
  <c r="H5" i="12"/>
  <c r="I10" i="3"/>
  <c r="I10" i="12"/>
  <c r="C5" i="12"/>
  <c r="C5" i="3"/>
  <c r="K10" i="3"/>
  <c r="K10" i="12"/>
  <c r="N9" i="3"/>
  <c r="N9" i="12"/>
  <c r="F9" i="3"/>
  <c r="F9" i="12"/>
  <c r="I8" i="3"/>
  <c r="I8" i="12"/>
  <c r="L6" i="12"/>
  <c r="L6" i="3"/>
  <c r="D6" i="12"/>
  <c r="D6" i="3"/>
  <c r="G5" i="3"/>
  <c r="G5" i="12"/>
  <c r="D27" i="1"/>
  <c r="L43" i="1"/>
  <c r="D43" i="1"/>
  <c r="C43" i="1"/>
  <c r="H27" i="1"/>
  <c r="L27" i="1"/>
  <c r="I40" i="1"/>
  <c r="G27" i="1"/>
  <c r="C40" i="1"/>
  <c r="J43" i="1"/>
  <c r="H40" i="1"/>
  <c r="M27" i="1"/>
  <c r="K40" i="1"/>
  <c r="M43" i="1"/>
  <c r="E43" i="1"/>
  <c r="I43" i="1"/>
  <c r="G40" i="1"/>
  <c r="H43" i="1"/>
  <c r="N43" i="1"/>
  <c r="F43" i="1"/>
  <c r="K43" i="1"/>
  <c r="N40" i="1"/>
  <c r="F40" i="1"/>
  <c r="E40" i="1"/>
  <c r="E27" i="1"/>
  <c r="L40" i="1"/>
  <c r="D40" i="1"/>
  <c r="F27" i="1"/>
  <c r="M40" i="1"/>
  <c r="G43" i="1"/>
  <c r="J40" i="1"/>
  <c r="J27" i="1"/>
  <c r="N27" i="1"/>
  <c r="K27" i="1"/>
  <c r="I27" i="1"/>
  <c r="C27" i="1"/>
  <c r="P14" i="21" l="1"/>
  <c r="N5" i="21"/>
  <c r="F11" i="22"/>
  <c r="F17" i="22"/>
  <c r="H3" i="22"/>
  <c r="G4" i="22"/>
  <c r="S14" i="21"/>
  <c r="R14" i="21"/>
  <c r="U14" i="21" s="1"/>
  <c r="H5" i="21"/>
  <c r="D12" i="21"/>
  <c r="D15" i="21" s="1"/>
  <c r="K5" i="21"/>
  <c r="R19" i="21"/>
  <c r="D5" i="21"/>
  <c r="E5" i="21"/>
  <c r="U20" i="21"/>
  <c r="M5" i="21"/>
  <c r="S36" i="21"/>
  <c r="G5" i="21"/>
  <c r="P13" i="21"/>
  <c r="P15" i="21" s="1"/>
  <c r="C5" i="21"/>
  <c r="C8" i="21" s="1"/>
  <c r="J5" i="21"/>
  <c r="P19" i="21"/>
  <c r="P21" i="21" s="1"/>
  <c r="Q18" i="21" s="1"/>
  <c r="C21" i="21"/>
  <c r="I5" i="21"/>
  <c r="R13" i="21"/>
  <c r="L5" i="21"/>
  <c r="S13" i="21"/>
  <c r="Q19" i="21"/>
  <c r="S19" i="21"/>
  <c r="F5" i="21"/>
  <c r="Q13" i="21"/>
  <c r="J32" i="21"/>
  <c r="R35" i="21"/>
  <c r="M32" i="21"/>
  <c r="D32" i="21"/>
  <c r="C32" i="21"/>
  <c r="P7" i="21"/>
  <c r="S42" i="21"/>
  <c r="R52" i="21"/>
  <c r="G32" i="21"/>
  <c r="K32" i="21"/>
  <c r="L32" i="21"/>
  <c r="H32" i="21"/>
  <c r="E32" i="21"/>
  <c r="Q49" i="21"/>
  <c r="F32" i="21"/>
  <c r="N32" i="21"/>
  <c r="Q45" i="21"/>
  <c r="I32" i="21"/>
  <c r="S35" i="21"/>
  <c r="R36" i="21"/>
  <c r="Q50" i="21"/>
  <c r="P37" i="21"/>
  <c r="R41" i="21"/>
  <c r="S7" i="21"/>
  <c r="Q7" i="21"/>
  <c r="P40" i="21"/>
  <c r="S38" i="21"/>
  <c r="R38" i="21"/>
  <c r="R7" i="21"/>
  <c r="P52" i="21"/>
  <c r="P49" i="21"/>
  <c r="Q47" i="21"/>
  <c r="Q42" i="21"/>
  <c r="Q41" i="21"/>
  <c r="R37" i="21"/>
  <c r="S49" i="21"/>
  <c r="S37" i="21"/>
  <c r="S50" i="21"/>
  <c r="Q38" i="21"/>
  <c r="Q39" i="21"/>
  <c r="R40" i="21"/>
  <c r="R47" i="21"/>
  <c r="Q52" i="21"/>
  <c r="S48" i="21"/>
  <c r="S41" i="21"/>
  <c r="P50" i="21"/>
  <c r="R49" i="21"/>
  <c r="R51" i="21"/>
  <c r="P45" i="21"/>
  <c r="S51" i="21"/>
  <c r="Q36" i="21"/>
  <c r="P38" i="21"/>
  <c r="P41" i="21"/>
  <c r="S39" i="21"/>
  <c r="R46" i="21"/>
  <c r="Q46" i="21"/>
  <c r="P48" i="21"/>
  <c r="P51" i="21"/>
  <c r="S47" i="21"/>
  <c r="P35" i="21"/>
  <c r="P36" i="21"/>
  <c r="S52" i="21"/>
  <c r="S40" i="21"/>
  <c r="R50" i="21"/>
  <c r="R39" i="21"/>
  <c r="R42" i="21"/>
  <c r="R48" i="21"/>
  <c r="Q48" i="21"/>
  <c r="P42" i="21"/>
  <c r="P46" i="21"/>
  <c r="P47" i="21"/>
  <c r="S46" i="21"/>
  <c r="S45" i="21"/>
  <c r="P39" i="21"/>
  <c r="Q51" i="21"/>
  <c r="R45" i="21"/>
  <c r="Q35" i="21"/>
  <c r="Q37" i="21"/>
  <c r="Q40" i="21"/>
  <c r="R6" i="21"/>
  <c r="P6" i="21"/>
  <c r="S6" i="21"/>
  <c r="U70" i="21"/>
  <c r="Q6" i="21"/>
  <c r="J4" i="12"/>
  <c r="D7" i="3"/>
  <c r="S10" i="3"/>
  <c r="Q9" i="12"/>
  <c r="G4" i="12"/>
  <c r="F4" i="12"/>
  <c r="J7" i="3"/>
  <c r="Q6" i="12"/>
  <c r="J4" i="3"/>
  <c r="P9" i="3"/>
  <c r="H4" i="3"/>
  <c r="G7" i="3"/>
  <c r="H4" i="12"/>
  <c r="E7" i="3"/>
  <c r="Q9" i="3"/>
  <c r="G7" i="12"/>
  <c r="G11" i="12" s="1"/>
  <c r="G35" i="12" s="1"/>
  <c r="S6" i="3"/>
  <c r="K7" i="3"/>
  <c r="R9" i="3"/>
  <c r="K4" i="3"/>
  <c r="E4" i="12"/>
  <c r="E11" i="12" s="1"/>
  <c r="E35" i="12" s="1"/>
  <c r="D4" i="3"/>
  <c r="N51" i="12"/>
  <c r="N51" i="3"/>
  <c r="N43" i="12"/>
  <c r="N43" i="3"/>
  <c r="C4" i="3"/>
  <c r="P5" i="3"/>
  <c r="Q8" i="3"/>
  <c r="H7" i="3"/>
  <c r="L7" i="3"/>
  <c r="S8" i="3"/>
  <c r="C7" i="12"/>
  <c r="P8" i="12"/>
  <c r="J43" i="3"/>
  <c r="J43" i="12"/>
  <c r="J51" i="12"/>
  <c r="J51" i="3"/>
  <c r="G51" i="12"/>
  <c r="G51" i="3"/>
  <c r="G43" i="12"/>
  <c r="G43" i="3"/>
  <c r="C4" i="12"/>
  <c r="P5" i="12"/>
  <c r="S10" i="12"/>
  <c r="E4" i="3"/>
  <c r="L7" i="12"/>
  <c r="S8" i="12"/>
  <c r="D4" i="12"/>
  <c r="M4" i="12"/>
  <c r="K51" i="3"/>
  <c r="K43" i="3"/>
  <c r="K43" i="12"/>
  <c r="K51" i="12"/>
  <c r="E43" i="3"/>
  <c r="E51" i="12"/>
  <c r="E51" i="3"/>
  <c r="E43" i="12"/>
  <c r="D43" i="12"/>
  <c r="D43" i="3"/>
  <c r="D51" i="12"/>
  <c r="D51" i="3"/>
  <c r="S6" i="12"/>
  <c r="I4" i="12"/>
  <c r="R5" i="12"/>
  <c r="R9" i="12"/>
  <c r="Q8" i="12"/>
  <c r="F7" i="12"/>
  <c r="M4" i="3"/>
  <c r="Q5" i="12"/>
  <c r="Q5" i="3"/>
  <c r="F4" i="3"/>
  <c r="H51" i="12"/>
  <c r="H51" i="3"/>
  <c r="H43" i="12"/>
  <c r="H43" i="3"/>
  <c r="G4" i="3"/>
  <c r="R8" i="12"/>
  <c r="I7" i="12"/>
  <c r="R10" i="3"/>
  <c r="S5" i="3"/>
  <c r="L4" i="3"/>
  <c r="K7" i="12"/>
  <c r="S9" i="12"/>
  <c r="P6" i="12"/>
  <c r="R6" i="3"/>
  <c r="K4" i="12"/>
  <c r="M7" i="12"/>
  <c r="R10" i="12"/>
  <c r="L4" i="12"/>
  <c r="S5" i="12"/>
  <c r="C43" i="12"/>
  <c r="C44" i="12" s="1"/>
  <c r="C51" i="12"/>
  <c r="C51" i="3"/>
  <c r="C43" i="3"/>
  <c r="F51" i="12"/>
  <c r="F51" i="3"/>
  <c r="F43" i="12"/>
  <c r="F43" i="3"/>
  <c r="M43" i="3"/>
  <c r="M51" i="12"/>
  <c r="M51" i="3"/>
  <c r="M43" i="12"/>
  <c r="R8" i="3"/>
  <c r="I7" i="3"/>
  <c r="N7" i="3"/>
  <c r="S9" i="3"/>
  <c r="Q10" i="12"/>
  <c r="R6" i="12"/>
  <c r="N4" i="12"/>
  <c r="M7" i="3"/>
  <c r="P10" i="3"/>
  <c r="H7" i="12"/>
  <c r="L43" i="12"/>
  <c r="L43" i="3"/>
  <c r="L51" i="12"/>
  <c r="L51" i="3"/>
  <c r="R5" i="3"/>
  <c r="I4" i="3"/>
  <c r="P6" i="3"/>
  <c r="F7" i="3"/>
  <c r="I43" i="12"/>
  <c r="I51" i="3"/>
  <c r="I43" i="3"/>
  <c r="I51" i="12"/>
  <c r="J7" i="12"/>
  <c r="N7" i="12"/>
  <c r="Q6" i="3"/>
  <c r="D7" i="12"/>
  <c r="Q10" i="3"/>
  <c r="P9" i="12"/>
  <c r="N4" i="3"/>
  <c r="P10" i="12"/>
  <c r="P8" i="3"/>
  <c r="C7" i="3"/>
  <c r="M47" i="1"/>
  <c r="L47" i="1"/>
  <c r="K47" i="1"/>
  <c r="C47" i="1"/>
  <c r="I47" i="1"/>
  <c r="D47" i="1"/>
  <c r="H47" i="1"/>
  <c r="E47" i="1"/>
  <c r="J47" i="1"/>
  <c r="G47" i="1"/>
  <c r="F47" i="1"/>
  <c r="N47" i="1"/>
  <c r="S32" i="21" l="1"/>
  <c r="Q5" i="21"/>
  <c r="J11" i="12"/>
  <c r="J35" i="12" s="1"/>
  <c r="D11" i="3"/>
  <c r="D35" i="3" s="1"/>
  <c r="G11" i="22"/>
  <c r="G17" i="22"/>
  <c r="H4" i="22"/>
  <c r="I3" i="22"/>
  <c r="R5" i="21"/>
  <c r="S5" i="21"/>
  <c r="C9" i="21"/>
  <c r="Q12" i="21"/>
  <c r="Q15" i="21" s="1"/>
  <c r="E12" i="21"/>
  <c r="U19" i="21"/>
  <c r="U21" i="21" s="1"/>
  <c r="E15" i="21"/>
  <c r="Q21" i="21"/>
  <c r="R18" i="21" s="1"/>
  <c r="R21" i="21" s="1"/>
  <c r="S18" i="21" s="1"/>
  <c r="S21" i="21" s="1"/>
  <c r="D18" i="21"/>
  <c r="D4" i="21" s="1"/>
  <c r="D8" i="21" s="1"/>
  <c r="U13" i="21"/>
  <c r="U15" i="21" s="1"/>
  <c r="U37" i="21"/>
  <c r="U7" i="21"/>
  <c r="U42" i="21"/>
  <c r="R32" i="21"/>
  <c r="Q32" i="21"/>
  <c r="P32" i="21"/>
  <c r="U45" i="21"/>
  <c r="U40" i="21"/>
  <c r="U36" i="21"/>
  <c r="U38" i="21"/>
  <c r="U41" i="21"/>
  <c r="U50" i="21"/>
  <c r="U46" i="21"/>
  <c r="U35" i="21"/>
  <c r="U39" i="21"/>
  <c r="U51" i="21"/>
  <c r="U49" i="21"/>
  <c r="U47" i="21"/>
  <c r="U48" i="21"/>
  <c r="U52" i="21"/>
  <c r="U32" i="21" s="1"/>
  <c r="U6" i="21"/>
  <c r="P5" i="21"/>
  <c r="E4" i="13"/>
  <c r="C4" i="13"/>
  <c r="D4" i="13"/>
  <c r="D8" i="13"/>
  <c r="E8" i="13"/>
  <c r="C8" i="13"/>
  <c r="E7" i="13"/>
  <c r="C7" i="13"/>
  <c r="D7" i="13"/>
  <c r="E5" i="13"/>
  <c r="C5" i="13"/>
  <c r="D5" i="13"/>
  <c r="D9" i="13"/>
  <c r="E9" i="13"/>
  <c r="C9" i="13"/>
  <c r="Q4" i="12"/>
  <c r="J11" i="3"/>
  <c r="J35" i="3" s="1"/>
  <c r="G11" i="3"/>
  <c r="G35" i="3" s="1"/>
  <c r="N11" i="3"/>
  <c r="N35" i="3" s="1"/>
  <c r="H11" i="12"/>
  <c r="H35" i="12" s="1"/>
  <c r="P7" i="3"/>
  <c r="E11" i="3"/>
  <c r="E35" i="3" s="1"/>
  <c r="D11" i="12"/>
  <c r="D35" i="12" s="1"/>
  <c r="U9" i="3"/>
  <c r="M11" i="3"/>
  <c r="M35" i="3" s="1"/>
  <c r="S7" i="3"/>
  <c r="K11" i="3"/>
  <c r="K35" i="3" s="1"/>
  <c r="U6" i="12"/>
  <c r="Q7" i="3"/>
  <c r="U6" i="3"/>
  <c r="U5" i="12"/>
  <c r="R4" i="3"/>
  <c r="S43" i="3"/>
  <c r="K11" i="12"/>
  <c r="K35" i="12" s="1"/>
  <c r="U9" i="12"/>
  <c r="S43" i="12"/>
  <c r="P43" i="3"/>
  <c r="C44" i="3"/>
  <c r="U5" i="3"/>
  <c r="R51" i="3"/>
  <c r="L11" i="3"/>
  <c r="S4" i="3"/>
  <c r="U10" i="3"/>
  <c r="P51" i="3"/>
  <c r="C52" i="3"/>
  <c r="L11" i="12"/>
  <c r="S4" i="12"/>
  <c r="Q7" i="12"/>
  <c r="F11" i="12"/>
  <c r="R4" i="12"/>
  <c r="I11" i="12"/>
  <c r="U8" i="12"/>
  <c r="P4" i="3"/>
  <c r="C11" i="3"/>
  <c r="R43" i="12"/>
  <c r="S51" i="12"/>
  <c r="R51" i="12"/>
  <c r="I11" i="3"/>
  <c r="R7" i="3"/>
  <c r="Q43" i="3"/>
  <c r="P51" i="12"/>
  <c r="C52" i="12"/>
  <c r="R7" i="12"/>
  <c r="P43" i="12"/>
  <c r="Q51" i="12"/>
  <c r="P7" i="12"/>
  <c r="S51" i="3"/>
  <c r="U10" i="12"/>
  <c r="Q51" i="3"/>
  <c r="N11" i="12"/>
  <c r="N35" i="12" s="1"/>
  <c r="Q4" i="3"/>
  <c r="F11" i="3"/>
  <c r="M11" i="12"/>
  <c r="M35" i="12" s="1"/>
  <c r="S7" i="12"/>
  <c r="R43" i="3"/>
  <c r="Q43" i="12"/>
  <c r="P4" i="12"/>
  <c r="C11" i="12"/>
  <c r="U8" i="3"/>
  <c r="H11" i="3"/>
  <c r="H35" i="3" s="1"/>
  <c r="I4" i="22" l="1"/>
  <c r="J3" i="22"/>
  <c r="H11" i="22"/>
  <c r="H17" i="22"/>
  <c r="R12" i="21"/>
  <c r="R15" i="21" s="1"/>
  <c r="F12" i="21"/>
  <c r="D21" i="21"/>
  <c r="F15" i="21"/>
  <c r="U5" i="21"/>
  <c r="U8" i="21" s="1"/>
  <c r="U9" i="21" s="1"/>
  <c r="P8" i="21"/>
  <c r="E6" i="13"/>
  <c r="C6" i="13"/>
  <c r="D6" i="13"/>
  <c r="D3" i="13"/>
  <c r="E3" i="13"/>
  <c r="C3" i="13"/>
  <c r="U7" i="3"/>
  <c r="U51" i="12"/>
  <c r="C35" i="3"/>
  <c r="P11" i="3"/>
  <c r="L35" i="12"/>
  <c r="S35" i="12" s="1"/>
  <c r="S11" i="12"/>
  <c r="C35" i="12"/>
  <c r="P11" i="12"/>
  <c r="R11" i="3"/>
  <c r="I35" i="3"/>
  <c r="R35" i="3" s="1"/>
  <c r="U51" i="3"/>
  <c r="L35" i="3"/>
  <c r="S35" i="3" s="1"/>
  <c r="S11" i="3"/>
  <c r="F35" i="3"/>
  <c r="Q35" i="3" s="1"/>
  <c r="Q11" i="3"/>
  <c r="U43" i="12"/>
  <c r="F35" i="12"/>
  <c r="Q35" i="12" s="1"/>
  <c r="Q11" i="12"/>
  <c r="I35" i="12"/>
  <c r="R35" i="12" s="1"/>
  <c r="R11" i="12"/>
  <c r="U43" i="3"/>
  <c r="U4" i="3"/>
  <c r="U7" i="12"/>
  <c r="U4" i="12"/>
  <c r="I17" i="22" l="1"/>
  <c r="I11" i="22"/>
  <c r="J4" i="22"/>
  <c r="K3" i="22"/>
  <c r="G12" i="21"/>
  <c r="G15" i="21" s="1"/>
  <c r="E18" i="21"/>
  <c r="D9" i="21"/>
  <c r="S12" i="21"/>
  <c r="S15" i="21" s="1"/>
  <c r="Q4" i="21"/>
  <c r="Q8" i="21" s="1"/>
  <c r="P9" i="21"/>
  <c r="C10" i="13"/>
  <c r="E10" i="13"/>
  <c r="D10" i="13"/>
  <c r="U11" i="3"/>
  <c r="P35" i="3"/>
  <c r="U35" i="3" s="1"/>
  <c r="P35" i="12"/>
  <c r="U35" i="12" s="1"/>
  <c r="U11" i="12"/>
  <c r="K4" i="22" l="1"/>
  <c r="L3" i="22"/>
  <c r="J17" i="22"/>
  <c r="J11" i="22"/>
  <c r="E21" i="21"/>
  <c r="E4" i="21"/>
  <c r="E8" i="21" s="1"/>
  <c r="R4" i="21"/>
  <c r="R8" i="21" s="1"/>
  <c r="Q9" i="21"/>
  <c r="H12" i="21"/>
  <c r="H15" i="21" s="1"/>
  <c r="D16" i="1"/>
  <c r="E16" i="1"/>
  <c r="F16" i="1"/>
  <c r="G16" i="1"/>
  <c r="H16" i="1"/>
  <c r="I16" i="1"/>
  <c r="J16" i="1"/>
  <c r="K16" i="1"/>
  <c r="L16" i="1"/>
  <c r="M16" i="1"/>
  <c r="N16" i="1"/>
  <c r="C16" i="1"/>
  <c r="D9" i="1"/>
  <c r="E9" i="1"/>
  <c r="F9" i="1"/>
  <c r="G9" i="1"/>
  <c r="H9" i="1"/>
  <c r="I9" i="1"/>
  <c r="J9" i="1"/>
  <c r="K9" i="1"/>
  <c r="L9" i="1"/>
  <c r="M9" i="1"/>
  <c r="N9" i="1"/>
  <c r="C9" i="1"/>
  <c r="N15" i="1"/>
  <c r="M15" i="1"/>
  <c r="L15" i="1"/>
  <c r="K15" i="1"/>
  <c r="J15" i="1"/>
  <c r="I15" i="1"/>
  <c r="H15" i="1"/>
  <c r="G15" i="1"/>
  <c r="F15" i="1"/>
  <c r="E15" i="1"/>
  <c r="D15" i="1"/>
  <c r="C15" i="1"/>
  <c r="D10" i="1"/>
  <c r="E10" i="1"/>
  <c r="F10" i="1"/>
  <c r="G10" i="1"/>
  <c r="H10" i="1"/>
  <c r="I10" i="1"/>
  <c r="J10" i="1"/>
  <c r="K10" i="1"/>
  <c r="L10" i="1"/>
  <c r="M10" i="1"/>
  <c r="N10" i="1"/>
  <c r="C10" i="1"/>
  <c r="D8" i="1"/>
  <c r="E8" i="1"/>
  <c r="F8" i="1"/>
  <c r="G8" i="1"/>
  <c r="H8" i="1"/>
  <c r="I8" i="1"/>
  <c r="J8" i="1"/>
  <c r="K8" i="1"/>
  <c r="L8" i="1"/>
  <c r="M8" i="1"/>
  <c r="N8" i="1"/>
  <c r="C8" i="1"/>
  <c r="D3" i="1"/>
  <c r="M3" i="22" l="1"/>
  <c r="L4" i="22"/>
  <c r="K11" i="22"/>
  <c r="K17" i="22"/>
  <c r="F18" i="21"/>
  <c r="E9" i="21"/>
  <c r="I12" i="21"/>
  <c r="I15" i="21" s="1"/>
  <c r="S4" i="21"/>
  <c r="S8" i="21" s="1"/>
  <c r="S9" i="21" s="1"/>
  <c r="R9" i="21"/>
  <c r="M19" i="3"/>
  <c r="M19" i="12"/>
  <c r="H29" i="3"/>
  <c r="H29" i="12"/>
  <c r="K19" i="3"/>
  <c r="K19" i="12"/>
  <c r="C29" i="12"/>
  <c r="C29" i="3"/>
  <c r="G29" i="3"/>
  <c r="G29" i="12"/>
  <c r="E19" i="12"/>
  <c r="E19" i="3"/>
  <c r="J19" i="3"/>
  <c r="J19" i="12"/>
  <c r="N29" i="3"/>
  <c r="N29" i="12"/>
  <c r="F29" i="3"/>
  <c r="F29" i="12"/>
  <c r="I19" i="3"/>
  <c r="I19" i="12"/>
  <c r="M29" i="12"/>
  <c r="M29" i="3"/>
  <c r="E29" i="3"/>
  <c r="E29" i="12"/>
  <c r="I29" i="3"/>
  <c r="I29" i="12"/>
  <c r="H19" i="3"/>
  <c r="H19" i="12"/>
  <c r="L29" i="3"/>
  <c r="L29" i="12"/>
  <c r="D29" i="3"/>
  <c r="D29" i="12"/>
  <c r="L19" i="12"/>
  <c r="L19" i="3"/>
  <c r="C19" i="3"/>
  <c r="C19" i="12"/>
  <c r="G19" i="12"/>
  <c r="G19" i="3"/>
  <c r="K29" i="12"/>
  <c r="K29" i="3"/>
  <c r="D19" i="12"/>
  <c r="D19" i="3"/>
  <c r="N19" i="3"/>
  <c r="N19" i="12"/>
  <c r="F19" i="3"/>
  <c r="F19" i="12"/>
  <c r="J29" i="12"/>
  <c r="J29" i="3"/>
  <c r="C17" i="1"/>
  <c r="C26" i="3"/>
  <c r="C26" i="12"/>
  <c r="D26" i="3"/>
  <c r="D26" i="12"/>
  <c r="E26" i="12"/>
  <c r="E26" i="3"/>
  <c r="F26" i="12"/>
  <c r="F26" i="3"/>
  <c r="C11" i="1"/>
  <c r="C16" i="3"/>
  <c r="C16" i="12"/>
  <c r="M26" i="12"/>
  <c r="M26" i="3"/>
  <c r="N26" i="12"/>
  <c r="N26" i="3"/>
  <c r="L26" i="12"/>
  <c r="L26" i="3"/>
  <c r="K26" i="3"/>
  <c r="K26" i="12"/>
  <c r="J26" i="3"/>
  <c r="J26" i="12"/>
  <c r="I26" i="12"/>
  <c r="I26" i="3"/>
  <c r="H26" i="12"/>
  <c r="H26" i="3"/>
  <c r="G26" i="12"/>
  <c r="G26" i="3"/>
  <c r="N16" i="3"/>
  <c r="N16" i="12"/>
  <c r="M16" i="12"/>
  <c r="M16" i="3"/>
  <c r="L16" i="3"/>
  <c r="L16" i="12"/>
  <c r="K16" i="12"/>
  <c r="K16" i="3"/>
  <c r="J16" i="3"/>
  <c r="J16" i="12"/>
  <c r="I16" i="3"/>
  <c r="I16" i="12"/>
  <c r="H16" i="12"/>
  <c r="H16" i="3"/>
  <c r="G16" i="12"/>
  <c r="G16" i="3"/>
  <c r="F16" i="12"/>
  <c r="F16" i="3"/>
  <c r="E16" i="12"/>
  <c r="E16" i="3"/>
  <c r="D16" i="12"/>
  <c r="D16" i="3"/>
  <c r="E3" i="1"/>
  <c r="D4" i="1"/>
  <c r="L11" i="22" l="1"/>
  <c r="L17" i="22"/>
  <c r="N3" i="22"/>
  <c r="N4" i="22" s="1"/>
  <c r="M4" i="22"/>
  <c r="F21" i="21"/>
  <c r="F4" i="21"/>
  <c r="F8" i="21" s="1"/>
  <c r="J12" i="21"/>
  <c r="J15" i="21"/>
  <c r="D41" i="12"/>
  <c r="D15" i="12"/>
  <c r="D25" i="3"/>
  <c r="D50" i="12"/>
  <c r="D25" i="12"/>
  <c r="D30" i="12" s="1"/>
  <c r="D37" i="12" s="1"/>
  <c r="D42" i="3"/>
  <c r="D15" i="3"/>
  <c r="D42" i="12"/>
  <c r="D41" i="3"/>
  <c r="D50" i="3"/>
  <c r="D30" i="3"/>
  <c r="P26" i="12"/>
  <c r="C30" i="12"/>
  <c r="C31" i="12" s="1"/>
  <c r="P26" i="3"/>
  <c r="C30" i="3"/>
  <c r="C13" i="8" s="1"/>
  <c r="C20" i="12"/>
  <c r="C21" i="12" s="1"/>
  <c r="C20" i="3"/>
  <c r="C30" i="7" s="1"/>
  <c r="S26" i="3"/>
  <c r="S26" i="12"/>
  <c r="R26" i="3"/>
  <c r="R26" i="12"/>
  <c r="Q26" i="3"/>
  <c r="Q26" i="12"/>
  <c r="S16" i="12"/>
  <c r="S16" i="3"/>
  <c r="R16" i="12"/>
  <c r="R16" i="3"/>
  <c r="Q16" i="3"/>
  <c r="Q16" i="12"/>
  <c r="D20" i="3"/>
  <c r="P16" i="3"/>
  <c r="U16" i="3"/>
  <c r="P16" i="12"/>
  <c r="U16" i="12"/>
  <c r="D20" i="12"/>
  <c r="D21" i="12" s="1"/>
  <c r="D11" i="1"/>
  <c r="D17" i="1"/>
  <c r="F3" i="1"/>
  <c r="E4" i="1"/>
  <c r="C21" i="3" l="1"/>
  <c r="D37" i="3"/>
  <c r="D13" i="8"/>
  <c r="D21" i="3"/>
  <c r="D30" i="7"/>
  <c r="N11" i="22"/>
  <c r="N17" i="22"/>
  <c r="M17" i="22"/>
  <c r="M11" i="22"/>
  <c r="K12" i="21"/>
  <c r="K15" i="21" s="1"/>
  <c r="G18" i="21"/>
  <c r="F9" i="21"/>
  <c r="D52" i="12"/>
  <c r="P25" i="3"/>
  <c r="D52" i="3"/>
  <c r="P15" i="12"/>
  <c r="E25" i="3"/>
  <c r="E30" i="3" s="1"/>
  <c r="P28" i="3" s="1"/>
  <c r="E50" i="12"/>
  <c r="E52" i="12" s="1"/>
  <c r="E42" i="12"/>
  <c r="E15" i="12"/>
  <c r="E20" i="12" s="1"/>
  <c r="E36" i="12" s="1"/>
  <c r="E50" i="3"/>
  <c r="E52" i="3" s="1"/>
  <c r="E41" i="3"/>
  <c r="E41" i="12"/>
  <c r="E44" i="12" s="1"/>
  <c r="E42" i="3"/>
  <c r="P42" i="3" s="1"/>
  <c r="E15" i="3"/>
  <c r="E20" i="3" s="1"/>
  <c r="E25" i="12"/>
  <c r="E30" i="12" s="1"/>
  <c r="E37" i="12" s="1"/>
  <c r="D44" i="3"/>
  <c r="D44" i="12"/>
  <c r="P42" i="12"/>
  <c r="P25" i="12"/>
  <c r="P15" i="3"/>
  <c r="P29" i="12"/>
  <c r="C37" i="12"/>
  <c r="P30" i="12"/>
  <c r="P28" i="12"/>
  <c r="P24" i="12"/>
  <c r="P24" i="3"/>
  <c r="C37" i="3"/>
  <c r="C31" i="3"/>
  <c r="E31" i="12"/>
  <c r="D31" i="12"/>
  <c r="D31" i="3"/>
  <c r="C36" i="3"/>
  <c r="C46" i="3"/>
  <c r="C36" i="12"/>
  <c r="C46" i="12"/>
  <c r="U26" i="3"/>
  <c r="U26" i="12"/>
  <c r="D46" i="12"/>
  <c r="D36" i="12"/>
  <c r="P19" i="12"/>
  <c r="P18" i="12"/>
  <c r="P14" i="12"/>
  <c r="D36" i="3"/>
  <c r="D46" i="3"/>
  <c r="G3" i="1"/>
  <c r="F4" i="1"/>
  <c r="E11" i="1"/>
  <c r="E17" i="1"/>
  <c r="E21" i="12" l="1"/>
  <c r="E46" i="12"/>
  <c r="P20" i="12"/>
  <c r="P46" i="12" s="1"/>
  <c r="P47" i="12" s="1"/>
  <c r="P37" i="12"/>
  <c r="C38" i="3"/>
  <c r="D34" i="3" s="1"/>
  <c r="E37" i="3"/>
  <c r="E13" i="8"/>
  <c r="P29" i="3"/>
  <c r="E31" i="3"/>
  <c r="E21" i="3"/>
  <c r="E30" i="7"/>
  <c r="E36" i="3"/>
  <c r="P36" i="3" s="1"/>
  <c r="P14" i="3"/>
  <c r="P19" i="3"/>
  <c r="P18" i="3"/>
  <c r="P30" i="3"/>
  <c r="P20" i="3"/>
  <c r="P37" i="3"/>
  <c r="L12" i="21"/>
  <c r="G21" i="21"/>
  <c r="G4" i="21"/>
  <c r="G8" i="21" s="1"/>
  <c r="L15" i="21"/>
  <c r="F42" i="12"/>
  <c r="F41" i="3"/>
  <c r="F50" i="3"/>
  <c r="F50" i="12"/>
  <c r="F42" i="3"/>
  <c r="F15" i="3"/>
  <c r="F25" i="12"/>
  <c r="F15" i="12"/>
  <c r="F25" i="3"/>
  <c r="F41" i="12"/>
  <c r="C38" i="12"/>
  <c r="D34" i="12" s="1"/>
  <c r="P44" i="12"/>
  <c r="E44" i="3"/>
  <c r="E46" i="3" s="1"/>
  <c r="E47" i="3" s="1"/>
  <c r="P52" i="3"/>
  <c r="P41" i="12"/>
  <c r="P50" i="3"/>
  <c r="P41" i="3"/>
  <c r="P52" i="12"/>
  <c r="P50" i="12"/>
  <c r="C47" i="12"/>
  <c r="C54" i="12"/>
  <c r="C55" i="12" s="1"/>
  <c r="C54" i="3"/>
  <c r="C55" i="3" s="1"/>
  <c r="C47" i="3"/>
  <c r="E47" i="12"/>
  <c r="E54" i="12"/>
  <c r="E55" i="12" s="1"/>
  <c r="D54" i="12"/>
  <c r="D55" i="12" s="1"/>
  <c r="D47" i="12"/>
  <c r="P36" i="12"/>
  <c r="D38" i="12"/>
  <c r="E34" i="12" s="1"/>
  <c r="E38" i="12" s="1"/>
  <c r="F34" i="12" s="1"/>
  <c r="D38" i="3"/>
  <c r="E34" i="3" s="1"/>
  <c r="D47" i="3"/>
  <c r="D54" i="3"/>
  <c r="D55" i="3" s="1"/>
  <c r="H3" i="1"/>
  <c r="G4" i="1"/>
  <c r="F17" i="1"/>
  <c r="F11" i="1"/>
  <c r="E38" i="3" l="1"/>
  <c r="F34" i="3" s="1"/>
  <c r="E54" i="3"/>
  <c r="E55" i="3" s="1"/>
  <c r="H18" i="21"/>
  <c r="G9" i="21"/>
  <c r="M12" i="21"/>
  <c r="M15" i="21" s="1"/>
  <c r="P54" i="12"/>
  <c r="P55" i="12" s="1"/>
  <c r="F52" i="12"/>
  <c r="P44" i="3"/>
  <c r="F52" i="3"/>
  <c r="G50" i="12"/>
  <c r="G52" i="12" s="1"/>
  <c r="G50" i="3"/>
  <c r="G52" i="3" s="1"/>
  <c r="G42" i="3"/>
  <c r="G15" i="3"/>
  <c r="G20" i="3" s="1"/>
  <c r="G30" i="7" s="1"/>
  <c r="G25" i="12"/>
  <c r="G25" i="3"/>
  <c r="G30" i="3" s="1"/>
  <c r="G13" i="8" s="1"/>
  <c r="G41" i="3"/>
  <c r="G15" i="12"/>
  <c r="G41" i="12"/>
  <c r="G42" i="12"/>
  <c r="F44" i="12"/>
  <c r="F44" i="3"/>
  <c r="F30" i="12"/>
  <c r="F31" i="12" s="1"/>
  <c r="F30" i="3"/>
  <c r="F13" i="8" s="1"/>
  <c r="F20" i="3"/>
  <c r="F30" i="7" s="1"/>
  <c r="F20" i="12"/>
  <c r="P38" i="3"/>
  <c r="Q34" i="3" s="1"/>
  <c r="P38" i="12"/>
  <c r="Q34" i="12" s="1"/>
  <c r="G17" i="1"/>
  <c r="G11" i="1"/>
  <c r="I3" i="1"/>
  <c r="H4" i="1"/>
  <c r="F31" i="3" l="1"/>
  <c r="H21" i="21"/>
  <c r="H4" i="21"/>
  <c r="H8" i="21" s="1"/>
  <c r="N12" i="21"/>
  <c r="N15" i="21" s="1"/>
  <c r="F37" i="3"/>
  <c r="H42" i="3"/>
  <c r="Q42" i="3" s="1"/>
  <c r="H15" i="3"/>
  <c r="H20" i="3" s="1"/>
  <c r="H30" i="7" s="1"/>
  <c r="H25" i="12"/>
  <c r="H25" i="3"/>
  <c r="H42" i="12"/>
  <c r="Q42" i="12" s="1"/>
  <c r="H41" i="3"/>
  <c r="H44" i="3" s="1"/>
  <c r="H15" i="12"/>
  <c r="H41" i="12"/>
  <c r="H50" i="3"/>
  <c r="H52" i="3" s="1"/>
  <c r="Q52" i="3" s="1"/>
  <c r="H50" i="12"/>
  <c r="G30" i="12"/>
  <c r="G37" i="12" s="1"/>
  <c r="G44" i="12"/>
  <c r="F21" i="3"/>
  <c r="F36" i="3"/>
  <c r="F46" i="3"/>
  <c r="Q15" i="3"/>
  <c r="Q25" i="12"/>
  <c r="G20" i="12"/>
  <c r="G21" i="3"/>
  <c r="G36" i="3"/>
  <c r="G44" i="3"/>
  <c r="G46" i="3" s="1"/>
  <c r="Q50" i="3"/>
  <c r="F21" i="12"/>
  <c r="F36" i="12"/>
  <c r="F46" i="12"/>
  <c r="F37" i="12"/>
  <c r="G31" i="3"/>
  <c r="G37" i="3"/>
  <c r="P46" i="3"/>
  <c r="H17" i="1"/>
  <c r="H11" i="1"/>
  <c r="J3" i="1"/>
  <c r="I4" i="1"/>
  <c r="Q19" i="3" l="1"/>
  <c r="Q20" i="3"/>
  <c r="C13" i="13" s="1"/>
  <c r="Q14" i="3"/>
  <c r="I18" i="21"/>
  <c r="H9" i="21"/>
  <c r="G31" i="12"/>
  <c r="G47" i="3"/>
  <c r="G54" i="3"/>
  <c r="G55" i="3" s="1"/>
  <c r="Q44" i="3"/>
  <c r="Q25" i="3"/>
  <c r="H30" i="3"/>
  <c r="H13" i="8" s="1"/>
  <c r="F54" i="12"/>
  <c r="F55" i="12" s="1"/>
  <c r="F47" i="12"/>
  <c r="E13" i="13"/>
  <c r="D13" i="13"/>
  <c r="H30" i="12"/>
  <c r="H31" i="12" s="1"/>
  <c r="Q41" i="3"/>
  <c r="F38" i="3"/>
  <c r="G34" i="3" s="1"/>
  <c r="G38" i="3" s="1"/>
  <c r="H34" i="3" s="1"/>
  <c r="H52" i="12"/>
  <c r="Q52" i="12" s="1"/>
  <c r="Q50" i="12"/>
  <c r="H21" i="3"/>
  <c r="H36" i="3"/>
  <c r="Q36" i="3" s="1"/>
  <c r="I25" i="12"/>
  <c r="I30" i="12" s="1"/>
  <c r="I15" i="3"/>
  <c r="I41" i="3"/>
  <c r="I15" i="12"/>
  <c r="I42" i="3"/>
  <c r="I25" i="3"/>
  <c r="I42" i="12"/>
  <c r="I50" i="12"/>
  <c r="I41" i="12"/>
  <c r="I44" i="12" s="1"/>
  <c r="I50" i="3"/>
  <c r="F38" i="12"/>
  <c r="G34" i="12" s="1"/>
  <c r="F47" i="3"/>
  <c r="F54" i="3"/>
  <c r="F55" i="3" s="1"/>
  <c r="P47" i="3"/>
  <c r="P54" i="3"/>
  <c r="Q18" i="3"/>
  <c r="G36" i="12"/>
  <c r="G46" i="12"/>
  <c r="H44" i="12"/>
  <c r="Q44" i="12" s="1"/>
  <c r="Q41" i="12"/>
  <c r="G21" i="12"/>
  <c r="H20" i="12"/>
  <c r="Q14" i="12" s="1"/>
  <c r="Q15" i="12"/>
  <c r="I17" i="1"/>
  <c r="I11" i="1"/>
  <c r="K3" i="1"/>
  <c r="J4" i="1"/>
  <c r="H31" i="3" l="1"/>
  <c r="P55" i="3"/>
  <c r="C21" i="13"/>
  <c r="I21" i="21"/>
  <c r="I4" i="21"/>
  <c r="I8" i="21" s="1"/>
  <c r="H46" i="3"/>
  <c r="H47" i="3"/>
  <c r="H54" i="3"/>
  <c r="H55" i="3" s="1"/>
  <c r="I30" i="3"/>
  <c r="I13" i="8" s="1"/>
  <c r="I31" i="12"/>
  <c r="I37" i="12"/>
  <c r="H21" i="12"/>
  <c r="H36" i="12"/>
  <c r="Q36" i="12" s="1"/>
  <c r="H46" i="12"/>
  <c r="J41" i="3"/>
  <c r="J15" i="12"/>
  <c r="J20" i="12" s="1"/>
  <c r="J25" i="3"/>
  <c r="J42" i="3"/>
  <c r="J25" i="12"/>
  <c r="J42" i="12"/>
  <c r="J15" i="3"/>
  <c r="J50" i="12"/>
  <c r="J52" i="12" s="1"/>
  <c r="J41" i="12"/>
  <c r="J50" i="3"/>
  <c r="J52" i="3" s="1"/>
  <c r="Q18" i="12"/>
  <c r="Q19" i="12"/>
  <c r="G47" i="12"/>
  <c r="G54" i="12"/>
  <c r="G55" i="12" s="1"/>
  <c r="G38" i="12"/>
  <c r="H34" i="12" s="1"/>
  <c r="I20" i="12"/>
  <c r="H37" i="12"/>
  <c r="Q37" i="12" s="1"/>
  <c r="Q29" i="12"/>
  <c r="Q24" i="12"/>
  <c r="Q30" i="12"/>
  <c r="Q28" i="12"/>
  <c r="I52" i="12"/>
  <c r="I44" i="3"/>
  <c r="I52" i="3"/>
  <c r="I20" i="3"/>
  <c r="I30" i="7" s="1"/>
  <c r="H37" i="3"/>
  <c r="Q37" i="3" s="1"/>
  <c r="Q38" i="3" s="1"/>
  <c r="R34" i="3" s="1"/>
  <c r="Q29" i="3"/>
  <c r="Q30" i="3"/>
  <c r="Q28" i="3"/>
  <c r="Q24" i="3"/>
  <c r="Q20" i="12"/>
  <c r="J17" i="1"/>
  <c r="J11" i="1"/>
  <c r="L3" i="1"/>
  <c r="K4" i="1"/>
  <c r="I31" i="3" l="1"/>
  <c r="J18" i="21"/>
  <c r="I9" i="21"/>
  <c r="J44" i="3"/>
  <c r="Q46" i="12"/>
  <c r="Q47" i="12" s="1"/>
  <c r="H38" i="12"/>
  <c r="I34" i="12" s="1"/>
  <c r="Q38" i="12"/>
  <c r="R34" i="12" s="1"/>
  <c r="I21" i="3"/>
  <c r="I46" i="3"/>
  <c r="I36" i="3"/>
  <c r="H47" i="12"/>
  <c r="H54" i="12"/>
  <c r="H55" i="12" s="1"/>
  <c r="J44" i="12"/>
  <c r="J20" i="3"/>
  <c r="J30" i="7" s="1"/>
  <c r="R25" i="12"/>
  <c r="J30" i="12"/>
  <c r="J31" i="12" s="1"/>
  <c r="I37" i="3"/>
  <c r="K41" i="3"/>
  <c r="K15" i="3"/>
  <c r="K15" i="12"/>
  <c r="K25" i="3"/>
  <c r="R25" i="3" s="1"/>
  <c r="K25" i="12"/>
  <c r="K41" i="12"/>
  <c r="R41" i="12" s="1"/>
  <c r="K50" i="12"/>
  <c r="K52" i="12" s="1"/>
  <c r="R52" i="12" s="1"/>
  <c r="K42" i="12"/>
  <c r="R42" i="12" s="1"/>
  <c r="K42" i="3"/>
  <c r="R42" i="3" s="1"/>
  <c r="K50" i="3"/>
  <c r="K52" i="3" s="1"/>
  <c r="R52" i="3" s="1"/>
  <c r="J21" i="12"/>
  <c r="J36" i="12"/>
  <c r="D14" i="13"/>
  <c r="D15" i="13" s="1"/>
  <c r="C14" i="13"/>
  <c r="C15" i="13" s="1"/>
  <c r="E14" i="13"/>
  <c r="E15" i="13" s="1"/>
  <c r="Q46" i="3"/>
  <c r="H38" i="3"/>
  <c r="I34" i="3" s="1"/>
  <c r="I21" i="12"/>
  <c r="I46" i="12"/>
  <c r="I36" i="12"/>
  <c r="J30" i="3"/>
  <c r="J13" i="8" s="1"/>
  <c r="K17" i="1"/>
  <c r="K11" i="1"/>
  <c r="M3" i="1"/>
  <c r="L4" i="1"/>
  <c r="Q54" i="12" l="1"/>
  <c r="Q55" i="12" s="1"/>
  <c r="J31" i="3"/>
  <c r="J21" i="21"/>
  <c r="J4" i="21"/>
  <c r="J8" i="21" s="1"/>
  <c r="J21" i="3"/>
  <c r="I38" i="3"/>
  <c r="J34" i="3" s="1"/>
  <c r="E18" i="13"/>
  <c r="D18" i="13"/>
  <c r="C18" i="13"/>
  <c r="J37" i="3"/>
  <c r="K44" i="3"/>
  <c r="R44" i="3" s="1"/>
  <c r="R41" i="3"/>
  <c r="J37" i="12"/>
  <c r="J36" i="3"/>
  <c r="J46" i="3"/>
  <c r="K20" i="12"/>
  <c r="R15" i="12"/>
  <c r="Q47" i="3"/>
  <c r="Q54" i="3"/>
  <c r="I54" i="3"/>
  <c r="I55" i="3" s="1"/>
  <c r="I47" i="3"/>
  <c r="L50" i="12"/>
  <c r="L15" i="12"/>
  <c r="L41" i="3"/>
  <c r="L25" i="3"/>
  <c r="L42" i="3"/>
  <c r="L41" i="12"/>
  <c r="L15" i="3"/>
  <c r="L25" i="12"/>
  <c r="L50" i="3"/>
  <c r="L42" i="12"/>
  <c r="I38" i="12"/>
  <c r="J34" i="12" s="1"/>
  <c r="K44" i="12"/>
  <c r="R44" i="12" s="1"/>
  <c r="R50" i="12"/>
  <c r="I54" i="12"/>
  <c r="I55" i="12" s="1"/>
  <c r="I47" i="12"/>
  <c r="K30" i="12"/>
  <c r="K37" i="12" s="1"/>
  <c r="R50" i="3"/>
  <c r="K20" i="3"/>
  <c r="R15" i="3"/>
  <c r="J46" i="12"/>
  <c r="K30" i="3"/>
  <c r="K31" i="3" s="1"/>
  <c r="N3" i="1"/>
  <c r="N4" i="1" s="1"/>
  <c r="M4" i="1"/>
  <c r="L11" i="1"/>
  <c r="L17" i="1"/>
  <c r="R30" i="3" l="1"/>
  <c r="J38" i="3"/>
  <c r="K34" i="3" s="1"/>
  <c r="K18" i="21"/>
  <c r="J9" i="21"/>
  <c r="R19" i="3"/>
  <c r="K30" i="7"/>
  <c r="J38" i="12"/>
  <c r="K34" i="12" s="1"/>
  <c r="K37" i="3"/>
  <c r="R37" i="3" s="1"/>
  <c r="K13" i="8"/>
  <c r="Q55" i="3"/>
  <c r="C22" i="13" s="1"/>
  <c r="E21" i="13"/>
  <c r="D21" i="13"/>
  <c r="D19" i="13"/>
  <c r="C19" i="13"/>
  <c r="E19" i="13"/>
  <c r="N25" i="3"/>
  <c r="N15" i="3"/>
  <c r="N50" i="12"/>
  <c r="N52" i="12" s="1"/>
  <c r="N42" i="12"/>
  <c r="N25" i="12"/>
  <c r="N42" i="3"/>
  <c r="S42" i="3" s="1"/>
  <c r="U42" i="3" s="1"/>
  <c r="N50" i="3"/>
  <c r="N52" i="3" s="1"/>
  <c r="N41" i="3"/>
  <c r="N15" i="12"/>
  <c r="N41" i="12"/>
  <c r="R14" i="3"/>
  <c r="R28" i="12"/>
  <c r="J54" i="12"/>
  <c r="J55" i="12" s="1"/>
  <c r="J47" i="12"/>
  <c r="S15" i="12"/>
  <c r="L20" i="12"/>
  <c r="R28" i="3"/>
  <c r="J47" i="3"/>
  <c r="J54" i="3"/>
  <c r="J55" i="3" s="1"/>
  <c r="R29" i="12"/>
  <c r="M25" i="3"/>
  <c r="M41" i="3"/>
  <c r="M44" i="3" s="1"/>
  <c r="M41" i="12"/>
  <c r="M15" i="3"/>
  <c r="M20" i="3" s="1"/>
  <c r="M30" i="7" s="1"/>
  <c r="M42" i="12"/>
  <c r="M25" i="12"/>
  <c r="S25" i="12" s="1"/>
  <c r="U25" i="12" s="1"/>
  <c r="M42" i="3"/>
  <c r="M50" i="3"/>
  <c r="M52" i="3" s="1"/>
  <c r="M15" i="12"/>
  <c r="M50" i="12"/>
  <c r="M52" i="12" s="1"/>
  <c r="S41" i="3"/>
  <c r="U41" i="3" s="1"/>
  <c r="L44" i="3"/>
  <c r="R18" i="3"/>
  <c r="S50" i="3"/>
  <c r="U50" i="3" s="1"/>
  <c r="L52" i="3"/>
  <c r="S50" i="12"/>
  <c r="U50" i="12" s="1"/>
  <c r="L52" i="12"/>
  <c r="R37" i="12"/>
  <c r="L30" i="12"/>
  <c r="R24" i="12"/>
  <c r="K21" i="3"/>
  <c r="K36" i="3"/>
  <c r="R36" i="3" s="1"/>
  <c r="K46" i="3"/>
  <c r="R29" i="3"/>
  <c r="S15" i="3"/>
  <c r="L20" i="3"/>
  <c r="L30" i="7" s="1"/>
  <c r="R30" i="12"/>
  <c r="S25" i="3"/>
  <c r="U25" i="3" s="1"/>
  <c r="L30" i="3"/>
  <c r="L13" i="8" s="1"/>
  <c r="K21" i="12"/>
  <c r="K36" i="12"/>
  <c r="R36" i="12" s="1"/>
  <c r="K46" i="12"/>
  <c r="R14" i="12"/>
  <c r="R19" i="12"/>
  <c r="R18" i="12"/>
  <c r="R20" i="12"/>
  <c r="R20" i="3"/>
  <c r="R46" i="3" s="1"/>
  <c r="K31" i="12"/>
  <c r="R24" i="3"/>
  <c r="L44" i="12"/>
  <c r="M17" i="1"/>
  <c r="M11" i="1"/>
  <c r="N17" i="1"/>
  <c r="N11" i="1"/>
  <c r="L31" i="3" l="1"/>
  <c r="K21" i="21"/>
  <c r="K4" i="21"/>
  <c r="K8" i="21" s="1"/>
  <c r="S42" i="12"/>
  <c r="U42" i="12" s="1"/>
  <c r="E22" i="13"/>
  <c r="D22" i="13"/>
  <c r="K47" i="12"/>
  <c r="K54" i="12"/>
  <c r="K55" i="12" s="1"/>
  <c r="M21" i="3"/>
  <c r="M36" i="3"/>
  <c r="L21" i="12"/>
  <c r="L36" i="12"/>
  <c r="L46" i="12"/>
  <c r="N30" i="12"/>
  <c r="N37" i="12" s="1"/>
  <c r="K38" i="12"/>
  <c r="L34" i="12" s="1"/>
  <c r="M44" i="12"/>
  <c r="S44" i="12" s="1"/>
  <c r="U44" i="12" s="1"/>
  <c r="M30" i="12"/>
  <c r="M31" i="12"/>
  <c r="R54" i="3"/>
  <c r="R55" i="3" s="1"/>
  <c r="R47" i="3"/>
  <c r="S52" i="12"/>
  <c r="U52" i="12" s="1"/>
  <c r="S41" i="12"/>
  <c r="U41" i="12" s="1"/>
  <c r="N44" i="12"/>
  <c r="N20" i="3"/>
  <c r="N30" i="7" s="1"/>
  <c r="U15" i="3"/>
  <c r="K54" i="3"/>
  <c r="K55" i="3" s="1"/>
  <c r="K47" i="3"/>
  <c r="L21" i="3"/>
  <c r="L36" i="3"/>
  <c r="L46" i="3"/>
  <c r="L37" i="3"/>
  <c r="S52" i="3"/>
  <c r="U52" i="3" s="1"/>
  <c r="M20" i="12"/>
  <c r="M30" i="3"/>
  <c r="M13" i="8" s="1"/>
  <c r="K38" i="3"/>
  <c r="L34" i="3" s="1"/>
  <c r="N20" i="12"/>
  <c r="U15" i="12"/>
  <c r="N30" i="3"/>
  <c r="N31" i="3"/>
  <c r="R46" i="12"/>
  <c r="N44" i="3"/>
  <c r="S44" i="3" s="1"/>
  <c r="U44" i="3" s="1"/>
  <c r="R38" i="3"/>
  <c r="S34" i="3" s="1"/>
  <c r="R38" i="12"/>
  <c r="S34" i="12" s="1"/>
  <c r="L31" i="12"/>
  <c r="L37" i="12"/>
  <c r="U18" i="3" l="1"/>
  <c r="U14" i="3"/>
  <c r="M46" i="3"/>
  <c r="L18" i="21"/>
  <c r="K9" i="21"/>
  <c r="S18" i="3"/>
  <c r="N37" i="3"/>
  <c r="N13" i="8"/>
  <c r="L38" i="3"/>
  <c r="M34" i="3" s="1"/>
  <c r="S30" i="3"/>
  <c r="U30" i="3" s="1"/>
  <c r="M31" i="3"/>
  <c r="M46" i="12"/>
  <c r="M36" i="12"/>
  <c r="S36" i="12" s="1"/>
  <c r="U36" i="12" s="1"/>
  <c r="U20" i="12"/>
  <c r="U28" i="3"/>
  <c r="S20" i="12"/>
  <c r="U18" i="12"/>
  <c r="N21" i="12"/>
  <c r="N46" i="12"/>
  <c r="N36" i="12"/>
  <c r="U19" i="12"/>
  <c r="U14" i="12"/>
  <c r="L47" i="3"/>
  <c r="L54" i="3"/>
  <c r="L55" i="3" s="1"/>
  <c r="S18" i="12"/>
  <c r="M47" i="3"/>
  <c r="M54" i="3"/>
  <c r="M55" i="3" s="1"/>
  <c r="S28" i="12"/>
  <c r="S28" i="3"/>
  <c r="N21" i="3"/>
  <c r="N36" i="3"/>
  <c r="S36" i="3" s="1"/>
  <c r="N46" i="3"/>
  <c r="U20" i="3"/>
  <c r="M37" i="12"/>
  <c r="S37" i="12" s="1"/>
  <c r="U28" i="12"/>
  <c r="U24" i="12"/>
  <c r="U29" i="12"/>
  <c r="S19" i="12"/>
  <c r="S24" i="12"/>
  <c r="U24" i="3"/>
  <c r="S19" i="3"/>
  <c r="S14" i="12"/>
  <c r="S29" i="12"/>
  <c r="S30" i="12"/>
  <c r="U30" i="12" s="1"/>
  <c r="M37" i="3"/>
  <c r="U29" i="3"/>
  <c r="S24" i="3"/>
  <c r="S20" i="3"/>
  <c r="L38" i="12"/>
  <c r="M34" i="12" s="1"/>
  <c r="L54" i="12"/>
  <c r="L55" i="12" s="1"/>
  <c r="L47" i="12"/>
  <c r="R54" i="12"/>
  <c r="R55" i="12" s="1"/>
  <c r="R47" i="12"/>
  <c r="M21" i="12"/>
  <c r="S29" i="3"/>
  <c r="S14" i="3"/>
  <c r="N31" i="12"/>
  <c r="U19" i="3"/>
  <c r="S37" i="3" l="1"/>
  <c r="U37" i="3" s="1"/>
  <c r="S46" i="3"/>
  <c r="U46" i="3"/>
  <c r="M38" i="3"/>
  <c r="N34" i="3" s="1"/>
  <c r="L21" i="21"/>
  <c r="L4" i="21"/>
  <c r="L8" i="21" s="1"/>
  <c r="M38" i="12"/>
  <c r="N34" i="12" s="1"/>
  <c r="N38" i="12" s="1"/>
  <c r="U46" i="12"/>
  <c r="U47" i="12" s="1"/>
  <c r="U37" i="12"/>
  <c r="U38" i="12" s="1"/>
  <c r="S38" i="12"/>
  <c r="U36" i="3"/>
  <c r="U38" i="3" s="1"/>
  <c r="S38" i="3"/>
  <c r="U54" i="3"/>
  <c r="U55" i="3" s="1"/>
  <c r="U47" i="3"/>
  <c r="S46" i="12"/>
  <c r="S54" i="3"/>
  <c r="S55" i="3" s="1"/>
  <c r="S47" i="3"/>
  <c r="N47" i="12"/>
  <c r="N54" i="12"/>
  <c r="N55" i="12" s="1"/>
  <c r="N38" i="3"/>
  <c r="N54" i="3"/>
  <c r="N55" i="3" s="1"/>
  <c r="N47" i="3"/>
  <c r="M54" i="12"/>
  <c r="M55" i="12" s="1"/>
  <c r="M47" i="12"/>
  <c r="S7" i="1"/>
  <c r="M18" i="21" l="1"/>
  <c r="L9" i="21"/>
  <c r="U54" i="12"/>
  <c r="U55" i="12" s="1"/>
  <c r="S47" i="12"/>
  <c r="S54" i="12"/>
  <c r="S55" i="12" s="1"/>
  <c r="M21" i="21" l="1"/>
  <c r="M4" i="21"/>
  <c r="M8" i="21" s="1"/>
  <c r="N18" i="21" l="1"/>
  <c r="M9" i="21"/>
  <c r="N21" i="21" l="1"/>
  <c r="N4" i="21"/>
  <c r="N8" i="21" s="1"/>
  <c r="N9" i="21" l="1"/>
</calcChain>
</file>

<file path=xl/sharedStrings.xml><?xml version="1.0" encoding="utf-8"?>
<sst xmlns="http://schemas.openxmlformats.org/spreadsheetml/2006/main" count="1141" uniqueCount="145">
  <si>
    <t>Capacity Assumptions</t>
  </si>
  <si>
    <t>Consultant Headcount</t>
  </si>
  <si>
    <t>Consultant Bill Rate/Hr</t>
  </si>
  <si>
    <t>PTO Allotment</t>
  </si>
  <si>
    <t>Productive Utilization</t>
  </si>
  <si>
    <t>Specialist Headcount</t>
  </si>
  <si>
    <t>Specialist Bill Rate/Hr</t>
  </si>
  <si>
    <t>Billable Utilization</t>
  </si>
  <si>
    <t>Holidays</t>
  </si>
  <si>
    <t>Work Hours in Month</t>
  </si>
  <si>
    <t>Corporate</t>
  </si>
  <si>
    <t>Domestic</t>
  </si>
  <si>
    <t>International</t>
  </si>
  <si>
    <t>Restaurants</t>
  </si>
  <si>
    <t>Public</t>
  </si>
  <si>
    <t>Grand Total</t>
  </si>
  <si>
    <t>Attach Rates</t>
  </si>
  <si>
    <t>Sales Bookings</t>
  </si>
  <si>
    <t>PS Bookings</t>
  </si>
  <si>
    <t>Q1 2023</t>
  </si>
  <si>
    <t>Q2 2023</t>
  </si>
  <si>
    <t>Q3 2023</t>
  </si>
  <si>
    <t>Q4 2023</t>
  </si>
  <si>
    <t>Backlog Details</t>
  </si>
  <si>
    <t>Starting Backlog</t>
  </si>
  <si>
    <t>Ending Backlog</t>
  </si>
  <si>
    <t>Consultant Revenue</t>
  </si>
  <si>
    <t>Headcount</t>
  </si>
  <si>
    <t>Hours in Month</t>
  </si>
  <si>
    <t>Excluded Hours</t>
  </si>
  <si>
    <t>Bill Rate/Hr</t>
  </si>
  <si>
    <t>Specialist Revenue</t>
  </si>
  <si>
    <t>Check</t>
  </si>
  <si>
    <t>Leslie Knope</t>
  </si>
  <si>
    <t>Ron Dunn</t>
  </si>
  <si>
    <t>Chris Traeger</t>
  </si>
  <si>
    <t>Jerry Gergich</t>
  </si>
  <si>
    <t>Ben Wyatt</t>
  </si>
  <si>
    <t>Tammy Swanson</t>
  </si>
  <si>
    <t>Mark Brendanawicz</t>
  </si>
  <si>
    <t>Tom Haverford</t>
  </si>
  <si>
    <t>Bobby Newport</t>
  </si>
  <si>
    <t>Andy Dwyer</t>
  </si>
  <si>
    <t>April Ludgate</t>
  </si>
  <si>
    <t>Jeremy Jamm</t>
  </si>
  <si>
    <t>Donna Meagle</t>
  </si>
  <si>
    <t>Ann Perkins</t>
  </si>
  <si>
    <t>Ron Swanson</t>
  </si>
  <si>
    <t>Consultant</t>
  </si>
  <si>
    <t>Name</t>
  </si>
  <si>
    <t>Position</t>
  </si>
  <si>
    <t>Start Date</t>
  </si>
  <si>
    <t>Bill Saperstein</t>
  </si>
  <si>
    <t>Jennifer Barkley</t>
  </si>
  <si>
    <t>Jean-Ralphio Saperstein</t>
  </si>
  <si>
    <t>Craig Middlebrooks</t>
  </si>
  <si>
    <t>Diane Lewis</t>
  </si>
  <si>
    <t>Specialist</t>
  </si>
  <si>
    <t>Carl Lorthner</t>
  </si>
  <si>
    <t>Garth Blundin</t>
  </si>
  <si>
    <t>Hank Muntak</t>
  </si>
  <si>
    <t>Annabel Porter</t>
  </si>
  <si>
    <t>Edgar Covington</t>
  </si>
  <si>
    <t>Mindy Marfan</t>
  </si>
  <si>
    <t>Dave Sanderson</t>
  </si>
  <si>
    <t>Justin Anderson</t>
  </si>
  <si>
    <t>Linda Lonegan</t>
  </si>
  <si>
    <t>Lucy Santo-Domingo</t>
  </si>
  <si>
    <t>Leslie Perkins-Traeger</t>
  </si>
  <si>
    <t>Stephen Knope-Wyatt</t>
  </si>
  <si>
    <t>Jack Dwyer</t>
  </si>
  <si>
    <t>Professional Services - Current</t>
  </si>
  <si>
    <t>Professional Services - Plan/Budget</t>
  </si>
  <si>
    <t>Cost Assumptions</t>
  </si>
  <si>
    <t>Non-Recurring COGS</t>
  </si>
  <si>
    <t>Revenue Capacity</t>
  </si>
  <si>
    <t>3rd Party Consultants</t>
  </si>
  <si>
    <t>3rd Party Specialists</t>
  </si>
  <si>
    <t>Expenses</t>
  </si>
  <si>
    <t>Comp-Related</t>
  </si>
  <si>
    <t>Non-Comp-Related</t>
  </si>
  <si>
    <t>NR Hosting Expense</t>
  </si>
  <si>
    <t>Gross Margin ($)</t>
  </si>
  <si>
    <t>Gross Margin (%)</t>
  </si>
  <si>
    <t>Hourly Rate - Specialist</t>
  </si>
  <si>
    <t>Hourly Rate - Consultant</t>
  </si>
  <si>
    <t>Non-Comp Related</t>
  </si>
  <si>
    <t>Contribution Margin ($)</t>
  </si>
  <si>
    <t>Contribution Margin (%)</t>
  </si>
  <si>
    <t>3rd Party Consultants NR Cost</t>
  </si>
  <si>
    <t>3rd Party Specialists NR Cost</t>
  </si>
  <si>
    <t>Rates</t>
  </si>
  <si>
    <t>GR% Weighted Rate</t>
  </si>
  <si>
    <t>CM% Weighted Rate</t>
  </si>
  <si>
    <t>Professional Services - Data-Driven</t>
  </si>
  <si>
    <t>Var to Plan</t>
  </si>
  <si>
    <t>∆ from Prior</t>
  </si>
  <si>
    <t>Total PS Revenue</t>
  </si>
  <si>
    <t>PS Revenue</t>
  </si>
  <si>
    <t>Actuals</t>
  </si>
  <si>
    <t>Forecast</t>
  </si>
  <si>
    <t>PS Margins</t>
  </si>
  <si>
    <t>Role</t>
  </si>
  <si>
    <t>End Date</t>
  </si>
  <si>
    <t>Billable Hrs</t>
  </si>
  <si>
    <t>Credited</t>
  </si>
  <si>
    <t>Excluded</t>
  </si>
  <si>
    <t>Calendar</t>
  </si>
  <si>
    <t>Professional Services Management Model</t>
  </si>
  <si>
    <t>Summary View</t>
  </si>
  <si>
    <t>Comparison</t>
  </si>
  <si>
    <t>Current</t>
  </si>
  <si>
    <t>Data-Driven</t>
  </si>
  <si>
    <t xml:space="preserve">Top-level view of the services org using current YTD stats for bookings, attach rates, and utilization. </t>
  </si>
  <si>
    <t xml:space="preserve">Top-level view of the services org using prior period stats for bookings, attach rates, and utilization. </t>
  </si>
  <si>
    <t xml:space="preserve">Top-level view of the services org using annual plan/budgeting stats for bookings, attach rates, and utilization. </t>
  </si>
  <si>
    <t xml:space="preserve">Top-level view of the services org using analyst and pattern-driven stats for bookings, attach rates, and utilization. Useful for modeling different scenarios. </t>
  </si>
  <si>
    <t>Services Stats</t>
  </si>
  <si>
    <t>Consultant Stats</t>
  </si>
  <si>
    <t>Specialist Stats</t>
  </si>
  <si>
    <t xml:space="preserve">Detailed view of backlog (both specialist and consultant, plus consolidated). </t>
  </si>
  <si>
    <t>Utilization data for consultants - actuals + forecast.</t>
  </si>
  <si>
    <t>Utilization data for specialists - actuals + forecast.</t>
  </si>
  <si>
    <t>Professional Services - Backlog Details</t>
  </si>
  <si>
    <t>Consultant Bookings</t>
  </si>
  <si>
    <t>Consultant Bookings*</t>
  </si>
  <si>
    <t>Specialist Bookings</t>
  </si>
  <si>
    <t>Specialist Bookings*</t>
  </si>
  <si>
    <t>Consultant Backlog</t>
  </si>
  <si>
    <t>Specialist Backlog</t>
  </si>
  <si>
    <t>Total Backlog Details</t>
  </si>
  <si>
    <t>Prof Svcs - Data-Driven</t>
  </si>
  <si>
    <t xml:space="preserve">Tables of variables useful for modeling different bookings/attach rate/headcount scenarios. </t>
  </si>
  <si>
    <t>Admin</t>
  </si>
  <si>
    <t>PS Roster</t>
  </si>
  <si>
    <t>Prof Svcs - Current</t>
  </si>
  <si>
    <t>Prof Svcs - Prior</t>
  </si>
  <si>
    <t>Prof Svcs - Plan/Budget</t>
  </si>
  <si>
    <t>Utilization Data</t>
  </si>
  <si>
    <t xml:space="preserve">Up-to-date roster of PS team, including positions, start dates, and position transfer dates. </t>
  </si>
  <si>
    <t>Tables of data that drive the rest of the workbook. Contains views of bookings, attach rates, and revenue capacity.</t>
  </si>
  <si>
    <t xml:space="preserve">Data from CRM showing hours worked by position and project. Useful for tracking project-level work and utilization. </t>
  </si>
  <si>
    <t>Consultant Ending Backlog</t>
  </si>
  <si>
    <t>Specialist Ending Backlog</t>
  </si>
  <si>
    <t>Professional Services -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</si>
</sst>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* #,##0.0_);_(* \(#,##0.0\);_(* &quot;-&quot;??_);_(@_)"/>
    <numFmt numFmtId="165" formatCode="mmm\ yy"/>
    <numFmt numFmtId="166" formatCode="_(* #,##0_);_(* \(#,##0\);_(* &quot;-&quot;??_);_(@_)"/>
    <numFmt numFmtId="167" formatCode="0.0%"/>
    <numFmt numFmtId="168" formatCode="0.0"/>
    <numFmt numFmtId="169" formatCode="_(* #,##0_);[Red]_(* \(#,##0\);_(* &quot;-&quot;??_);_(@_)"/>
    <numFmt numFmtId="170" formatCode="0.00000"/>
    <numFmt numFmtId="171" formatCode="0.0%;;&quot; - &quot;"/>
    <numFmt numFmtId="172" formatCode="_(* \+\ #,##0_);_(* \(#,##0\);_(* &quot;-&quot;??_);_(@_)"/>
    <numFmt numFmtId="173" formatCode="_(* \+\ #,##0.0%_);_(* \(#,##0.0%\);_(* &quot;-&quot;??_);_(@_)"/>
  </numFmts>
  <fonts count="17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i/>
      <sz val="8"/>
      <color rgb="FFFF0000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Helvetica"/>
    </font>
    <font>
      <b/>
      <i/>
      <sz val="10"/>
      <color theme="1"/>
      <name val="Calibri"/>
      <family val="2"/>
    </font>
    <font>
      <b/>
      <sz val="10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6" fontId="4" fillId="2" borderId="1" xfId="1" applyNumberFormat="1" applyFont="1" applyFill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indent="1"/>
    </xf>
    <xf numFmtId="166" fontId="6" fillId="2" borderId="1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166" fontId="3" fillId="0" borderId="0" xfId="1" applyNumberFormat="1" applyFont="1" applyFill="1" applyBorder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0" fontId="0" fillId="0" borderId="4" xfId="0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7" fontId="4" fillId="2" borderId="3" xfId="2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166" fontId="0" fillId="0" borderId="0" xfId="1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166" fontId="0" fillId="0" borderId="2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7" fontId="0" fillId="0" borderId="2" xfId="2" applyNumberFormat="1" applyFont="1" applyBorder="1" applyAlignment="1">
      <alignment vertical="center"/>
    </xf>
    <xf numFmtId="166" fontId="5" fillId="0" borderId="0" xfId="1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0" fillId="0" borderId="0" xfId="1" applyNumberFormat="1" applyFont="1" applyAlignment="1">
      <alignment vertical="center"/>
    </xf>
    <xf numFmtId="169" fontId="0" fillId="0" borderId="2" xfId="1" applyNumberFormat="1" applyFont="1" applyBorder="1" applyAlignment="1">
      <alignment vertical="center"/>
    </xf>
    <xf numFmtId="169" fontId="2" fillId="0" borderId="0" xfId="1" applyNumberFormat="1" applyFont="1" applyAlignment="1">
      <alignment vertical="center"/>
    </xf>
    <xf numFmtId="0" fontId="0" fillId="0" borderId="0" xfId="0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0" borderId="0" xfId="1" applyNumberFormat="1" applyFont="1"/>
    <xf numFmtId="0" fontId="0" fillId="3" borderId="0" xfId="0" applyFill="1"/>
    <xf numFmtId="166" fontId="2" fillId="0" borderId="0" xfId="1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2" xfId="0" applyBorder="1"/>
    <xf numFmtId="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2" fontId="0" fillId="0" borderId="0" xfId="1" applyNumberFormat="1" applyFont="1" applyAlignment="1">
      <alignment horizontal="left"/>
    </xf>
    <xf numFmtId="167" fontId="12" fillId="0" borderId="0" xfId="0" applyNumberFormat="1" applyFont="1" applyAlignment="1">
      <alignment horizontal="left"/>
    </xf>
    <xf numFmtId="0" fontId="12" fillId="0" borderId="0" xfId="0" applyFont="1"/>
    <xf numFmtId="10" fontId="0" fillId="0" borderId="0" xfId="0" applyNumberFormat="1" applyAlignment="1">
      <alignment vertical="center"/>
    </xf>
    <xf numFmtId="170" fontId="5" fillId="0" borderId="0" xfId="0" applyNumberFormat="1" applyFont="1" applyAlignment="1">
      <alignment horizontal="left"/>
    </xf>
    <xf numFmtId="0" fontId="0" fillId="4" borderId="0" xfId="0" applyFill="1"/>
    <xf numFmtId="165" fontId="2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67" fontId="0" fillId="0" borderId="0" xfId="2" applyNumberFormat="1" applyFont="1"/>
    <xf numFmtId="168" fontId="0" fillId="0" borderId="0" xfId="0" applyNumberFormat="1"/>
    <xf numFmtId="0" fontId="0" fillId="0" borderId="0" xfId="0" quotePrefix="1"/>
    <xf numFmtId="171" fontId="0" fillId="0" borderId="0" xfId="0" applyNumberFormat="1"/>
    <xf numFmtId="166" fontId="2" fillId="0" borderId="0" xfId="1" applyNumberFormat="1" applyFont="1"/>
    <xf numFmtId="172" fontId="0" fillId="0" borderId="0" xfId="1" applyNumberFormat="1" applyFont="1" applyAlignment="1">
      <alignment vertical="center"/>
    </xf>
    <xf numFmtId="173" fontId="0" fillId="0" borderId="0" xfId="2" applyNumberFormat="1" applyFont="1"/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9" fontId="1" fillId="0" borderId="0" xfId="1" applyNumberFormat="1" applyFont="1" applyAlignment="1">
      <alignment vertical="center"/>
    </xf>
    <xf numFmtId="169" fontId="5" fillId="0" borderId="0" xfId="1" applyNumberFormat="1" applyFont="1" applyAlignment="1">
      <alignment vertical="center"/>
    </xf>
    <xf numFmtId="169" fontId="1" fillId="0" borderId="2" xfId="1" applyNumberFormat="1" applyFont="1" applyBorder="1" applyAlignment="1">
      <alignment vertical="center"/>
    </xf>
    <xf numFmtId="169" fontId="10" fillId="0" borderId="0" xfId="0" applyNumberFormat="1" applyFont="1" applyAlignment="1">
      <alignment vertical="center"/>
    </xf>
    <xf numFmtId="169" fontId="2" fillId="7" borderId="0" xfId="1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Backlog Details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'Backlog Details'!$B$10</c:f>
              <c:strCache>
                <c:ptCount val="1"/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Details'!$C$10:$N$10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8-E08B-4875-A025-C15C9EB57CBD}"/>
            </c:ext>
          </c:extLst>
        </c:ser>
        <c:ser>
          <c:idx val="7"/>
          <c:order val="7"/>
          <c:tx>
            <c:strRef>
              <c:f>'Backlog Details'!$B$11</c:f>
              <c:strCache>
                <c:ptCount val="1"/>
                <c:pt idx="0">
                  <c:v>Consultant Backlog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Details'!$C$11:$N$11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9-E08B-4875-A025-C15C9EB57CBD}"/>
            </c:ext>
          </c:extLst>
        </c:ser>
        <c:ser>
          <c:idx val="8"/>
          <c:order val="8"/>
          <c:tx>
            <c:strRef>
              <c:f>'Backlog Details'!$B$12</c:f>
              <c:strCache>
                <c:ptCount val="1"/>
                <c:pt idx="0">
                  <c:v>Starting Backlog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Details'!$C$12:$N$12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A-E08B-4875-A025-C15C9EB57CBD}"/>
            </c:ext>
          </c:extLst>
        </c:ser>
        <c:ser>
          <c:idx val="9"/>
          <c:order val="9"/>
          <c:tx>
            <c:strRef>
              <c:f>'Backlog Details'!$B$13</c:f>
              <c:strCache>
                <c:ptCount val="1"/>
                <c:pt idx="0">
                  <c:v>Consultant Bookings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Details'!$C$13:$N$13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B-E08B-4875-A025-C15C9EB57CBD}"/>
            </c:ext>
          </c:extLst>
        </c:ser>
        <c:ser>
          <c:idx val="10"/>
          <c:order val="10"/>
          <c:tx>
            <c:strRef>
              <c:f>'Backlog Details'!$B$14</c:f>
              <c:strCache>
                <c:ptCount val="1"/>
                <c:pt idx="0">
                  <c:v>Consultant Revenue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Details'!$C$14:$N$14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C-E08B-4875-A025-C15C9EB57CBD}"/>
            </c:ext>
          </c:extLst>
        </c:ser>
        <c:ser>
          <c:idx val="11"/>
          <c:order val="11"/>
          <c:tx>
            <c:strRef>
              <c:f>'Backlog Details'!$B$15</c:f>
              <c:strCache>
                <c:ptCount val="1"/>
                <c:pt idx="0">
                  <c:v>Consultant Ending Backlog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'Backlog Details'!$C$15:$N$15</c:f>
            </c:numRef>
          </c:val>
          <c:smooth val="0"/>
          <c:extLst>
            <c:ext xmlns:c16="http://schemas.microsoft.com/office/drawing/2014/chart" uri="{C3380CC4-5D6E-409C-BE32-E72D297353CC}">
              <c16:uniqueId val="{00000000-E08B-4875-A025-C15C9EB57CBD}"/>
            </c:ext>
          </c:extLst>
        </c:ser>
        <c:ser>
          <c:idx val="12"/>
          <c:order val="12"/>
          <c:tx>
            <c:strRef>
              <c:f>'Backlog Details'!$B$16</c:f>
              <c:strCache>
                <c:ptCount val="1"/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Details'!$C$16:$N$16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D-E08B-4875-A025-C15C9EB57CBD}"/>
            </c:ext>
          </c:extLst>
        </c:ser>
        <c:ser>
          <c:idx val="13"/>
          <c:order val="13"/>
          <c:tx>
            <c:strRef>
              <c:f>'Backlog Details'!$B$17</c:f>
              <c:strCache>
                <c:ptCount val="1"/>
                <c:pt idx="0">
                  <c:v>Specialist Backlog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Details'!$C$17:$N$17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E-E08B-4875-A025-C15C9EB57CBD}"/>
            </c:ext>
          </c:extLst>
        </c:ser>
        <c:ser>
          <c:idx val="14"/>
          <c:order val="14"/>
          <c:tx>
            <c:strRef>
              <c:f>'Backlog Details'!$B$18</c:f>
              <c:strCache>
                <c:ptCount val="1"/>
                <c:pt idx="0">
                  <c:v>Starting Backlog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Details'!$C$18:$N$18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F-E08B-4875-A025-C15C9EB57CBD}"/>
            </c:ext>
          </c:extLst>
        </c:ser>
        <c:ser>
          <c:idx val="15"/>
          <c:order val="15"/>
          <c:tx>
            <c:strRef>
              <c:f>'Backlog Details'!$B$19</c:f>
              <c:strCache>
                <c:ptCount val="1"/>
                <c:pt idx="0">
                  <c:v>Specialist Bookings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Details'!$C$19:$N$19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0-E08B-4875-A025-C15C9EB57CBD}"/>
            </c:ext>
          </c:extLst>
        </c:ser>
        <c:ser>
          <c:idx val="16"/>
          <c:order val="16"/>
          <c:tx>
            <c:strRef>
              <c:f>'Backlog Details'!$B$20</c:f>
              <c:strCache>
                <c:ptCount val="1"/>
                <c:pt idx="0">
                  <c:v>Specialist Revenue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  <c:extLst xmlns:c15="http://schemas.microsoft.com/office/drawing/2012/chart"/>
            </c:numRef>
          </c:cat>
          <c:val>
            <c:numRef>
              <c:f>'Backlog Details'!$C$20:$N$20</c:f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1-E08B-4875-A025-C15C9EB57CBD}"/>
            </c:ext>
          </c:extLst>
        </c:ser>
        <c:ser>
          <c:idx val="17"/>
          <c:order val="17"/>
          <c:tx>
            <c:strRef>
              <c:f>'Backlog Details'!$B$21</c:f>
              <c:strCache>
                <c:ptCount val="1"/>
                <c:pt idx="0">
                  <c:v>Specialist Ending Backlog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'Backlog Details'!$C$3:$N$3</c:f>
              <c:numCache>
                <c:formatCode>mmm\ 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'Backlog Details'!$C$21:$N$21</c:f>
            </c:numRef>
          </c:val>
          <c:smooth val="0"/>
          <c:extLst>
            <c:ext xmlns:c16="http://schemas.microsoft.com/office/drawing/2014/chart" uri="{C3380CC4-5D6E-409C-BE32-E72D297353CC}">
              <c16:uniqueId val="{00000001-E08B-4875-A025-C15C9EB57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13055"/>
        <c:axId val="14318747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'Backlog Details'!$B$4</c15:sqref>
                        </c15:formulaRef>
                      </c:ext>
                    </c:extLst>
                    <c:strCache>
                      <c:ptCount val="1"/>
                      <c:pt idx="0">
                        <c:v>Starting Backlog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'Backlog Details'!$C$3:$N$3</c15:sqref>
                        </c15:formulaRef>
                      </c:ext>
                    </c:extLst>
                    <c:numCache>
                      <c:formatCode>mmm\ yy</c:formatCode>
                      <c:ptCount val="12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'Backlog Details'!$C$4:$N$4</c15:sqref>
                        </c15:formulaRef>
                      </c:ext>
                    </c:extLst>
                    <c:numCache>
                      <c:formatCode>_(* #,##0_);[Red]_(* \(#,##0\);_(* "-"??_);_(@_)</c:formatCode>
                      <c:ptCount val="12"/>
                      <c:pt idx="0">
                        <c:v>2100000</c:v>
                      </c:pt>
                      <c:pt idx="1">
                        <c:v>1866222.9098961866</c:v>
                      </c:pt>
                      <c:pt idx="2">
                        <c:v>1702683.0885406779</c:v>
                      </c:pt>
                      <c:pt idx="3">
                        <c:v>1554526.2137847058</c:v>
                      </c:pt>
                      <c:pt idx="4">
                        <c:v>1394173.403576639</c:v>
                      </c:pt>
                      <c:pt idx="5">
                        <c:v>1124759.5342026877</c:v>
                      </c:pt>
                      <c:pt idx="6">
                        <c:v>1148514.3926584562</c:v>
                      </c:pt>
                      <c:pt idx="7">
                        <c:v>955362.03962573037</c:v>
                      </c:pt>
                      <c:pt idx="8">
                        <c:v>666831.80492477422</c:v>
                      </c:pt>
                      <c:pt idx="9">
                        <c:v>673938.486916058</c:v>
                      </c:pt>
                      <c:pt idx="10">
                        <c:v>548231.24357077014</c:v>
                      </c:pt>
                      <c:pt idx="11">
                        <c:v>379848.56371353287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08B-4875-A025-C15C9EB57CB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Details'!$B$5</c15:sqref>
                        </c15:formulaRef>
                      </c:ext>
                    </c:extLst>
                    <c:strCache>
                      <c:ptCount val="1"/>
                      <c:pt idx="0">
                        <c:v>PS Bookings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Details'!$C$3:$N$3</c15:sqref>
                        </c15:formulaRef>
                      </c:ext>
                    </c:extLst>
                    <c:numCache>
                      <c:formatCode>mmm\ yy</c:formatCode>
                      <c:ptCount val="12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Details'!$C$5:$N$5</c15:sqref>
                        </c15:formulaRef>
                      </c:ext>
                    </c:extLst>
                    <c:numCache>
                      <c:formatCode>_(* #,##0_);[Red]_(* \(#,##0\);_(* "-"??_);_(@_)</c:formatCode>
                      <c:ptCount val="12"/>
                      <c:pt idx="0">
                        <c:v>220722.90989618673</c:v>
                      </c:pt>
                      <c:pt idx="1">
                        <c:v>268235.17864449124</c:v>
                      </c:pt>
                      <c:pt idx="2">
                        <c:v>351793.12524402793</c:v>
                      </c:pt>
                      <c:pt idx="3">
                        <c:v>330322.1897919334</c:v>
                      </c:pt>
                      <c:pt idx="4">
                        <c:v>324586.1306260486</c:v>
                      </c:pt>
                      <c:pt idx="5">
                        <c:v>563754.85845576867</c:v>
                      </c:pt>
                      <c:pt idx="6">
                        <c:v>319847.6469672742</c:v>
                      </c:pt>
                      <c:pt idx="7">
                        <c:v>331319.76529904379</c:v>
                      </c:pt>
                      <c:pt idx="8">
                        <c:v>542431.68199128378</c:v>
                      </c:pt>
                      <c:pt idx="9">
                        <c:v>486442.75665471214</c:v>
                      </c:pt>
                      <c:pt idx="10">
                        <c:v>414617.32014276285</c:v>
                      </c:pt>
                      <c:pt idx="11">
                        <c:v>576349.24923303747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08B-4875-A025-C15C9EB57CB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Details'!$B$6</c15:sqref>
                        </c15:formulaRef>
                      </c:ext>
                    </c:extLst>
                    <c:strCache>
                      <c:ptCount val="1"/>
                      <c:pt idx="0">
                        <c:v>Consultant Revenue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Details'!$C$3:$N$3</c15:sqref>
                        </c15:formulaRef>
                      </c:ext>
                    </c:extLst>
                    <c:numCache>
                      <c:formatCode>mmm\ yy</c:formatCode>
                      <c:ptCount val="12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Details'!$C$6:$N$6</c15:sqref>
                        </c15:formulaRef>
                      </c:ext>
                    </c:extLst>
                    <c:numCache>
                      <c:formatCode>_(* #,##0_);[Red]_(* \(#,##0\);_(* "-"??_);_(@_)</c:formatCode>
                      <c:ptCount val="12"/>
                      <c:pt idx="0">
                        <c:v>-360000</c:v>
                      </c:pt>
                      <c:pt idx="1">
                        <c:v>-342000</c:v>
                      </c:pt>
                      <c:pt idx="2">
                        <c:v>-396000</c:v>
                      </c:pt>
                      <c:pt idx="3">
                        <c:v>-379525</c:v>
                      </c:pt>
                      <c:pt idx="4">
                        <c:v>-465300</c:v>
                      </c:pt>
                      <c:pt idx="5">
                        <c:v>-423000</c:v>
                      </c:pt>
                      <c:pt idx="6">
                        <c:v>-401850</c:v>
                      </c:pt>
                      <c:pt idx="7">
                        <c:v>-491150</c:v>
                      </c:pt>
                      <c:pt idx="8">
                        <c:v>-424175</c:v>
                      </c:pt>
                      <c:pt idx="9">
                        <c:v>-468825</c:v>
                      </c:pt>
                      <c:pt idx="10">
                        <c:v>-446500</c:v>
                      </c:pt>
                      <c:pt idx="11">
                        <c:v>-470000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08B-4875-A025-C15C9EB57CB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Details'!$B$7</c15:sqref>
                        </c15:formulaRef>
                      </c:ext>
                    </c:extLst>
                    <c:strCache>
                      <c:ptCount val="1"/>
                      <c:pt idx="0">
                        <c:v>Specialist Revenue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Details'!$C$3:$N$3</c15:sqref>
                        </c15:formulaRef>
                      </c:ext>
                    </c:extLst>
                    <c:numCache>
                      <c:formatCode>mmm\ yy</c:formatCode>
                      <c:ptCount val="12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Details'!$C$7:$N$7</c15:sqref>
                        </c15:formulaRef>
                      </c:ext>
                    </c:extLst>
                    <c:numCache>
                      <c:formatCode>_(* #,##0_);[Red]_(* \(#,##0\);_(* "-"??_);_(@_)</c:formatCode>
                      <c:ptCount val="12"/>
                      <c:pt idx="0">
                        <c:v>-94500</c:v>
                      </c:pt>
                      <c:pt idx="1">
                        <c:v>-89775</c:v>
                      </c:pt>
                      <c:pt idx="2">
                        <c:v>-103950</c:v>
                      </c:pt>
                      <c:pt idx="3">
                        <c:v>-111150</c:v>
                      </c:pt>
                      <c:pt idx="4">
                        <c:v>-128700</c:v>
                      </c:pt>
                      <c:pt idx="5">
                        <c:v>-117000</c:v>
                      </c:pt>
                      <c:pt idx="6">
                        <c:v>-111150</c:v>
                      </c:pt>
                      <c:pt idx="7">
                        <c:v>-128700</c:v>
                      </c:pt>
                      <c:pt idx="8">
                        <c:v>-111150</c:v>
                      </c:pt>
                      <c:pt idx="9">
                        <c:v>-143325</c:v>
                      </c:pt>
                      <c:pt idx="10">
                        <c:v>-136500</c:v>
                      </c:pt>
                      <c:pt idx="11">
                        <c:v>-136500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08B-4875-A025-C15C9EB57CB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Details'!$B$8</c15:sqref>
                        </c15:formulaRef>
                      </c:ext>
                    </c:extLst>
                    <c:strCache>
                      <c:ptCount val="1"/>
                      <c:pt idx="0">
                        <c:v>Ending Backlog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Details'!$C$3:$N$3</c15:sqref>
                        </c15:formulaRef>
                      </c:ext>
                    </c:extLst>
                    <c:numCache>
                      <c:formatCode>mmm\ yy</c:formatCode>
                      <c:ptCount val="12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Details'!$C$8:$N$8</c15:sqref>
                        </c15:formulaRef>
                      </c:ext>
                    </c:extLst>
                    <c:numCache>
                      <c:formatCode>_(* #,##0_);[Red]_(* \(#,##0\);_(* "-"??_);_(@_)</c:formatCode>
                      <c:ptCount val="12"/>
                      <c:pt idx="0">
                        <c:v>1866222.9098961866</c:v>
                      </c:pt>
                      <c:pt idx="1">
                        <c:v>1702683.0885406779</c:v>
                      </c:pt>
                      <c:pt idx="2">
                        <c:v>1554526.2137847058</c:v>
                      </c:pt>
                      <c:pt idx="3">
                        <c:v>1394173.4035766392</c:v>
                      </c:pt>
                      <c:pt idx="4">
                        <c:v>1124759.5342026877</c:v>
                      </c:pt>
                      <c:pt idx="5">
                        <c:v>1148514.3926584562</c:v>
                      </c:pt>
                      <c:pt idx="6">
                        <c:v>955362.03962573037</c:v>
                      </c:pt>
                      <c:pt idx="7">
                        <c:v>666831.80492477422</c:v>
                      </c:pt>
                      <c:pt idx="8">
                        <c:v>673938.486916058</c:v>
                      </c:pt>
                      <c:pt idx="9">
                        <c:v>548231.24357077014</c:v>
                      </c:pt>
                      <c:pt idx="10">
                        <c:v>379848.56371353299</c:v>
                      </c:pt>
                      <c:pt idx="11">
                        <c:v>349697.81294657034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08B-4875-A025-C15C9EB57C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Details'!$B$9</c15:sqref>
                        </c15:formulaRef>
                      </c:ext>
                    </c:extLst>
                    <c:strCache>
                      <c:ptCount val="1"/>
                      <c:pt idx="0">
                        <c:v>Check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Details'!$C$3:$N$3</c15:sqref>
                        </c15:formulaRef>
                      </c:ext>
                    </c:extLst>
                    <c:numCache>
                      <c:formatCode>mmm\ yy</c:formatCode>
                      <c:ptCount val="12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'Backlog Details'!$C$9:$N$9</c15:sqref>
                        </c15:formulaRef>
                      </c:ext>
                    </c:extLst>
                    <c:numCache>
                      <c:formatCode>_(* #,##0_);[Red]_(* \(#,##0\);_(*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E08B-4875-A025-C15C9EB57CBD}"/>
                  </c:ext>
                </c:extLst>
              </c15:ser>
            </c15:filteredLineSeries>
          </c:ext>
        </c:extLst>
      </c:lineChart>
      <c:catAx>
        <c:axId val="486313055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874767"/>
        <c:crosses val="autoZero"/>
        <c:auto val="1"/>
        <c:lblAlgn val="ctr"/>
        <c:lblOffset val="100"/>
        <c:noMultiLvlLbl val="0"/>
      </c:catAx>
      <c:valAx>
        <c:axId val="143187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[Red]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313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1</xdr:row>
      <xdr:rowOff>9525</xdr:rowOff>
    </xdr:from>
    <xdr:to>
      <xdr:col>16</xdr:col>
      <xdr:colOff>276224</xdr:colOff>
      <xdr:row>22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3F0BED-637C-4A44-A43F-C3F956207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43A1-777E-4542-A1D4-4528CC2F5EC6}">
  <dimension ref="B2:AB38"/>
  <sheetViews>
    <sheetView showGridLines="0" tabSelected="1" workbookViewId="0"/>
  </sheetViews>
  <sheetFormatPr defaultColWidth="9.140625" defaultRowHeight="15" customHeight="1" x14ac:dyDescent="0.2"/>
  <cols>
    <col min="1" max="1" width="3.28515625" style="25" customWidth="1"/>
    <col min="2" max="2" width="20.7109375" style="25" customWidth="1"/>
    <col min="3" max="8" width="12.7109375" style="25" customWidth="1"/>
    <col min="9" max="9" width="25.28515625" style="25" bestFit="1" customWidth="1"/>
    <col min="10" max="10" width="12.7109375" style="25" customWidth="1"/>
    <col min="11" max="11" width="13.7109375" style="25" customWidth="1"/>
    <col min="12" max="12" width="27" style="25" bestFit="1" customWidth="1"/>
    <col min="13" max="13" width="13.7109375" style="25" customWidth="1"/>
    <col min="14" max="14" width="27" style="25" bestFit="1" customWidth="1"/>
    <col min="15" max="15" width="13.7109375" style="25" customWidth="1"/>
    <col min="16" max="16" width="27" style="25" bestFit="1" customWidth="1"/>
    <col min="17" max="16384" width="9.140625" style="25"/>
  </cols>
  <sheetData>
    <row r="2" spans="2:28" ht="23.25" x14ac:dyDescent="0.2">
      <c r="B2" s="72" t="s">
        <v>108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</row>
    <row r="3" spans="2:28" ht="15" customHeight="1" x14ac:dyDescent="0.2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2:28" ht="15" customHeight="1" x14ac:dyDescent="0.2">
      <c r="B4" s="24" t="s">
        <v>109</v>
      </c>
    </row>
    <row r="5" spans="2:28" ht="15" customHeight="1" x14ac:dyDescent="0.2">
      <c r="B5" s="24"/>
    </row>
    <row r="6" spans="2:28" ht="15" customHeight="1" x14ac:dyDescent="0.2">
      <c r="B6" s="76" t="s">
        <v>110</v>
      </c>
    </row>
    <row r="7" spans="2:28" s="79" customFormat="1" ht="15" customHeight="1" x14ac:dyDescent="0.2">
      <c r="B7" s="79" t="s">
        <v>135</v>
      </c>
      <c r="C7" s="79" t="s">
        <v>113</v>
      </c>
    </row>
    <row r="8" spans="2:28" s="79" customFormat="1" ht="15" customHeight="1" x14ac:dyDescent="0.2">
      <c r="B8" s="80" t="s">
        <v>136</v>
      </c>
      <c r="C8" s="79" t="s">
        <v>114</v>
      </c>
    </row>
    <row r="9" spans="2:28" s="79" customFormat="1" ht="15" customHeight="1" x14ac:dyDescent="0.2">
      <c r="B9" s="80" t="s">
        <v>137</v>
      </c>
      <c r="C9" s="79" t="s">
        <v>115</v>
      </c>
    </row>
    <row r="10" spans="2:28" s="24" customFormat="1" ht="15" customHeight="1" x14ac:dyDescent="0.2">
      <c r="B10" s="78"/>
    </row>
    <row r="11" spans="2:28" s="24" customFormat="1" ht="15" customHeight="1" x14ac:dyDescent="0.2">
      <c r="B11" s="76" t="s">
        <v>117</v>
      </c>
    </row>
    <row r="12" spans="2:28" s="79" customFormat="1" ht="15" customHeight="1" x14ac:dyDescent="0.2">
      <c r="B12" s="79" t="s">
        <v>112</v>
      </c>
      <c r="C12" s="79" t="s">
        <v>132</v>
      </c>
    </row>
    <row r="13" spans="2:28" s="79" customFormat="1" ht="15" customHeight="1" x14ac:dyDescent="0.2">
      <c r="B13" s="79" t="s">
        <v>131</v>
      </c>
      <c r="C13" s="79" t="s">
        <v>116</v>
      </c>
    </row>
    <row r="14" spans="2:28" s="24" customFormat="1" ht="15" customHeight="1" x14ac:dyDescent="0.2">
      <c r="B14" s="78"/>
    </row>
    <row r="15" spans="2:28" s="24" customFormat="1" ht="15" customHeight="1" x14ac:dyDescent="0.2">
      <c r="B15" s="76" t="s">
        <v>117</v>
      </c>
    </row>
    <row r="16" spans="2:28" ht="15" customHeight="1" x14ac:dyDescent="0.2">
      <c r="B16" s="25" t="s">
        <v>23</v>
      </c>
      <c r="C16" s="25" t="s">
        <v>120</v>
      </c>
    </row>
    <row r="17" spans="2:6" ht="15" customHeight="1" x14ac:dyDescent="0.2">
      <c r="B17" s="25" t="s">
        <v>118</v>
      </c>
      <c r="C17" s="25" t="s">
        <v>121</v>
      </c>
    </row>
    <row r="18" spans="2:6" ht="15" customHeight="1" x14ac:dyDescent="0.2">
      <c r="B18" s="25" t="s">
        <v>119</v>
      </c>
      <c r="C18" s="25" t="s">
        <v>122</v>
      </c>
    </row>
    <row r="20" spans="2:6" ht="15" customHeight="1" x14ac:dyDescent="0.2">
      <c r="B20" s="76" t="s">
        <v>133</v>
      </c>
    </row>
    <row r="21" spans="2:6" ht="15" customHeight="1" x14ac:dyDescent="0.2">
      <c r="B21" s="25" t="s">
        <v>134</v>
      </c>
      <c r="C21" s="25" t="s">
        <v>139</v>
      </c>
    </row>
    <row r="22" spans="2:6" ht="15" customHeight="1" x14ac:dyDescent="0.2">
      <c r="B22" s="25" t="s">
        <v>111</v>
      </c>
      <c r="C22" s="25" t="s">
        <v>140</v>
      </c>
    </row>
    <row r="23" spans="2:6" s="79" customFormat="1" ht="15" customHeight="1" x14ac:dyDescent="0.2">
      <c r="B23" s="79" t="s">
        <v>138</v>
      </c>
      <c r="C23" s="79" t="s">
        <v>141</v>
      </c>
    </row>
    <row r="31" spans="2:6" ht="15" customHeight="1" x14ac:dyDescent="0.2">
      <c r="B31" s="24"/>
    </row>
    <row r="32" spans="2:6" ht="15" customHeight="1" x14ac:dyDescent="0.2">
      <c r="F32" s="77"/>
    </row>
    <row r="38" spans="2:2" ht="15" customHeight="1" x14ac:dyDescent="0.2">
      <c r="B38" s="2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4C518-B920-4CCC-85C7-D048C52B1C49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F08E-12C1-4271-8D66-9CEAB022B051}">
  <dimension ref="B2:U71"/>
  <sheetViews>
    <sheetView showGridLines="0" workbookViewId="0"/>
  </sheetViews>
  <sheetFormatPr defaultRowHeight="12.75" outlineLevelRow="1" x14ac:dyDescent="0.2"/>
  <cols>
    <col min="1" max="1" width="5.7109375" style="25" customWidth="1"/>
    <col min="2" max="2" width="20.7109375" style="25" customWidth="1"/>
    <col min="3" max="14" width="10.7109375" style="25" customWidth="1"/>
    <col min="15" max="15" width="5.7109375" style="25" customWidth="1"/>
    <col min="16" max="19" width="10.7109375" style="25" customWidth="1"/>
    <col min="20" max="20" width="5.7109375" style="25" customWidth="1"/>
    <col min="21" max="21" width="10.7109375" style="25" customWidth="1"/>
    <col min="22" max="16384" width="9.140625" style="25"/>
  </cols>
  <sheetData>
    <row r="2" spans="2:21" ht="21" customHeight="1" x14ac:dyDescent="0.2">
      <c r="B2" s="50" t="s">
        <v>123</v>
      </c>
    </row>
    <row r="3" spans="2:21" ht="15" customHeight="1" x14ac:dyDescent="0.2">
      <c r="B3" s="24" t="s">
        <v>130</v>
      </c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3" t="s">
        <v>19</v>
      </c>
      <c r="Q3" s="3" t="s">
        <v>20</v>
      </c>
      <c r="R3" s="3" t="s">
        <v>21</v>
      </c>
      <c r="S3" s="3" t="s">
        <v>22</v>
      </c>
      <c r="U3" s="3" t="s">
        <v>22</v>
      </c>
    </row>
    <row r="4" spans="2:21" s="79" customFormat="1" ht="15" customHeight="1" x14ac:dyDescent="0.2">
      <c r="B4" s="79" t="s">
        <v>24</v>
      </c>
      <c r="C4" s="81">
        <f>C12+C18</f>
        <v>2100000</v>
      </c>
      <c r="D4" s="81">
        <f t="shared" ref="D4:N4" si="1">D12+D18</f>
        <v>1866222.9098961866</v>
      </c>
      <c r="E4" s="81">
        <f t="shared" si="1"/>
        <v>1702683.0885406779</v>
      </c>
      <c r="F4" s="81">
        <f t="shared" si="1"/>
        <v>1554526.2137847058</v>
      </c>
      <c r="G4" s="81">
        <f t="shared" si="1"/>
        <v>1394173.403576639</v>
      </c>
      <c r="H4" s="81">
        <f t="shared" si="1"/>
        <v>1124759.5342026877</v>
      </c>
      <c r="I4" s="81">
        <f t="shared" si="1"/>
        <v>1148514.3926584562</v>
      </c>
      <c r="J4" s="81">
        <f t="shared" si="1"/>
        <v>955362.03962573037</v>
      </c>
      <c r="K4" s="81">
        <f t="shared" si="1"/>
        <v>666831.80492477422</v>
      </c>
      <c r="L4" s="81">
        <f t="shared" si="1"/>
        <v>673938.486916058</v>
      </c>
      <c r="M4" s="81">
        <f t="shared" si="1"/>
        <v>548231.24357077014</v>
      </c>
      <c r="N4" s="81">
        <f t="shared" si="1"/>
        <v>379848.56371353287</v>
      </c>
      <c r="O4" s="81"/>
      <c r="P4" s="81">
        <f>C4</f>
        <v>2100000</v>
      </c>
      <c r="Q4" s="81">
        <f>P8</f>
        <v>1554526.2137847058</v>
      </c>
      <c r="R4" s="81">
        <f t="shared" ref="R4:S4" si="2">Q8</f>
        <v>1148514.3926584567</v>
      </c>
      <c r="S4" s="81">
        <f t="shared" si="2"/>
        <v>673938.4869160587</v>
      </c>
      <c r="T4" s="81"/>
      <c r="U4" s="81">
        <f>P4</f>
        <v>2100000</v>
      </c>
    </row>
    <row r="5" spans="2:21" ht="15" customHeight="1" x14ac:dyDescent="0.2">
      <c r="B5" s="31" t="s">
        <v>18</v>
      </c>
      <c r="C5" s="42">
        <f>C13+C19</f>
        <v>220722.90989618673</v>
      </c>
      <c r="D5" s="42">
        <f t="shared" ref="D5:N5" si="3">D13+D19</f>
        <v>268235.17864449124</v>
      </c>
      <c r="E5" s="42">
        <f t="shared" si="3"/>
        <v>351793.12524402793</v>
      </c>
      <c r="F5" s="42">
        <f t="shared" si="3"/>
        <v>330322.1897919334</v>
      </c>
      <c r="G5" s="42">
        <f t="shared" si="3"/>
        <v>324586.1306260486</v>
      </c>
      <c r="H5" s="42">
        <f t="shared" si="3"/>
        <v>563754.85845576867</v>
      </c>
      <c r="I5" s="42">
        <f t="shared" si="3"/>
        <v>319847.6469672742</v>
      </c>
      <c r="J5" s="42">
        <f t="shared" si="3"/>
        <v>331319.76529904379</v>
      </c>
      <c r="K5" s="42">
        <f t="shared" si="3"/>
        <v>542431.68199128378</v>
      </c>
      <c r="L5" s="42">
        <f t="shared" si="3"/>
        <v>486442.75665471214</v>
      </c>
      <c r="M5" s="42">
        <f t="shared" si="3"/>
        <v>414617.32014276285</v>
      </c>
      <c r="N5" s="42">
        <f t="shared" si="3"/>
        <v>576349.24923303747</v>
      </c>
      <c r="O5" s="42"/>
      <c r="P5" s="42">
        <f t="shared" ref="P5:P7" si="4">SUM(C5:E5)</f>
        <v>840751.21378470585</v>
      </c>
      <c r="Q5" s="42">
        <f t="shared" ref="Q5:Q7" si="5">SUM(F5:H5)</f>
        <v>1218663.1788737508</v>
      </c>
      <c r="R5" s="42">
        <f t="shared" ref="R5:R7" si="6">SUM(I5:K5)</f>
        <v>1193599.0942576018</v>
      </c>
      <c r="S5" s="42">
        <f t="shared" ref="S5:S7" si="7">SUM(L5:N5)</f>
        <v>1477409.3260305123</v>
      </c>
      <c r="T5" s="42"/>
      <c r="U5" s="42">
        <f t="shared" ref="U5:U7" si="8">SUM(P5:S5)</f>
        <v>4730422.812946571</v>
      </c>
    </row>
    <row r="6" spans="2:21" ht="15" customHeight="1" x14ac:dyDescent="0.2">
      <c r="B6" s="31" t="s">
        <v>26</v>
      </c>
      <c r="C6" s="42">
        <f>C14</f>
        <v>-360000</v>
      </c>
      <c r="D6" s="42">
        <f t="shared" ref="D6:N6" si="9">D14</f>
        <v>-342000</v>
      </c>
      <c r="E6" s="42">
        <f t="shared" si="9"/>
        <v>-396000</v>
      </c>
      <c r="F6" s="42">
        <f t="shared" si="9"/>
        <v>-379525</v>
      </c>
      <c r="G6" s="42">
        <f t="shared" si="9"/>
        <v>-465300</v>
      </c>
      <c r="H6" s="42">
        <f t="shared" si="9"/>
        <v>-423000</v>
      </c>
      <c r="I6" s="42">
        <f t="shared" si="9"/>
        <v>-401850</v>
      </c>
      <c r="J6" s="42">
        <f t="shared" si="9"/>
        <v>-491150</v>
      </c>
      <c r="K6" s="42">
        <f t="shared" si="9"/>
        <v>-424175</v>
      </c>
      <c r="L6" s="42">
        <f t="shared" si="9"/>
        <v>-468825</v>
      </c>
      <c r="M6" s="42">
        <f t="shared" si="9"/>
        <v>-446500</v>
      </c>
      <c r="N6" s="42">
        <f t="shared" si="9"/>
        <v>-470000</v>
      </c>
      <c r="O6" s="42"/>
      <c r="P6" s="42">
        <f t="shared" si="4"/>
        <v>-1098000</v>
      </c>
      <c r="Q6" s="42">
        <f t="shared" si="5"/>
        <v>-1267825</v>
      </c>
      <c r="R6" s="42">
        <f t="shared" si="6"/>
        <v>-1317175</v>
      </c>
      <c r="S6" s="42">
        <f t="shared" si="7"/>
        <v>-1385325</v>
      </c>
      <c r="T6" s="42"/>
      <c r="U6" s="42">
        <f t="shared" si="8"/>
        <v>-5068325</v>
      </c>
    </row>
    <row r="7" spans="2:21" ht="15" customHeight="1" x14ac:dyDescent="0.2">
      <c r="B7" s="32" t="s">
        <v>31</v>
      </c>
      <c r="C7" s="43">
        <f>C20</f>
        <v>-94500</v>
      </c>
      <c r="D7" s="43">
        <f t="shared" ref="D7:N7" si="10">D20</f>
        <v>-89775</v>
      </c>
      <c r="E7" s="43">
        <f t="shared" si="10"/>
        <v>-103950</v>
      </c>
      <c r="F7" s="43">
        <f t="shared" si="10"/>
        <v>-111150</v>
      </c>
      <c r="G7" s="43">
        <f t="shared" si="10"/>
        <v>-128700</v>
      </c>
      <c r="H7" s="43">
        <f t="shared" si="10"/>
        <v>-117000</v>
      </c>
      <c r="I7" s="43">
        <f t="shared" si="10"/>
        <v>-111150</v>
      </c>
      <c r="J7" s="43">
        <f t="shared" si="10"/>
        <v>-128700</v>
      </c>
      <c r="K7" s="43">
        <f t="shared" si="10"/>
        <v>-111150</v>
      </c>
      <c r="L7" s="43">
        <f t="shared" si="10"/>
        <v>-143325</v>
      </c>
      <c r="M7" s="43">
        <f t="shared" si="10"/>
        <v>-136500</v>
      </c>
      <c r="N7" s="43">
        <f t="shared" si="10"/>
        <v>-136500</v>
      </c>
      <c r="O7" s="42"/>
      <c r="P7" s="43">
        <f t="shared" si="4"/>
        <v>-288225</v>
      </c>
      <c r="Q7" s="43">
        <f t="shared" si="5"/>
        <v>-356850</v>
      </c>
      <c r="R7" s="43">
        <f t="shared" si="6"/>
        <v>-351000</v>
      </c>
      <c r="S7" s="43">
        <f t="shared" si="7"/>
        <v>-416325</v>
      </c>
      <c r="T7" s="42"/>
      <c r="U7" s="43">
        <f t="shared" si="8"/>
        <v>-1412400</v>
      </c>
    </row>
    <row r="8" spans="2:21" ht="15" customHeight="1" x14ac:dyDescent="0.2">
      <c r="B8" s="24" t="s">
        <v>25</v>
      </c>
      <c r="C8" s="44">
        <f>SUM(C4:C7)</f>
        <v>1866222.9098961866</v>
      </c>
      <c r="D8" s="44">
        <f t="shared" ref="D8:N8" si="11">SUM(D4:D7)</f>
        <v>1702683.0885406779</v>
      </c>
      <c r="E8" s="44">
        <f t="shared" si="11"/>
        <v>1554526.2137847058</v>
      </c>
      <c r="F8" s="44">
        <f t="shared" si="11"/>
        <v>1394173.4035766392</v>
      </c>
      <c r="G8" s="44">
        <f t="shared" si="11"/>
        <v>1124759.5342026877</v>
      </c>
      <c r="H8" s="44">
        <f t="shared" si="11"/>
        <v>1148514.3926584562</v>
      </c>
      <c r="I8" s="44">
        <f t="shared" si="11"/>
        <v>955362.03962573037</v>
      </c>
      <c r="J8" s="44">
        <f t="shared" si="11"/>
        <v>666831.80492477422</v>
      </c>
      <c r="K8" s="44">
        <f t="shared" si="11"/>
        <v>673938.486916058</v>
      </c>
      <c r="L8" s="44">
        <f t="shared" si="11"/>
        <v>548231.24357077014</v>
      </c>
      <c r="M8" s="44">
        <f t="shared" si="11"/>
        <v>379848.56371353299</v>
      </c>
      <c r="N8" s="44">
        <f t="shared" si="11"/>
        <v>349697.81294657034</v>
      </c>
      <c r="O8" s="44"/>
      <c r="P8" s="44">
        <f t="shared" ref="P8:S8" si="12">SUM(P4:P7)</f>
        <v>1554526.2137847058</v>
      </c>
      <c r="Q8" s="44">
        <f t="shared" si="12"/>
        <v>1148514.3926584567</v>
      </c>
      <c r="R8" s="44">
        <f t="shared" si="12"/>
        <v>673938.4869160587</v>
      </c>
      <c r="S8" s="44">
        <f t="shared" si="12"/>
        <v>349697.81294657104</v>
      </c>
      <c r="T8" s="44"/>
      <c r="U8" s="44">
        <f t="shared" ref="U8" si="13">SUM(U4:U7)</f>
        <v>349697.81294657104</v>
      </c>
    </row>
    <row r="9" spans="2:21" x14ac:dyDescent="0.2">
      <c r="B9" s="40" t="s">
        <v>32</v>
      </c>
      <c r="C9" s="84">
        <f>C15+C21-C8</f>
        <v>0</v>
      </c>
      <c r="D9" s="84">
        <f t="shared" ref="D9:N9" si="14">D15+D21-D8</f>
        <v>0</v>
      </c>
      <c r="E9" s="84">
        <f t="shared" si="14"/>
        <v>0</v>
      </c>
      <c r="F9" s="84">
        <f t="shared" si="14"/>
        <v>0</v>
      </c>
      <c r="G9" s="84">
        <f t="shared" si="14"/>
        <v>0</v>
      </c>
      <c r="H9" s="84">
        <f t="shared" si="14"/>
        <v>0</v>
      </c>
      <c r="I9" s="84">
        <f t="shared" si="14"/>
        <v>0</v>
      </c>
      <c r="J9" s="84">
        <f t="shared" si="14"/>
        <v>0</v>
      </c>
      <c r="K9" s="84">
        <f t="shared" si="14"/>
        <v>0</v>
      </c>
      <c r="L9" s="84">
        <f t="shared" si="14"/>
        <v>0</v>
      </c>
      <c r="M9" s="84">
        <f t="shared" si="14"/>
        <v>0</v>
      </c>
      <c r="N9" s="84">
        <f t="shared" si="14"/>
        <v>0</v>
      </c>
      <c r="O9" s="40"/>
      <c r="P9" s="84">
        <f t="shared" ref="P9" si="15">P15+P21-P8</f>
        <v>0</v>
      </c>
      <c r="Q9" s="84">
        <f t="shared" ref="Q9" si="16">Q15+Q21-Q8</f>
        <v>0</v>
      </c>
      <c r="R9" s="84">
        <f t="shared" ref="R9" si="17">R15+R21-R8</f>
        <v>0</v>
      </c>
      <c r="S9" s="84">
        <f t="shared" ref="S9" si="18">S15+S21-S8</f>
        <v>0</v>
      </c>
      <c r="T9" s="40"/>
      <c r="U9" s="84">
        <f t="shared" ref="U9" si="19">U15+U21-U8</f>
        <v>-4.6566128730773926E-10</v>
      </c>
    </row>
    <row r="10" spans="2:21" hidden="1" outlineLevel="1" x14ac:dyDescent="0.2"/>
    <row r="11" spans="2:21" ht="15" hidden="1" customHeight="1" outlineLevel="1" x14ac:dyDescent="0.2">
      <c r="B11" s="24" t="s">
        <v>128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3"/>
      <c r="Q11" s="3"/>
      <c r="R11" s="3"/>
      <c r="S11" s="3"/>
      <c r="U11" s="3"/>
    </row>
    <row r="12" spans="2:21" s="79" customFormat="1" ht="15" hidden="1" customHeight="1" outlineLevel="1" x14ac:dyDescent="0.2">
      <c r="B12" s="79" t="s">
        <v>24</v>
      </c>
      <c r="C12" s="85">
        <v>1663366.3366336634</v>
      </c>
      <c r="D12" s="81">
        <f>C15</f>
        <v>1478196.3642742073</v>
      </c>
      <c r="E12" s="81">
        <f t="shared" ref="E12:N12" si="20">D15</f>
        <v>1348659.8721114281</v>
      </c>
      <c r="F12" s="81">
        <f t="shared" si="20"/>
        <v>1231307.8921066977</v>
      </c>
      <c r="G12" s="81">
        <f t="shared" si="20"/>
        <v>1107278.951781194</v>
      </c>
      <c r="H12" s="81">
        <f t="shared" si="20"/>
        <v>896238.08743826533</v>
      </c>
      <c r="I12" s="81">
        <f t="shared" si="20"/>
        <v>914846.05989528401</v>
      </c>
      <c r="J12" s="81">
        <f t="shared" si="20"/>
        <v>763543.38335298211</v>
      </c>
      <c r="K12" s="81">
        <f t="shared" si="20"/>
        <v>534920.93473900342</v>
      </c>
      <c r="L12" s="81">
        <f t="shared" si="20"/>
        <v>540552.0501056551</v>
      </c>
      <c r="M12" s="81">
        <f t="shared" si="20"/>
        <v>444277.12016796891</v>
      </c>
      <c r="N12" s="81">
        <f t="shared" si="20"/>
        <v>315318.51544025633</v>
      </c>
      <c r="O12" s="81"/>
      <c r="P12" s="81">
        <f>C12</f>
        <v>1663366.3366336634</v>
      </c>
      <c r="Q12" s="81">
        <f>P15</f>
        <v>1231307.8921066979</v>
      </c>
      <c r="R12" s="81">
        <f t="shared" ref="R12" si="21">Q15</f>
        <v>914846.05989528447</v>
      </c>
      <c r="S12" s="81">
        <f t="shared" ref="S12" si="22">R15</f>
        <v>540552.05010565557</v>
      </c>
      <c r="T12" s="81"/>
      <c r="U12" s="81">
        <f>P12</f>
        <v>1663366.3366336634</v>
      </c>
    </row>
    <row r="13" spans="2:21" ht="15" hidden="1" customHeight="1" outlineLevel="1" x14ac:dyDescent="0.2">
      <c r="B13" s="31" t="s">
        <v>124</v>
      </c>
      <c r="C13" s="42">
        <f>C42</f>
        <v>174830.02764054394</v>
      </c>
      <c r="D13" s="42">
        <f>D42</f>
        <v>212463.50783722079</v>
      </c>
      <c r="E13" s="42">
        <f t="shared" ref="E13:N13" si="23">E42</f>
        <v>278648.01999526966</v>
      </c>
      <c r="F13" s="42">
        <f t="shared" si="23"/>
        <v>255496.05967449638</v>
      </c>
      <c r="G13" s="42">
        <f t="shared" si="23"/>
        <v>254259.1356570714</v>
      </c>
      <c r="H13" s="42">
        <f t="shared" si="23"/>
        <v>441607.9724570188</v>
      </c>
      <c r="I13" s="42">
        <f t="shared" si="23"/>
        <v>250547.3234576981</v>
      </c>
      <c r="J13" s="42">
        <f t="shared" si="23"/>
        <v>262527.55138602137</v>
      </c>
      <c r="K13" s="42">
        <f t="shared" si="23"/>
        <v>429806.11536665168</v>
      </c>
      <c r="L13" s="42">
        <f t="shared" si="23"/>
        <v>372550.07006231381</v>
      </c>
      <c r="M13" s="42">
        <f t="shared" si="23"/>
        <v>317541.39527228748</v>
      </c>
      <c r="N13" s="42">
        <f t="shared" si="23"/>
        <v>446635.03238174377</v>
      </c>
      <c r="O13" s="42"/>
      <c r="P13" s="42">
        <f t="shared" ref="P13:P14" si="24">SUM(C13:E13)</f>
        <v>665941.55547303439</v>
      </c>
      <c r="Q13" s="42">
        <f t="shared" ref="Q13:Q14" si="25">SUM(F13:H13)</f>
        <v>951363.16778858658</v>
      </c>
      <c r="R13" s="42">
        <f t="shared" ref="R13:R14" si="26">SUM(I13:K13)</f>
        <v>942880.99021037109</v>
      </c>
      <c r="S13" s="42">
        <f t="shared" ref="S13:S14" si="27">SUM(L13:N13)</f>
        <v>1136726.4977163449</v>
      </c>
      <c r="T13" s="42"/>
      <c r="U13" s="42">
        <f t="shared" ref="U13:U14" si="28">SUM(P13:S13)</f>
        <v>3696912.2111883368</v>
      </c>
    </row>
    <row r="14" spans="2:21" ht="15" hidden="1" customHeight="1" outlineLevel="1" x14ac:dyDescent="0.2">
      <c r="B14" s="32" t="s">
        <v>26</v>
      </c>
      <c r="C14" s="43">
        <f>-C61</f>
        <v>-360000</v>
      </c>
      <c r="D14" s="43">
        <f>-D61</f>
        <v>-342000</v>
      </c>
      <c r="E14" s="43">
        <f t="shared" ref="E14:N14" si="29">-E61</f>
        <v>-396000</v>
      </c>
      <c r="F14" s="43">
        <f t="shared" si="29"/>
        <v>-379525</v>
      </c>
      <c r="G14" s="43">
        <f t="shared" si="29"/>
        <v>-465300</v>
      </c>
      <c r="H14" s="43">
        <f t="shared" si="29"/>
        <v>-423000</v>
      </c>
      <c r="I14" s="43">
        <f t="shared" si="29"/>
        <v>-401850</v>
      </c>
      <c r="J14" s="43">
        <f t="shared" si="29"/>
        <v>-491150</v>
      </c>
      <c r="K14" s="43">
        <f t="shared" si="29"/>
        <v>-424175</v>
      </c>
      <c r="L14" s="43">
        <f t="shared" si="29"/>
        <v>-468825</v>
      </c>
      <c r="M14" s="43">
        <f t="shared" si="29"/>
        <v>-446500</v>
      </c>
      <c r="N14" s="43">
        <f t="shared" si="29"/>
        <v>-470000</v>
      </c>
      <c r="O14" s="42"/>
      <c r="P14" s="43">
        <f t="shared" si="24"/>
        <v>-1098000</v>
      </c>
      <c r="Q14" s="43">
        <f t="shared" si="25"/>
        <v>-1267825</v>
      </c>
      <c r="R14" s="43">
        <f t="shared" si="26"/>
        <v>-1317175</v>
      </c>
      <c r="S14" s="43">
        <f t="shared" si="27"/>
        <v>-1385325</v>
      </c>
      <c r="T14" s="42"/>
      <c r="U14" s="43">
        <f t="shared" si="28"/>
        <v>-5068325</v>
      </c>
    </row>
    <row r="15" spans="2:21" ht="15" hidden="1" customHeight="1" outlineLevel="1" x14ac:dyDescent="0.2">
      <c r="B15" s="24" t="s">
        <v>142</v>
      </c>
      <c r="C15" s="44">
        <f>SUM(C12:C14)</f>
        <v>1478196.3642742073</v>
      </c>
      <c r="D15" s="44">
        <f>SUM(D12:D14)</f>
        <v>1348659.8721114281</v>
      </c>
      <c r="E15" s="44">
        <f t="shared" ref="E15:N15" si="30">SUM(E12:E14)</f>
        <v>1231307.8921066977</v>
      </c>
      <c r="F15" s="44">
        <f t="shared" si="30"/>
        <v>1107278.951781194</v>
      </c>
      <c r="G15" s="44">
        <f t="shared" si="30"/>
        <v>896238.08743826533</v>
      </c>
      <c r="H15" s="44">
        <f t="shared" si="30"/>
        <v>914846.05989528401</v>
      </c>
      <c r="I15" s="44">
        <f t="shared" si="30"/>
        <v>763543.38335298211</v>
      </c>
      <c r="J15" s="44">
        <f t="shared" si="30"/>
        <v>534920.93473900342</v>
      </c>
      <c r="K15" s="44">
        <f t="shared" si="30"/>
        <v>540552.0501056551</v>
      </c>
      <c r="L15" s="44">
        <f t="shared" si="30"/>
        <v>444277.12016796891</v>
      </c>
      <c r="M15" s="44">
        <f t="shared" si="30"/>
        <v>315318.51544025633</v>
      </c>
      <c r="N15" s="44">
        <f t="shared" si="30"/>
        <v>291953.54782200011</v>
      </c>
      <c r="O15" s="44"/>
      <c r="P15" s="44">
        <f>SUM(P12:P14)</f>
        <v>1231307.8921066979</v>
      </c>
      <c r="Q15" s="44">
        <f>SUM(Q12:Q14)</f>
        <v>914846.05989528447</v>
      </c>
      <c r="R15" s="44">
        <f>SUM(R12:R14)</f>
        <v>540552.05010565557</v>
      </c>
      <c r="S15" s="44">
        <f>SUM(S12:S14)</f>
        <v>291953.54782200046</v>
      </c>
      <c r="T15" s="44"/>
      <c r="U15" s="44">
        <f>SUM(U12:U14)</f>
        <v>291953.54782200046</v>
      </c>
    </row>
    <row r="16" spans="2:21" hidden="1" outlineLevel="1" x14ac:dyDescent="0.2"/>
    <row r="17" spans="2:21" ht="15" hidden="1" customHeight="1" outlineLevel="1" x14ac:dyDescent="0.2">
      <c r="B17" s="24" t="s">
        <v>129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P17" s="3"/>
      <c r="Q17" s="3"/>
      <c r="R17" s="3"/>
      <c r="S17" s="3"/>
      <c r="U17" s="3"/>
    </row>
    <row r="18" spans="2:21" s="79" customFormat="1" ht="15" hidden="1" customHeight="1" outlineLevel="1" x14ac:dyDescent="0.2">
      <c r="B18" s="79" t="s">
        <v>24</v>
      </c>
      <c r="C18" s="85">
        <v>436633.66336633661</v>
      </c>
      <c r="D18" s="81">
        <f>C21</f>
        <v>388026.5456219794</v>
      </c>
      <c r="E18" s="81">
        <f t="shared" ref="E18:N18" si="31">D21</f>
        <v>354023.21642924985</v>
      </c>
      <c r="F18" s="81">
        <f t="shared" si="31"/>
        <v>323218.32167800813</v>
      </c>
      <c r="G18" s="81">
        <f t="shared" si="31"/>
        <v>286894.45179544511</v>
      </c>
      <c r="H18" s="81">
        <f t="shared" si="31"/>
        <v>228521.44676442235</v>
      </c>
      <c r="I18" s="81">
        <f t="shared" si="31"/>
        <v>233668.33276317222</v>
      </c>
      <c r="J18" s="81">
        <f t="shared" si="31"/>
        <v>191818.65627274831</v>
      </c>
      <c r="K18" s="81">
        <f t="shared" si="31"/>
        <v>131910.87018577073</v>
      </c>
      <c r="L18" s="81">
        <f t="shared" si="31"/>
        <v>133386.43681040287</v>
      </c>
      <c r="M18" s="81">
        <f t="shared" si="31"/>
        <v>103954.12340280117</v>
      </c>
      <c r="N18" s="81">
        <f t="shared" si="31"/>
        <v>64530.048273276538</v>
      </c>
      <c r="O18" s="81"/>
      <c r="P18" s="81">
        <f>C18</f>
        <v>436633.66336633661</v>
      </c>
      <c r="Q18" s="81">
        <f>P21</f>
        <v>323218.32167800819</v>
      </c>
      <c r="R18" s="81">
        <f t="shared" ref="R18" si="32">Q21</f>
        <v>233668.33276317222</v>
      </c>
      <c r="S18" s="81">
        <f t="shared" ref="S18" si="33">R21</f>
        <v>133386.43681040284</v>
      </c>
      <c r="T18" s="81"/>
      <c r="U18" s="81">
        <f>P18</f>
        <v>436633.66336633661</v>
      </c>
    </row>
    <row r="19" spans="2:21" ht="15" hidden="1" customHeight="1" outlineLevel="1" x14ac:dyDescent="0.2">
      <c r="B19" s="31" t="s">
        <v>126</v>
      </c>
      <c r="C19" s="42">
        <f>C52</f>
        <v>45892.882255642777</v>
      </c>
      <c r="D19" s="42">
        <f>D52</f>
        <v>55771.670807270457</v>
      </c>
      <c r="E19" s="42">
        <f t="shared" ref="E19:N19" si="34">E52</f>
        <v>73145.105248758278</v>
      </c>
      <c r="F19" s="42">
        <f t="shared" si="34"/>
        <v>74826.130117436987</v>
      </c>
      <c r="G19" s="42">
        <f t="shared" si="34"/>
        <v>70326.994968977204</v>
      </c>
      <c r="H19" s="42">
        <f t="shared" si="34"/>
        <v>122146.88599874989</v>
      </c>
      <c r="I19" s="42">
        <f t="shared" si="34"/>
        <v>69300.323509576076</v>
      </c>
      <c r="J19" s="42">
        <f t="shared" si="34"/>
        <v>68792.21391302241</v>
      </c>
      <c r="K19" s="42">
        <f t="shared" si="34"/>
        <v>112625.56662463213</v>
      </c>
      <c r="L19" s="42">
        <f t="shared" si="34"/>
        <v>113892.6865923983</v>
      </c>
      <c r="M19" s="42">
        <f t="shared" si="34"/>
        <v>97075.924870475355</v>
      </c>
      <c r="N19" s="42">
        <f t="shared" si="34"/>
        <v>129714.21685129368</v>
      </c>
      <c r="O19" s="42"/>
      <c r="P19" s="42">
        <f t="shared" ref="P19:P20" si="35">SUM(C19:E19)</f>
        <v>174809.65831167152</v>
      </c>
      <c r="Q19" s="42">
        <f t="shared" ref="Q19:Q20" si="36">SUM(F19:H19)</f>
        <v>267300.01108516409</v>
      </c>
      <c r="R19" s="42">
        <f t="shared" ref="R19:R20" si="37">SUM(I19:K19)</f>
        <v>250718.10404723062</v>
      </c>
      <c r="S19" s="42">
        <f t="shared" ref="S19:S20" si="38">SUM(L19:N19)</f>
        <v>340682.82831416733</v>
      </c>
      <c r="T19" s="42"/>
      <c r="U19" s="42">
        <f t="shared" ref="U19:U20" si="39">SUM(P19:S19)</f>
        <v>1033510.6017582336</v>
      </c>
    </row>
    <row r="20" spans="2:21" ht="15" hidden="1" customHeight="1" outlineLevel="1" x14ac:dyDescent="0.2">
      <c r="B20" s="32" t="s">
        <v>31</v>
      </c>
      <c r="C20" s="43">
        <f>-C70</f>
        <v>-94500</v>
      </c>
      <c r="D20" s="43">
        <f>-D70</f>
        <v>-89775</v>
      </c>
      <c r="E20" s="43">
        <f t="shared" ref="E20:N20" si="40">-E70</f>
        <v>-103950</v>
      </c>
      <c r="F20" s="43">
        <f t="shared" si="40"/>
        <v>-111150</v>
      </c>
      <c r="G20" s="43">
        <f t="shared" si="40"/>
        <v>-128700</v>
      </c>
      <c r="H20" s="43">
        <f t="shared" si="40"/>
        <v>-117000</v>
      </c>
      <c r="I20" s="43">
        <f t="shared" si="40"/>
        <v>-111150</v>
      </c>
      <c r="J20" s="43">
        <f t="shared" si="40"/>
        <v>-128700</v>
      </c>
      <c r="K20" s="43">
        <f t="shared" si="40"/>
        <v>-111150</v>
      </c>
      <c r="L20" s="43">
        <f t="shared" si="40"/>
        <v>-143325</v>
      </c>
      <c r="M20" s="43">
        <f t="shared" si="40"/>
        <v>-136500</v>
      </c>
      <c r="N20" s="43">
        <f t="shared" si="40"/>
        <v>-136500</v>
      </c>
      <c r="O20" s="42"/>
      <c r="P20" s="43">
        <f t="shared" si="35"/>
        <v>-288225</v>
      </c>
      <c r="Q20" s="43">
        <f t="shared" si="36"/>
        <v>-356850</v>
      </c>
      <c r="R20" s="43">
        <f t="shared" si="37"/>
        <v>-351000</v>
      </c>
      <c r="S20" s="43">
        <f t="shared" si="38"/>
        <v>-416325</v>
      </c>
      <c r="T20" s="42"/>
      <c r="U20" s="43">
        <f t="shared" si="39"/>
        <v>-1412400</v>
      </c>
    </row>
    <row r="21" spans="2:21" ht="15" hidden="1" customHeight="1" outlineLevel="1" x14ac:dyDescent="0.2">
      <c r="B21" s="24" t="s">
        <v>143</v>
      </c>
      <c r="C21" s="44">
        <f>SUM(C18:C20)</f>
        <v>388026.5456219794</v>
      </c>
      <c r="D21" s="44">
        <f>SUM(D18:D20)</f>
        <v>354023.21642924985</v>
      </c>
      <c r="E21" s="44">
        <f t="shared" ref="E21:N21" si="41">SUM(E18:E20)</f>
        <v>323218.32167800813</v>
      </c>
      <c r="F21" s="44">
        <f t="shared" si="41"/>
        <v>286894.45179544511</v>
      </c>
      <c r="G21" s="44">
        <f t="shared" si="41"/>
        <v>228521.44676442235</v>
      </c>
      <c r="H21" s="44">
        <f t="shared" si="41"/>
        <v>233668.33276317222</v>
      </c>
      <c r="I21" s="44">
        <f t="shared" si="41"/>
        <v>191818.65627274831</v>
      </c>
      <c r="J21" s="44">
        <f t="shared" si="41"/>
        <v>131910.87018577073</v>
      </c>
      <c r="K21" s="44">
        <f t="shared" si="41"/>
        <v>133386.43681040287</v>
      </c>
      <c r="L21" s="44">
        <f t="shared" si="41"/>
        <v>103954.12340280117</v>
      </c>
      <c r="M21" s="44">
        <f t="shared" si="41"/>
        <v>64530.048273276538</v>
      </c>
      <c r="N21" s="44">
        <f t="shared" si="41"/>
        <v>57744.265124570229</v>
      </c>
      <c r="O21" s="44"/>
      <c r="P21" s="44">
        <f>SUM(P18:P20)</f>
        <v>323218.32167800819</v>
      </c>
      <c r="Q21" s="44">
        <f>SUM(Q18:Q20)</f>
        <v>233668.33276317222</v>
      </c>
      <c r="R21" s="44">
        <f>SUM(R18:R20)</f>
        <v>133386.43681040284</v>
      </c>
      <c r="S21" s="44">
        <f>SUM(S18:S20)</f>
        <v>57744.265124570171</v>
      </c>
      <c r="T21" s="44"/>
      <c r="U21" s="44">
        <f>SUM(U18:U20)</f>
        <v>57744.265124570113</v>
      </c>
    </row>
    <row r="22" spans="2:21" collapsed="1" x14ac:dyDescent="0.2"/>
    <row r="23" spans="2:21" ht="15" customHeight="1" x14ac:dyDescent="0.2">
      <c r="B23" s="24" t="s">
        <v>18</v>
      </c>
    </row>
    <row r="24" spans="2:21" ht="15" customHeight="1" x14ac:dyDescent="0.2">
      <c r="B24" s="25" t="s">
        <v>10</v>
      </c>
      <c r="C24" s="81">
        <f>Current!C40</f>
        <v>61883.925660884226</v>
      </c>
      <c r="D24" s="81">
        <f>Current!D40</f>
        <v>159160.73774827071</v>
      </c>
      <c r="E24" s="81">
        <f>Current!E40</f>
        <v>169489.24245703485</v>
      </c>
      <c r="F24" s="81">
        <f>Current!F40</f>
        <v>155122.99135566823</v>
      </c>
      <c r="G24" s="81">
        <f>Current!G40</f>
        <v>126816.78634141046</v>
      </c>
      <c r="H24" s="81">
        <f>Current!H40</f>
        <v>295531.74398145801</v>
      </c>
      <c r="I24" s="81">
        <f>Current!I40</f>
        <v>160983.74745994189</v>
      </c>
      <c r="J24" s="81">
        <f>Current!J40</f>
        <v>194277.83000975172</v>
      </c>
      <c r="K24" s="81">
        <f>Current!K40</f>
        <v>297900.98581084528</v>
      </c>
      <c r="L24" s="81">
        <f>Current!L40</f>
        <v>274457.96139375068</v>
      </c>
      <c r="M24" s="81">
        <f>Current!M40</f>
        <v>218469.0360571791</v>
      </c>
      <c r="N24" s="81">
        <f>Current!N40</f>
        <v>360623.54582041199</v>
      </c>
      <c r="P24" s="81">
        <f t="shared" ref="P24:P31" si="42">SUM(C24:E24)</f>
        <v>390533.90586618974</v>
      </c>
      <c r="Q24" s="81">
        <f t="shared" ref="Q24:Q31" si="43">SUM(F24:H24)</f>
        <v>577471.52167853666</v>
      </c>
      <c r="R24" s="81">
        <f t="shared" ref="R24:R31" si="44">SUM(I24:K24)</f>
        <v>653162.56328053889</v>
      </c>
      <c r="S24" s="81">
        <f t="shared" ref="S24:S31" si="45">SUM(L24:N24)</f>
        <v>853550.54327134183</v>
      </c>
      <c r="U24" s="81">
        <f t="shared" ref="U24:U31" si="46">SUM(P24:S24)</f>
        <v>2474718.534096607</v>
      </c>
    </row>
    <row r="25" spans="2:21" s="26" customFormat="1" ht="15" customHeight="1" x14ac:dyDescent="0.2">
      <c r="B25" s="27" t="s">
        <v>11</v>
      </c>
      <c r="C25" s="82">
        <f>Current!C41</f>
        <v>51480.562074912355</v>
      </c>
      <c r="D25" s="82">
        <f>Current!D41</f>
        <v>135779.98247258135</v>
      </c>
      <c r="E25" s="82">
        <f>Current!E41</f>
        <v>159918.04480336962</v>
      </c>
      <c r="F25" s="82">
        <f>Current!F41</f>
        <v>138662.99548834653</v>
      </c>
      <c r="G25" s="82">
        <f>Current!G41</f>
        <v>104620.7313082039</v>
      </c>
      <c r="H25" s="82">
        <f>Current!H41</f>
        <v>219840.70237945591</v>
      </c>
      <c r="I25" s="82">
        <f>Current!I41</f>
        <v>133425.72407601692</v>
      </c>
      <c r="J25" s="82">
        <f>Current!J41</f>
        <v>152629.05258789225</v>
      </c>
      <c r="K25" s="82">
        <f>Current!K41</f>
        <v>250391.45228471214</v>
      </c>
      <c r="L25" s="82">
        <f>Current!L41</f>
        <v>194028.43613297411</v>
      </c>
      <c r="M25" s="82">
        <f>Current!M41</f>
        <v>182431.62086281565</v>
      </c>
      <c r="N25" s="82">
        <f>Current!N41</f>
        <v>294409.47153595876</v>
      </c>
      <c r="P25" s="82">
        <f t="shared" si="42"/>
        <v>347178.58935086336</v>
      </c>
      <c r="Q25" s="82">
        <f t="shared" si="43"/>
        <v>463124.42917600635</v>
      </c>
      <c r="R25" s="82">
        <f t="shared" si="44"/>
        <v>536446.22894862131</v>
      </c>
      <c r="S25" s="82">
        <f t="shared" si="45"/>
        <v>670869.52853174857</v>
      </c>
      <c r="U25" s="82">
        <f t="shared" si="46"/>
        <v>2017618.7760072395</v>
      </c>
    </row>
    <row r="26" spans="2:21" s="26" customFormat="1" ht="15" customHeight="1" x14ac:dyDescent="0.2">
      <c r="B26" s="27" t="s">
        <v>12</v>
      </c>
      <c r="C26" s="82">
        <f>Current!C42</f>
        <v>10403.363585971867</v>
      </c>
      <c r="D26" s="82">
        <f>Current!D42</f>
        <v>23380.755275689353</v>
      </c>
      <c r="E26" s="82">
        <f>Current!E42</f>
        <v>9571.1976536652473</v>
      </c>
      <c r="F26" s="82">
        <f>Current!F42</f>
        <v>16459.995867321704</v>
      </c>
      <c r="G26" s="82">
        <f>Current!G42</f>
        <v>22196.055033206558</v>
      </c>
      <c r="H26" s="82">
        <f>Current!H42</f>
        <v>75691.041602002122</v>
      </c>
      <c r="I26" s="82">
        <f>Current!I42</f>
        <v>27558.023383924985</v>
      </c>
      <c r="J26" s="82">
        <f>Current!J42</f>
        <v>41648.777421859486</v>
      </c>
      <c r="K26" s="82">
        <f>Current!K42</f>
        <v>47509.533526133113</v>
      </c>
      <c r="L26" s="82">
        <f>Current!L42</f>
        <v>80429.525260776558</v>
      </c>
      <c r="M26" s="82">
        <f>Current!M42</f>
        <v>36037.415194363435</v>
      </c>
      <c r="N26" s="82">
        <f>Current!N42</f>
        <v>66214.074284453251</v>
      </c>
      <c r="P26" s="82">
        <f t="shared" si="42"/>
        <v>43355.316515326471</v>
      </c>
      <c r="Q26" s="82">
        <f t="shared" si="43"/>
        <v>114347.09250253039</v>
      </c>
      <c r="R26" s="82">
        <f t="shared" si="44"/>
        <v>116716.33433191758</v>
      </c>
      <c r="S26" s="82">
        <f t="shared" si="45"/>
        <v>182681.01473959326</v>
      </c>
      <c r="U26" s="82">
        <f t="shared" si="46"/>
        <v>457099.75808936771</v>
      </c>
    </row>
    <row r="27" spans="2:21" ht="15" customHeight="1" x14ac:dyDescent="0.2">
      <c r="B27" s="25" t="s">
        <v>13</v>
      </c>
      <c r="C27" s="81">
        <f>Current!C43</f>
        <v>128701.40518728085</v>
      </c>
      <c r="D27" s="81">
        <f>Current!D43</f>
        <v>98671.077310248656</v>
      </c>
      <c r="E27" s="81">
        <f>Current!E43</f>
        <v>107442.56543639135</v>
      </c>
      <c r="F27" s="81">
        <f>Current!F43</f>
        <v>138164.20773479133</v>
      </c>
      <c r="G27" s="81">
        <f>Current!G43</f>
        <v>116841.03127030641</v>
      </c>
      <c r="H27" s="81">
        <f>Current!H43</f>
        <v>165846.92805710511</v>
      </c>
      <c r="I27" s="81">
        <f>Current!I43</f>
        <v>125694.51389591125</v>
      </c>
      <c r="J27" s="81">
        <f>Current!J43</f>
        <v>72573.618142282081</v>
      </c>
      <c r="K27" s="81">
        <f>Current!K43</f>
        <v>170834.80559265718</v>
      </c>
      <c r="L27" s="81">
        <f>Current!L43</f>
        <v>108112.24558309035</v>
      </c>
      <c r="M27" s="81">
        <f>Current!M43</f>
        <v>141156.93425612256</v>
      </c>
      <c r="N27" s="81">
        <f>Current!N43</f>
        <v>154748.90054050187</v>
      </c>
      <c r="P27" s="81">
        <f t="shared" si="42"/>
        <v>334815.04793392087</v>
      </c>
      <c r="Q27" s="81">
        <f t="shared" si="43"/>
        <v>420852.16706220282</v>
      </c>
      <c r="R27" s="81">
        <f t="shared" si="44"/>
        <v>369102.93763085053</v>
      </c>
      <c r="S27" s="81">
        <f t="shared" si="45"/>
        <v>404018.08037971478</v>
      </c>
      <c r="U27" s="81">
        <f t="shared" si="46"/>
        <v>1528788.233006689</v>
      </c>
    </row>
    <row r="28" spans="2:21" s="26" customFormat="1" ht="15" customHeight="1" x14ac:dyDescent="0.2">
      <c r="B28" s="27" t="s">
        <v>11</v>
      </c>
      <c r="C28" s="82">
        <f>Current!C44</f>
        <v>71536.531049930272</v>
      </c>
      <c r="D28" s="82">
        <f>Current!D44</f>
        <v>49121.036313145531</v>
      </c>
      <c r="E28" s="82">
        <f>Current!E44</f>
        <v>54597.812422630079</v>
      </c>
      <c r="F28" s="82">
        <f>Current!F44</f>
        <v>79182.555876888538</v>
      </c>
      <c r="G28" s="82">
        <f>Current!G44</f>
        <v>67959.831421896466</v>
      </c>
      <c r="H28" s="82">
        <f>Current!H44</f>
        <v>96640.12725132065</v>
      </c>
      <c r="I28" s="82">
        <f>Current!I44</f>
        <v>81177.706891109337</v>
      </c>
      <c r="J28" s="82">
        <f>Current!J44</f>
        <v>31548.325412366608</v>
      </c>
      <c r="K28" s="82">
        <f>Current!K44</f>
        <v>124073.45369685687</v>
      </c>
      <c r="L28" s="82">
        <f>Current!L44</f>
        <v>75067.55691005812</v>
      </c>
      <c r="M28" s="82">
        <f>Current!M44</f>
        <v>107987.54864470153</v>
      </c>
      <c r="N28" s="82">
        <f>Current!N44</f>
        <v>109234.51802858953</v>
      </c>
      <c r="P28" s="82">
        <f t="shared" si="42"/>
        <v>175255.37978570588</v>
      </c>
      <c r="Q28" s="82">
        <f t="shared" si="43"/>
        <v>243782.51455010567</v>
      </c>
      <c r="R28" s="82">
        <f t="shared" si="44"/>
        <v>236799.48600033281</v>
      </c>
      <c r="S28" s="82">
        <f t="shared" si="45"/>
        <v>292289.62358334917</v>
      </c>
      <c r="U28" s="82">
        <f t="shared" si="46"/>
        <v>948127.00391949352</v>
      </c>
    </row>
    <row r="29" spans="2:21" s="26" customFormat="1" ht="15" customHeight="1" x14ac:dyDescent="0.2">
      <c r="B29" s="27" t="s">
        <v>12</v>
      </c>
      <c r="C29" s="82">
        <f>Current!C45</f>
        <v>57164.874137350569</v>
      </c>
      <c r="D29" s="82">
        <f>Current!D45</f>
        <v>49550.040997103133</v>
      </c>
      <c r="E29" s="82">
        <f>Current!E45</f>
        <v>52844.75301376127</v>
      </c>
      <c r="F29" s="82">
        <f>Current!F45</f>
        <v>58981.651857902798</v>
      </c>
      <c r="G29" s="82">
        <f>Current!G45</f>
        <v>48881.199848409939</v>
      </c>
      <c r="H29" s="82">
        <f>Current!H45</f>
        <v>69206.800805784471</v>
      </c>
      <c r="I29" s="82">
        <f>Current!I45</f>
        <v>44516.807004801907</v>
      </c>
      <c r="J29" s="82">
        <f>Current!J45</f>
        <v>41025.292729915476</v>
      </c>
      <c r="K29" s="82">
        <f>Current!K45</f>
        <v>46761.351895800311</v>
      </c>
      <c r="L29" s="82">
        <f>Current!L45</f>
        <v>33044.688673032222</v>
      </c>
      <c r="M29" s="82">
        <f>Current!M45</f>
        <v>33169.385611421028</v>
      </c>
      <c r="N29" s="82">
        <f>Current!N45</f>
        <v>45514.382511912328</v>
      </c>
      <c r="P29" s="82">
        <f t="shared" si="42"/>
        <v>159559.66814821499</v>
      </c>
      <c r="Q29" s="82">
        <f t="shared" si="43"/>
        <v>177069.65251209721</v>
      </c>
      <c r="R29" s="82">
        <f t="shared" si="44"/>
        <v>132303.45163051769</v>
      </c>
      <c r="S29" s="82">
        <f t="shared" si="45"/>
        <v>111728.45679636559</v>
      </c>
      <c r="U29" s="82">
        <f t="shared" si="46"/>
        <v>580661.22908719548</v>
      </c>
    </row>
    <row r="30" spans="2:21" ht="15" customHeight="1" x14ac:dyDescent="0.2">
      <c r="B30" s="33" t="s">
        <v>14</v>
      </c>
      <c r="C30" s="83">
        <f>Current!C46</f>
        <v>30137.579048021606</v>
      </c>
      <c r="D30" s="83">
        <f>Current!D46</f>
        <v>10403.363585971869</v>
      </c>
      <c r="E30" s="83">
        <f>Current!E46</f>
        <v>74861.317350601734</v>
      </c>
      <c r="F30" s="83">
        <f>Current!F46</f>
        <v>37034.990701473849</v>
      </c>
      <c r="G30" s="83">
        <f>Current!G46</f>
        <v>80928.313014331739</v>
      </c>
      <c r="H30" s="83">
        <f>Current!H46</f>
        <v>102376.18641720551</v>
      </c>
      <c r="I30" s="83">
        <f>Current!I46</f>
        <v>33169.385611421014</v>
      </c>
      <c r="J30" s="83">
        <f>Current!J46</f>
        <v>64468.317147010028</v>
      </c>
      <c r="K30" s="83">
        <f>Current!K46</f>
        <v>73695.890587781294</v>
      </c>
      <c r="L30" s="83">
        <f>Current!L46</f>
        <v>103872.54967787114</v>
      </c>
      <c r="M30" s="83">
        <f>Current!M46</f>
        <v>54991.349829461178</v>
      </c>
      <c r="N30" s="83">
        <f>Current!N46</f>
        <v>60976.802872123619</v>
      </c>
      <c r="P30" s="83">
        <f t="shared" si="42"/>
        <v>115402.25998459521</v>
      </c>
      <c r="Q30" s="83">
        <f t="shared" si="43"/>
        <v>220339.49013301107</v>
      </c>
      <c r="R30" s="83">
        <f t="shared" si="44"/>
        <v>171333.59334621235</v>
      </c>
      <c r="S30" s="83">
        <f t="shared" si="45"/>
        <v>219840.70237945591</v>
      </c>
      <c r="U30" s="83">
        <f t="shared" si="46"/>
        <v>726916.04584327457</v>
      </c>
    </row>
    <row r="31" spans="2:21" s="24" customFormat="1" ht="15" customHeight="1" x14ac:dyDescent="0.2">
      <c r="B31" s="24" t="s">
        <v>15</v>
      </c>
      <c r="C31" s="44">
        <f>Current!C47</f>
        <v>220722.9098961867</v>
      </c>
      <c r="D31" s="44">
        <f>Current!D47</f>
        <v>268235.17864449124</v>
      </c>
      <c r="E31" s="44">
        <f>Current!E47</f>
        <v>351793.12524402793</v>
      </c>
      <c r="F31" s="44">
        <f>Current!F47</f>
        <v>330322.1897919334</v>
      </c>
      <c r="G31" s="44">
        <f>Current!G47</f>
        <v>324586.1306260486</v>
      </c>
      <c r="H31" s="44">
        <f>Current!H47</f>
        <v>563754.85845576867</v>
      </c>
      <c r="I31" s="44">
        <f>Current!I47</f>
        <v>319847.6469672742</v>
      </c>
      <c r="J31" s="44">
        <f>Current!J47</f>
        <v>331319.76529904379</v>
      </c>
      <c r="K31" s="44">
        <f>Current!K47</f>
        <v>542431.68199128378</v>
      </c>
      <c r="L31" s="44">
        <f>Current!L47</f>
        <v>486442.75665471214</v>
      </c>
      <c r="M31" s="44">
        <f>Current!M47</f>
        <v>414617.32014276285</v>
      </c>
      <c r="N31" s="44">
        <f>Current!N47</f>
        <v>576349.24923303747</v>
      </c>
      <c r="P31" s="44">
        <f t="shared" si="42"/>
        <v>840751.21378470585</v>
      </c>
      <c r="Q31" s="44">
        <f t="shared" si="43"/>
        <v>1218663.1788737508</v>
      </c>
      <c r="R31" s="44">
        <f t="shared" si="44"/>
        <v>1193599.0942576018</v>
      </c>
      <c r="S31" s="44">
        <f t="shared" si="45"/>
        <v>1477409.3260305123</v>
      </c>
      <c r="U31" s="44">
        <f t="shared" si="46"/>
        <v>4730422.812946571</v>
      </c>
    </row>
    <row r="32" spans="2:21" s="40" customFormat="1" ht="15" customHeight="1" x14ac:dyDescent="0.2">
      <c r="B32" s="40" t="s">
        <v>32</v>
      </c>
      <c r="C32" s="84">
        <f>C52+C42-C31</f>
        <v>0</v>
      </c>
      <c r="D32" s="84">
        <f t="shared" ref="D32:N32" si="47">D52+D42-D31</f>
        <v>0</v>
      </c>
      <c r="E32" s="84">
        <f t="shared" si="47"/>
        <v>0</v>
      </c>
      <c r="F32" s="84">
        <f t="shared" si="47"/>
        <v>0</v>
      </c>
      <c r="G32" s="84">
        <f t="shared" si="47"/>
        <v>0</v>
      </c>
      <c r="H32" s="84">
        <f t="shared" si="47"/>
        <v>0</v>
      </c>
      <c r="I32" s="84">
        <f t="shared" si="47"/>
        <v>0</v>
      </c>
      <c r="J32" s="84">
        <f t="shared" si="47"/>
        <v>0</v>
      </c>
      <c r="K32" s="84">
        <f t="shared" si="47"/>
        <v>0</v>
      </c>
      <c r="L32" s="84">
        <f t="shared" si="47"/>
        <v>0</v>
      </c>
      <c r="M32" s="84">
        <f t="shared" si="47"/>
        <v>0</v>
      </c>
      <c r="N32" s="84">
        <f t="shared" si="47"/>
        <v>0</v>
      </c>
      <c r="P32" s="84">
        <f t="shared" ref="P32" si="48">P52+P42-P31</f>
        <v>0</v>
      </c>
      <c r="Q32" s="84">
        <f t="shared" ref="Q32" si="49">Q52+Q42-Q31</f>
        <v>0</v>
      </c>
      <c r="R32" s="84">
        <f t="shared" ref="R32" si="50">R52+R42-R31</f>
        <v>0</v>
      </c>
      <c r="S32" s="84">
        <f t="shared" ref="S32" si="51">S52+S42-S31</f>
        <v>0</v>
      </c>
      <c r="U32" s="84">
        <f t="shared" ref="U32" si="52">U52+U42-U31</f>
        <v>0</v>
      </c>
    </row>
    <row r="33" spans="2:21" ht="15" hidden="1" customHeight="1" outlineLevel="1" x14ac:dyDescent="0.2"/>
    <row r="34" spans="2:21" ht="15" hidden="1" customHeight="1" outlineLevel="1" x14ac:dyDescent="0.2">
      <c r="B34" s="24" t="s">
        <v>125</v>
      </c>
    </row>
    <row r="35" spans="2:21" ht="15" hidden="1" customHeight="1" outlineLevel="1" x14ac:dyDescent="0.2">
      <c r="B35" s="25" t="s">
        <v>10</v>
      </c>
      <c r="C35" s="81">
        <f>(C$61/(C$61+C$70))*C24</f>
        <v>49016.970820502356</v>
      </c>
      <c r="D35" s="81">
        <f>(D$61/(D$61+D$70))*D24</f>
        <v>126067.91108773918</v>
      </c>
      <c r="E35" s="81">
        <f>(E$61/(E$61+E$70))*E24</f>
        <v>134248.90491646325</v>
      </c>
      <c r="F35" s="81">
        <f>(F$61/(F$61+F$70))*F24</f>
        <v>119983.80454325161</v>
      </c>
      <c r="G35" s="81">
        <f>(G$61/(G$61+G$70))*G24</f>
        <v>99339.81596743819</v>
      </c>
      <c r="H35" s="81">
        <f>(H$61/(H$61+H$70))*H24</f>
        <v>231499.86611880877</v>
      </c>
      <c r="I35" s="81">
        <f>(I$61/(I$61+I$70))*I24</f>
        <v>126103.93551028782</v>
      </c>
      <c r="J35" s="81">
        <f>(J$61/(J$61+J$70))*J24</f>
        <v>153939.75350373407</v>
      </c>
      <c r="K35" s="81">
        <f>(K$61/(K$61+K$70))*K24</f>
        <v>236047.54243929446</v>
      </c>
      <c r="L35" s="81">
        <f>(L$61/(L$61+L$70))*L24</f>
        <v>210198.07849452776</v>
      </c>
      <c r="M35" s="81">
        <f>(M$61/(M$61+M$70))*M24</f>
        <v>167318.05248633013</v>
      </c>
      <c r="N35" s="81">
        <f>(N$61/(N$61+N$70))*N24</f>
        <v>279460.95059454843</v>
      </c>
      <c r="P35" s="81">
        <f t="shared" ref="P35:P42" si="53">SUM(C35:E35)</f>
        <v>309333.78682470479</v>
      </c>
      <c r="Q35" s="81">
        <f t="shared" ref="Q35:Q42" si="54">SUM(F35:H35)</f>
        <v>450823.48662949854</v>
      </c>
      <c r="R35" s="81">
        <f t="shared" ref="R35:R42" si="55">SUM(I35:K35)</f>
        <v>516091.23145331634</v>
      </c>
      <c r="S35" s="81">
        <f t="shared" ref="S35:S42" si="56">SUM(L35:N35)</f>
        <v>656977.08157540625</v>
      </c>
      <c r="U35" s="81">
        <f t="shared" ref="U35:U42" si="57">SUM(P35:S35)</f>
        <v>1933225.5864829258</v>
      </c>
    </row>
    <row r="36" spans="2:21" s="26" customFormat="1" ht="15" hidden="1" customHeight="1" outlineLevel="1" x14ac:dyDescent="0.2">
      <c r="B36" s="27" t="s">
        <v>11</v>
      </c>
      <c r="C36" s="82">
        <f>(C$61/(C$61+C$70))*C25</f>
        <v>40776.682831613747</v>
      </c>
      <c r="D36" s="82">
        <f>(D$61/(D$61+D$70))*D25</f>
        <v>107548.50096838127</v>
      </c>
      <c r="E36" s="82">
        <f>(E$61/(E$61+E$70))*E25</f>
        <v>126667.75826009475</v>
      </c>
      <c r="F36" s="82">
        <f>(F$61/(F$61+F$70))*F25</f>
        <v>107252.40406117025</v>
      </c>
      <c r="G36" s="82">
        <f>(G$61/(G$61+G$70))*G25</f>
        <v>81952.906191426388</v>
      </c>
      <c r="H36" s="82">
        <f>(H$61/(H$61+H$70))*H25</f>
        <v>172208.55019724046</v>
      </c>
      <c r="I36" s="82">
        <f>(I$61/(I$61+I$70))*I25</f>
        <v>104516.81719287993</v>
      </c>
      <c r="J36" s="82">
        <f>(J$61/(J$61+J$70))*J25</f>
        <v>120938.54832385783</v>
      </c>
      <c r="K36" s="82">
        <f>(K$61/(K$61+K$70))*K25</f>
        <v>198402.45509338772</v>
      </c>
      <c r="L36" s="82">
        <f>(L$61/(L$61+L$70))*L25</f>
        <v>148599.82287027949</v>
      </c>
      <c r="M36" s="82">
        <f>(M$61/(M$61+M$70))*M25</f>
        <v>139718.2139198065</v>
      </c>
      <c r="N36" s="82">
        <f>(N$61/(N$61+N$70))*N25</f>
        <v>228149.13705177346</v>
      </c>
      <c r="P36" s="82">
        <f t="shared" si="53"/>
        <v>274992.94206008979</v>
      </c>
      <c r="Q36" s="82">
        <f t="shared" si="54"/>
        <v>361413.86044983706</v>
      </c>
      <c r="R36" s="82">
        <f t="shared" si="55"/>
        <v>423857.82061012543</v>
      </c>
      <c r="S36" s="82">
        <f t="shared" si="56"/>
        <v>516467.17384185945</v>
      </c>
      <c r="U36" s="82">
        <f t="shared" si="57"/>
        <v>1576731.7969619117</v>
      </c>
    </row>
    <row r="37" spans="2:21" s="26" customFormat="1" ht="15" hidden="1" customHeight="1" outlineLevel="1" x14ac:dyDescent="0.2">
      <c r="B37" s="27" t="s">
        <v>12</v>
      </c>
      <c r="C37" s="82">
        <f>(C$61/(C$61+C$70))*C26</f>
        <v>8240.2879888886073</v>
      </c>
      <c r="D37" s="82">
        <f>(D$61/(D$61+D$70))*D26</f>
        <v>18519.410119357904</v>
      </c>
      <c r="E37" s="82">
        <f>(E$61/(E$61+E$70))*E26</f>
        <v>7581.1466563685135</v>
      </c>
      <c r="F37" s="82">
        <f>(F$61/(F$61+F$70))*F26</f>
        <v>12731.400482081355</v>
      </c>
      <c r="G37" s="82">
        <f>(G$61/(G$61+G$70))*G26</f>
        <v>17386.909776011802</v>
      </c>
      <c r="H37" s="82">
        <f>(H$61/(H$61+H$70))*H26</f>
        <v>59291.315921568326</v>
      </c>
      <c r="I37" s="82">
        <f>(I$61/(I$61+I$70))*I26</f>
        <v>21587.118317407905</v>
      </c>
      <c r="J37" s="82">
        <f>(J$61/(J$61+J$70))*J26</f>
        <v>33001.20517987624</v>
      </c>
      <c r="K37" s="82">
        <f>(K$61/(K$61+K$70))*K26</f>
        <v>37645.087345906715</v>
      </c>
      <c r="L37" s="82">
        <f>(L$61/(L$61+L$70))*L26</f>
        <v>61598.255624248253</v>
      </c>
      <c r="M37" s="82">
        <f>(M$61/(M$61+M$70))*M26</f>
        <v>27599.838566523624</v>
      </c>
      <c r="N37" s="82">
        <f>(N$61/(N$61+N$70))*N26</f>
        <v>51311.81354277498</v>
      </c>
      <c r="P37" s="82">
        <f t="shared" si="53"/>
        <v>34340.844764615031</v>
      </c>
      <c r="Q37" s="82">
        <f t="shared" si="54"/>
        <v>89409.626179661485</v>
      </c>
      <c r="R37" s="82">
        <f t="shared" si="55"/>
        <v>92233.410843190853</v>
      </c>
      <c r="S37" s="82">
        <f t="shared" si="56"/>
        <v>140509.90773354686</v>
      </c>
      <c r="U37" s="82">
        <f t="shared" si="57"/>
        <v>356493.7895210142</v>
      </c>
    </row>
    <row r="38" spans="2:21" ht="15" hidden="1" customHeight="1" outlineLevel="1" x14ac:dyDescent="0.2">
      <c r="B38" s="25" t="s">
        <v>13</v>
      </c>
      <c r="C38" s="81">
        <f>(C$61/(C$61+C$70))*C27</f>
        <v>101941.70707903434</v>
      </c>
      <c r="D38" s="81">
        <f>(D$61/(D$61+D$70))*D27</f>
        <v>78155.308760593005</v>
      </c>
      <c r="E38" s="81">
        <f>(E$61/(E$61+E$70))*E27</f>
        <v>85103.022127834731</v>
      </c>
      <c r="F38" s="81">
        <f>(F$61/(F$61+F$70))*F27</f>
        <v>106866.60404656173</v>
      </c>
      <c r="G38" s="81">
        <f>(G$61/(G$61+G$70))*G27</f>
        <v>91525.474495073358</v>
      </c>
      <c r="H38" s="81">
        <f>(H$61/(H$61+H$70))*H27</f>
        <v>129913.42697806566</v>
      </c>
      <c r="I38" s="81">
        <f>(I$61/(I$61+I$70))*I27</f>
        <v>98460.702551797149</v>
      </c>
      <c r="J38" s="81">
        <f>(J$61/(J$61+J$70))*J27</f>
        <v>57505.094055951995</v>
      </c>
      <c r="K38" s="81">
        <f>(K$61/(K$61+K$70))*K27</f>
        <v>135364.22483961211</v>
      </c>
      <c r="L38" s="81">
        <f>(L$61/(L$61+L$70))*L27</f>
        <v>82799.515699570911</v>
      </c>
      <c r="M38" s="81">
        <f>(M$61/(M$61+M$70))*M27</f>
        <v>108107.32614984343</v>
      </c>
      <c r="N38" s="81">
        <f>(N$61/(N$61+N$70))*N27</f>
        <v>119920.8297675777</v>
      </c>
      <c r="P38" s="81">
        <f t="shared" si="53"/>
        <v>265200.03796746209</v>
      </c>
      <c r="Q38" s="81">
        <f t="shared" si="54"/>
        <v>328305.5055197007</v>
      </c>
      <c r="R38" s="81">
        <f t="shared" si="55"/>
        <v>291330.02144736121</v>
      </c>
      <c r="S38" s="81">
        <f t="shared" si="56"/>
        <v>310827.67161699204</v>
      </c>
      <c r="U38" s="81">
        <f t="shared" si="57"/>
        <v>1195663.236551516</v>
      </c>
    </row>
    <row r="39" spans="2:21" s="26" customFormat="1" ht="15" hidden="1" customHeight="1" outlineLevel="1" x14ac:dyDescent="0.2">
      <c r="B39" s="27" t="s">
        <v>11</v>
      </c>
      <c r="C39" s="82">
        <f>(C$61/(C$61+C$70))*C28</f>
        <v>56662.598851429924</v>
      </c>
      <c r="D39" s="82">
        <f>(D$61/(D$61+D$70))*D28</f>
        <v>38907.751535164782</v>
      </c>
      <c r="E39" s="82">
        <f>(E$61/(E$61+E$70))*E28</f>
        <v>43245.792017924818</v>
      </c>
      <c r="F39" s="82">
        <f>(F$61/(F$61+F$70))*F28</f>
        <v>61245.752319103522</v>
      </c>
      <c r="G39" s="82">
        <f>(G$61/(G$61+G$70))*G28</f>
        <v>53235.201280485562</v>
      </c>
      <c r="H39" s="82">
        <f>(H$61/(H$61+H$70))*H28</f>
        <v>75701.433013534508</v>
      </c>
      <c r="I39" s="82">
        <f>(I$61/(I$61+I$70))*I28</f>
        <v>63589.20373136898</v>
      </c>
      <c r="J39" s="82">
        <f>(J$61/(J$61+J$70))*J28</f>
        <v>24997.918893738581</v>
      </c>
      <c r="K39" s="82">
        <f>(K$61/(K$61+K$70))*K28</f>
        <v>98311.97351490079</v>
      </c>
      <c r="L39" s="82">
        <f>(L$61/(L$61+L$70))*L28</f>
        <v>57491.705249298371</v>
      </c>
      <c r="M39" s="82">
        <f>(M$61/(M$61+M$70))*M28</f>
        <v>82704.014528060434</v>
      </c>
      <c r="N39" s="82">
        <f>(N$61/(N$61+N$70))*N28</f>
        <v>84649.997482996012</v>
      </c>
      <c r="P39" s="82">
        <f t="shared" si="53"/>
        <v>138816.14240451955</v>
      </c>
      <c r="Q39" s="82">
        <f t="shared" si="54"/>
        <v>190182.38661312358</v>
      </c>
      <c r="R39" s="82">
        <f t="shared" si="55"/>
        <v>186899.09614000836</v>
      </c>
      <c r="S39" s="82">
        <f t="shared" si="56"/>
        <v>224845.71726035484</v>
      </c>
      <c r="U39" s="82">
        <f t="shared" si="57"/>
        <v>740743.34241800639</v>
      </c>
    </row>
    <row r="40" spans="2:21" s="26" customFormat="1" ht="15" hidden="1" customHeight="1" outlineLevel="1" x14ac:dyDescent="0.2">
      <c r="B40" s="27" t="s">
        <v>12</v>
      </c>
      <c r="C40" s="82">
        <f>(C$61/(C$61+C$70))*C29</f>
        <v>45279.108227604411</v>
      </c>
      <c r="D40" s="82">
        <f>(D$61/(D$61+D$70))*D29</f>
        <v>39247.557225428223</v>
      </c>
      <c r="E40" s="82">
        <f>(E$61/(E$61+E$70))*E29</f>
        <v>41857.23010990992</v>
      </c>
      <c r="F40" s="82">
        <f>(F$61/(F$61+F$70))*F29</f>
        <v>45620.851727458212</v>
      </c>
      <c r="G40" s="82">
        <f>(G$61/(G$61+G$70))*G29</f>
        <v>38290.273214587782</v>
      </c>
      <c r="H40" s="82">
        <f>(H$61/(H$61+H$70))*H29</f>
        <v>54211.993964531168</v>
      </c>
      <c r="I40" s="82">
        <f>(I$61/(I$61+I$70))*I29</f>
        <v>34871.498820428162</v>
      </c>
      <c r="J40" s="82">
        <f>(J$61/(J$61+J$70))*J29</f>
        <v>32507.175162213418</v>
      </c>
      <c r="K40" s="82">
        <f>(K$61/(K$61+K$70))*K29</f>
        <v>37052.251324711338</v>
      </c>
      <c r="L40" s="82">
        <f>(L$61/(L$61+L$70))*L29</f>
        <v>25307.810450272533</v>
      </c>
      <c r="M40" s="82">
        <f>(M$61/(M$61+M$70))*M29</f>
        <v>25403.311621782999</v>
      </c>
      <c r="N40" s="82">
        <f>(N$61/(N$61+N$70))*N29</f>
        <v>35270.832284581687</v>
      </c>
      <c r="P40" s="82">
        <f t="shared" si="53"/>
        <v>126383.89556294255</v>
      </c>
      <c r="Q40" s="82">
        <f t="shared" si="54"/>
        <v>138123.11890657718</v>
      </c>
      <c r="R40" s="82">
        <f t="shared" si="55"/>
        <v>104430.92530735291</v>
      </c>
      <c r="S40" s="82">
        <f t="shared" si="56"/>
        <v>85981.954356637216</v>
      </c>
      <c r="U40" s="82">
        <f t="shared" si="57"/>
        <v>454919.89413350984</v>
      </c>
    </row>
    <row r="41" spans="2:21" ht="15" hidden="1" customHeight="1" outlineLevel="1" x14ac:dyDescent="0.2">
      <c r="B41" s="33" t="s">
        <v>14</v>
      </c>
      <c r="C41" s="83">
        <f>(C$61/(C$61+C$70))*C30</f>
        <v>23871.349741007212</v>
      </c>
      <c r="D41" s="83">
        <f>(D$61/(D$61+D$70))*D30</f>
        <v>8240.2879888886091</v>
      </c>
      <c r="E41" s="83">
        <f>(E$61/(E$61+E$70))*E30</f>
        <v>59296.092950971673</v>
      </c>
      <c r="F41" s="83">
        <f>(F$61/(F$61+F$70))*F30</f>
        <v>28645.651084683064</v>
      </c>
      <c r="G41" s="83">
        <f>(G$61/(G$61+G$70))*G30</f>
        <v>63393.845194559864</v>
      </c>
      <c r="H41" s="83">
        <f>(H$61/(H$61+H$70))*H30</f>
        <v>80194.679360144306</v>
      </c>
      <c r="I41" s="83">
        <f>(I$61/(I$61+I$70))*I30</f>
        <v>25982.685395613127</v>
      </c>
      <c r="J41" s="83">
        <f>(J$61/(J$61+J$70))*J30</f>
        <v>51082.703826335368</v>
      </c>
      <c r="K41" s="83">
        <f>(K$61/(K$61+K$70))*K30</f>
        <v>58394.348087745071</v>
      </c>
      <c r="L41" s="83">
        <f>(L$61/(L$61+L$70))*L30</f>
        <v>79552.475868215202</v>
      </c>
      <c r="M41" s="83">
        <f>(M$61/(M$61+M$70))*M30</f>
        <v>42116.01663611392</v>
      </c>
      <c r="N41" s="83">
        <f>(N$61/(N$61+N$70))*N30</f>
        <v>47253.252019617641</v>
      </c>
      <c r="P41" s="83">
        <f t="shared" si="53"/>
        <v>91407.730680867491</v>
      </c>
      <c r="Q41" s="83">
        <f t="shared" si="54"/>
        <v>172234.17563938722</v>
      </c>
      <c r="R41" s="83">
        <f t="shared" si="55"/>
        <v>135459.73730969356</v>
      </c>
      <c r="S41" s="83">
        <f t="shared" si="56"/>
        <v>168921.74452394678</v>
      </c>
      <c r="U41" s="83">
        <f t="shared" si="57"/>
        <v>568023.38815389504</v>
      </c>
    </row>
    <row r="42" spans="2:21" s="24" customFormat="1" ht="15" hidden="1" customHeight="1" outlineLevel="1" x14ac:dyDescent="0.2">
      <c r="B42" s="24" t="s">
        <v>15</v>
      </c>
      <c r="C42" s="44">
        <f>(C$61/(C$61+C$70))*C31</f>
        <v>174830.02764054394</v>
      </c>
      <c r="D42" s="44">
        <f>(D$61/(D$61+D$70))*D31</f>
        <v>212463.50783722079</v>
      </c>
      <c r="E42" s="44">
        <f>(E$61/(E$61+E$70))*E31</f>
        <v>278648.01999526966</v>
      </c>
      <c r="F42" s="44">
        <f>(F$61/(F$61+F$70))*F31</f>
        <v>255496.05967449638</v>
      </c>
      <c r="G42" s="44">
        <f>(G$61/(G$61+G$70))*G31</f>
        <v>254259.1356570714</v>
      </c>
      <c r="H42" s="44">
        <f>(H$61/(H$61+H$70))*H31</f>
        <v>441607.9724570188</v>
      </c>
      <c r="I42" s="44">
        <f>(I$61/(I$61+I$70))*I31</f>
        <v>250547.3234576981</v>
      </c>
      <c r="J42" s="44">
        <f>(J$61/(J$61+J$70))*J31</f>
        <v>262527.55138602137</v>
      </c>
      <c r="K42" s="44">
        <f>(K$61/(K$61+K$70))*K31</f>
        <v>429806.11536665168</v>
      </c>
      <c r="L42" s="44">
        <f>(L$61/(L$61+L$70))*L31</f>
        <v>372550.07006231381</v>
      </c>
      <c r="M42" s="44">
        <f>(M$61/(M$61+M$70))*M31</f>
        <v>317541.39527228748</v>
      </c>
      <c r="N42" s="44">
        <f>(N$61/(N$61+N$70))*N31</f>
        <v>446635.03238174377</v>
      </c>
      <c r="P42" s="44">
        <f t="shared" si="53"/>
        <v>665941.55547303439</v>
      </c>
      <c r="Q42" s="44">
        <f t="shared" si="54"/>
        <v>951363.16778858658</v>
      </c>
      <c r="R42" s="44">
        <f t="shared" si="55"/>
        <v>942880.99021037109</v>
      </c>
      <c r="S42" s="44">
        <f t="shared" si="56"/>
        <v>1136726.4977163449</v>
      </c>
      <c r="U42" s="44">
        <f t="shared" si="57"/>
        <v>3696912.2111883368</v>
      </c>
    </row>
    <row r="43" spans="2:21" ht="15" hidden="1" customHeight="1" outlineLevel="1" x14ac:dyDescent="0.2"/>
    <row r="44" spans="2:21" ht="15" hidden="1" customHeight="1" outlineLevel="1" x14ac:dyDescent="0.2">
      <c r="B44" s="24" t="s">
        <v>127</v>
      </c>
    </row>
    <row r="45" spans="2:21" ht="15" hidden="1" customHeight="1" outlineLevel="1" x14ac:dyDescent="0.2">
      <c r="B45" s="25" t="s">
        <v>10</v>
      </c>
      <c r="C45" s="81">
        <f>(C$70/(C$61+C$70))*C24</f>
        <v>12866.954840381868</v>
      </c>
      <c r="D45" s="81">
        <f>(D$70/(D$61+D$70))*D24</f>
        <v>33092.826660531529</v>
      </c>
      <c r="E45" s="81">
        <f>(E$70/(E$61+E$70))*E24</f>
        <v>35240.3375405716</v>
      </c>
      <c r="F45" s="81">
        <f>(F$70/(F$61+F$70))*F24</f>
        <v>35139.186812416614</v>
      </c>
      <c r="G45" s="81">
        <f>(G$70/(G$61+G$70))*G24</f>
        <v>27476.970373972268</v>
      </c>
      <c r="H45" s="81">
        <f>(H$70/(H$61+H$70))*H24</f>
        <v>64031.877862649242</v>
      </c>
      <c r="I45" s="81">
        <f>(I$70/(I$61+I$70))*I24</f>
        <v>34879.811949654075</v>
      </c>
      <c r="J45" s="81">
        <f>(J$70/(J$61+J$70))*J24</f>
        <v>40338.076506017664</v>
      </c>
      <c r="K45" s="81">
        <f>(K$70/(K$61+K$70))*K24</f>
        <v>61853.443371550842</v>
      </c>
      <c r="L45" s="81">
        <f>(L$70/(L$61+L$70))*L24</f>
        <v>64259.882899222932</v>
      </c>
      <c r="M45" s="81">
        <f>(M$70/(M$61+M$70))*M24</f>
        <v>51150.983570848963</v>
      </c>
      <c r="N45" s="81">
        <f>(N$70/(N$61+N$70))*N24</f>
        <v>81162.595225863537</v>
      </c>
      <c r="P45" s="81">
        <f t="shared" ref="P45:P52" si="58">SUM(C45:E45)</f>
        <v>81200.119041484999</v>
      </c>
      <c r="Q45" s="81">
        <f t="shared" ref="Q45:Q52" si="59">SUM(F45:H45)</f>
        <v>126648.03504903812</v>
      </c>
      <c r="R45" s="81">
        <f t="shared" ref="R45:R52" si="60">SUM(I45:K45)</f>
        <v>137071.33182722257</v>
      </c>
      <c r="S45" s="81">
        <f t="shared" ref="S45:S52" si="61">SUM(L45:N45)</f>
        <v>196573.46169593543</v>
      </c>
      <c r="U45" s="81">
        <f t="shared" ref="U45:U52" si="62">SUM(P45:S45)</f>
        <v>541492.9476136812</v>
      </c>
    </row>
    <row r="46" spans="2:21" s="26" customFormat="1" ht="15" hidden="1" customHeight="1" outlineLevel="1" x14ac:dyDescent="0.2">
      <c r="B46" s="27" t="s">
        <v>11</v>
      </c>
      <c r="C46" s="82">
        <f>(C$70/(C$61+C$70))*C25</f>
        <v>10703.879243298608</v>
      </c>
      <c r="D46" s="82">
        <f>(D$70/(D$61+D$70))*D25</f>
        <v>28231.481504200081</v>
      </c>
      <c r="E46" s="82">
        <f>(E$70/(E$61+E$70))*E25</f>
        <v>33250.286543274866</v>
      </c>
      <c r="F46" s="82">
        <f>(F$70/(F$61+F$70))*F25</f>
        <v>31410.59142717627</v>
      </c>
      <c r="G46" s="82">
        <f>(G$70/(G$61+G$70))*G25</f>
        <v>22667.825116777512</v>
      </c>
      <c r="H46" s="82">
        <f>(H$70/(H$61+H$70))*H25</f>
        <v>47632.152182215446</v>
      </c>
      <c r="I46" s="82">
        <f>(I$70/(I$61+I$70))*I25</f>
        <v>28908.906883137002</v>
      </c>
      <c r="J46" s="82">
        <f>(J$70/(J$61+J$70))*J25</f>
        <v>31690.504264034418</v>
      </c>
      <c r="K46" s="82">
        <f>(K$70/(K$61+K$70))*K25</f>
        <v>51988.997191324437</v>
      </c>
      <c r="L46" s="82">
        <f>(L$70/(L$61+L$70))*L25</f>
        <v>45428.613262694627</v>
      </c>
      <c r="M46" s="82">
        <f>(M$70/(M$61+M$70))*M25</f>
        <v>42713.406943009155</v>
      </c>
      <c r="N46" s="82">
        <f>(N$70/(N$61+N$70))*N25</f>
        <v>66260.334484185281</v>
      </c>
      <c r="P46" s="82">
        <f t="shared" si="58"/>
        <v>72185.647290773559</v>
      </c>
      <c r="Q46" s="82">
        <f t="shared" si="59"/>
        <v>101710.56872616924</v>
      </c>
      <c r="R46" s="82">
        <f t="shared" si="60"/>
        <v>112588.40833849585</v>
      </c>
      <c r="S46" s="82">
        <f t="shared" si="61"/>
        <v>154402.35468988906</v>
      </c>
      <c r="U46" s="82">
        <f t="shared" si="62"/>
        <v>440886.97904532769</v>
      </c>
    </row>
    <row r="47" spans="2:21" s="26" customFormat="1" ht="15" hidden="1" customHeight="1" outlineLevel="1" x14ac:dyDescent="0.2">
      <c r="B47" s="27" t="s">
        <v>12</v>
      </c>
      <c r="C47" s="82">
        <f>(C$70/(C$61+C$70))*C26</f>
        <v>2163.0755970832593</v>
      </c>
      <c r="D47" s="82">
        <f>(D$70/(D$61+D$70))*D26</f>
        <v>4861.3451563314493</v>
      </c>
      <c r="E47" s="82">
        <f>(E$70/(E$61+E$70))*E26</f>
        <v>1990.0509972967345</v>
      </c>
      <c r="F47" s="82">
        <f>(F$70/(F$61+F$70))*F26</f>
        <v>3728.5953852403472</v>
      </c>
      <c r="G47" s="82">
        <f>(G$70/(G$61+G$70))*G26</f>
        <v>4809.1452571947548</v>
      </c>
      <c r="H47" s="82">
        <f>(H$70/(H$61+H$70))*H26</f>
        <v>16399.725680433792</v>
      </c>
      <c r="I47" s="82">
        <f>(I$70/(I$61+I$70))*I26</f>
        <v>5970.9050665170798</v>
      </c>
      <c r="J47" s="82">
        <f>(J$70/(J$61+J$70))*J26</f>
        <v>8647.5722419832473</v>
      </c>
      <c r="K47" s="82">
        <f>(K$70/(K$61+K$70))*K26</f>
        <v>9864.4461802263959</v>
      </c>
      <c r="L47" s="82">
        <f>(L$70/(L$61+L$70))*L26</f>
        <v>18831.269636528301</v>
      </c>
      <c r="M47" s="82">
        <f>(M$70/(M$61+M$70))*M26</f>
        <v>8437.5766278398096</v>
      </c>
      <c r="N47" s="82">
        <f>(N$70/(N$61+N$70))*N26</f>
        <v>14902.260741678267</v>
      </c>
      <c r="P47" s="82">
        <f t="shared" si="58"/>
        <v>9014.4717507114419</v>
      </c>
      <c r="Q47" s="82">
        <f t="shared" si="59"/>
        <v>24937.466322868895</v>
      </c>
      <c r="R47" s="82">
        <f t="shared" si="60"/>
        <v>24482.923488726723</v>
      </c>
      <c r="S47" s="82">
        <f t="shared" si="61"/>
        <v>42171.107006046383</v>
      </c>
      <c r="U47" s="82">
        <f t="shared" si="62"/>
        <v>100605.96856835345</v>
      </c>
    </row>
    <row r="48" spans="2:21" ht="15" hidden="1" customHeight="1" outlineLevel="1" x14ac:dyDescent="0.2">
      <c r="B48" s="25" t="s">
        <v>13</v>
      </c>
      <c r="C48" s="81">
        <f>(C$70/(C$61+C$70))*C27</f>
        <v>26759.698108246514</v>
      </c>
      <c r="D48" s="81">
        <f>(D$70/(D$61+D$70))*D27</f>
        <v>20515.768549655659</v>
      </c>
      <c r="E48" s="81">
        <f>(E$70/(E$61+E$70))*E27</f>
        <v>22339.543308556615</v>
      </c>
      <c r="F48" s="81">
        <f>(F$70/(F$61+F$70))*F27</f>
        <v>31297.603688229592</v>
      </c>
      <c r="G48" s="81">
        <f>(G$70/(G$61+G$70))*G27</f>
        <v>25315.556775233057</v>
      </c>
      <c r="H48" s="81">
        <f>(H$70/(H$61+H$70))*H27</f>
        <v>35933.501079039444</v>
      </c>
      <c r="I48" s="81">
        <f>(I$70/(I$61+I$70))*I27</f>
        <v>27233.811344114107</v>
      </c>
      <c r="J48" s="81">
        <f>(J$70/(J$61+J$70))*J27</f>
        <v>15068.524086330086</v>
      </c>
      <c r="K48" s="81">
        <f>(K$70/(K$61+K$70))*K27</f>
        <v>35470.580753045062</v>
      </c>
      <c r="L48" s="81">
        <f>(L$70/(L$61+L$70))*L27</f>
        <v>25312.729883519438</v>
      </c>
      <c r="M48" s="81">
        <f>(M$70/(M$61+M$70))*M27</f>
        <v>33049.608106279127</v>
      </c>
      <c r="N48" s="81">
        <f>(N$70/(N$61+N$70))*N27</f>
        <v>34828.070772924162</v>
      </c>
      <c r="P48" s="81">
        <f t="shared" si="58"/>
        <v>69615.009966458791</v>
      </c>
      <c r="Q48" s="81">
        <f t="shared" si="59"/>
        <v>92546.661542502086</v>
      </c>
      <c r="R48" s="81">
        <f t="shared" si="60"/>
        <v>77772.916183489258</v>
      </c>
      <c r="S48" s="81">
        <f t="shared" si="61"/>
        <v>93190.408762722727</v>
      </c>
      <c r="U48" s="81">
        <f t="shared" si="62"/>
        <v>333124.99645517289</v>
      </c>
    </row>
    <row r="49" spans="2:21" s="26" customFormat="1" ht="15" hidden="1" customHeight="1" outlineLevel="1" x14ac:dyDescent="0.2">
      <c r="B49" s="27" t="s">
        <v>11</v>
      </c>
      <c r="C49" s="82">
        <f>(C$70/(C$61+C$70))*C28</f>
        <v>14873.932198500353</v>
      </c>
      <c r="D49" s="82">
        <f>(D$70/(D$61+D$70))*D28</f>
        <v>10213.284777980753</v>
      </c>
      <c r="E49" s="82">
        <f>(E$70/(E$61+E$70))*E28</f>
        <v>11352.020404705263</v>
      </c>
      <c r="F49" s="82">
        <f>(F$70/(F$61+F$70))*F28</f>
        <v>17936.803557785013</v>
      </c>
      <c r="G49" s="82">
        <f>(G$70/(G$61+G$70))*G28</f>
        <v>14724.630141410902</v>
      </c>
      <c r="H49" s="82">
        <f>(H$70/(H$61+H$70))*H28</f>
        <v>20938.694237786141</v>
      </c>
      <c r="I49" s="82">
        <f>(I$70/(I$61+I$70))*I28</f>
        <v>17588.503159740358</v>
      </c>
      <c r="J49" s="82">
        <f>(J$70/(J$61+J$70))*J28</f>
        <v>6550.4065186280268</v>
      </c>
      <c r="K49" s="82">
        <f>(K$70/(K$61+K$70))*K28</f>
        <v>25761.480181956085</v>
      </c>
      <c r="L49" s="82">
        <f>(L$70/(L$61+L$70))*L28</f>
        <v>17575.851660759748</v>
      </c>
      <c r="M49" s="82">
        <f>(M$70/(M$61+M$70))*M28</f>
        <v>25283.534116641094</v>
      </c>
      <c r="N49" s="82">
        <f>(N$70/(N$61+N$70))*N28</f>
        <v>24584.520545593521</v>
      </c>
      <c r="P49" s="82">
        <f t="shared" si="58"/>
        <v>36439.237381186365</v>
      </c>
      <c r="Q49" s="82">
        <f t="shared" si="59"/>
        <v>53600.127936982055</v>
      </c>
      <c r="R49" s="82">
        <f t="shared" si="60"/>
        <v>49900.389860324474</v>
      </c>
      <c r="S49" s="82">
        <f t="shared" si="61"/>
        <v>67443.906322994357</v>
      </c>
      <c r="U49" s="82">
        <f t="shared" si="62"/>
        <v>207383.66150148725</v>
      </c>
    </row>
    <row r="50" spans="2:21" s="26" customFormat="1" ht="15" hidden="1" customHeight="1" outlineLevel="1" x14ac:dyDescent="0.2">
      <c r="B50" s="27" t="s">
        <v>12</v>
      </c>
      <c r="C50" s="82">
        <f>(C$70/(C$61+C$70))*C29</f>
        <v>11885.765909746156</v>
      </c>
      <c r="D50" s="82">
        <f>(D$70/(D$61+D$70))*D29</f>
        <v>10302.483771674908</v>
      </c>
      <c r="E50" s="82">
        <f>(E$70/(E$61+E$70))*E29</f>
        <v>10987.522903851353</v>
      </c>
      <c r="F50" s="82">
        <f>(F$70/(F$61+F$70))*F29</f>
        <v>13360.800130444582</v>
      </c>
      <c r="G50" s="82">
        <f>(G$70/(G$61+G$70))*G29</f>
        <v>10590.926633822153</v>
      </c>
      <c r="H50" s="82">
        <f>(H$70/(H$61+H$70))*H29</f>
        <v>14994.806841253303</v>
      </c>
      <c r="I50" s="82">
        <f>(I$70/(I$61+I$70))*I29</f>
        <v>9645.3081843737473</v>
      </c>
      <c r="J50" s="82">
        <f>(J$70/(J$61+J$70))*J29</f>
        <v>8518.1175677020601</v>
      </c>
      <c r="K50" s="82">
        <f>(K$70/(K$61+K$70))*K29</f>
        <v>9709.1005710889731</v>
      </c>
      <c r="L50" s="82">
        <f>(L$70/(L$61+L$70))*L29</f>
        <v>7736.8782227596885</v>
      </c>
      <c r="M50" s="82">
        <f>(M$70/(M$61+M$70))*M29</f>
        <v>7766.0739896380283</v>
      </c>
      <c r="N50" s="82">
        <f>(N$70/(N$61+N$70))*N29</f>
        <v>10243.550227330639</v>
      </c>
      <c r="P50" s="82">
        <f t="shared" si="58"/>
        <v>33175.772585272418</v>
      </c>
      <c r="Q50" s="82">
        <f t="shared" si="59"/>
        <v>38946.533605520039</v>
      </c>
      <c r="R50" s="82">
        <f t="shared" si="60"/>
        <v>27872.52632316478</v>
      </c>
      <c r="S50" s="82">
        <f t="shared" si="61"/>
        <v>25746.502439728356</v>
      </c>
      <c r="U50" s="82">
        <f t="shared" si="62"/>
        <v>125741.3349536856</v>
      </c>
    </row>
    <row r="51" spans="2:21" ht="15" hidden="1" customHeight="1" outlineLevel="1" x14ac:dyDescent="0.2">
      <c r="B51" s="33" t="s">
        <v>14</v>
      </c>
      <c r="C51" s="83">
        <f>(C$70/(C$61+C$70))*C30</f>
        <v>6266.2293070143933</v>
      </c>
      <c r="D51" s="83">
        <f>(D$70/(D$61+D$70))*D30</f>
        <v>2163.0755970832597</v>
      </c>
      <c r="E51" s="83">
        <f>(E$70/(E$61+E$70))*E30</f>
        <v>15565.224399630062</v>
      </c>
      <c r="F51" s="83">
        <f>(F$70/(F$61+F$70))*F30</f>
        <v>8389.3396167907849</v>
      </c>
      <c r="G51" s="83">
        <f>(G$70/(G$61+G$70))*G30</f>
        <v>17534.467819771879</v>
      </c>
      <c r="H51" s="83">
        <f>(H$70/(H$61+H$70))*H30</f>
        <v>22181.507057061193</v>
      </c>
      <c r="I51" s="83">
        <f>(I$70/(I$61+I$70))*I30</f>
        <v>7186.7002158078867</v>
      </c>
      <c r="J51" s="83">
        <f>(J$70/(J$61+J$70))*J30</f>
        <v>13385.613320674665</v>
      </c>
      <c r="K51" s="83">
        <f>(K$70/(K$61+K$70))*K30</f>
        <v>15301.542500036223</v>
      </c>
      <c r="L51" s="83">
        <f>(L$70/(L$61+L$70))*L30</f>
        <v>24320.073809655936</v>
      </c>
      <c r="M51" s="83">
        <f>(M$70/(M$61+M$70))*M30</f>
        <v>12875.333193347256</v>
      </c>
      <c r="N51" s="83">
        <f>(N$70/(N$61+N$70))*N30</f>
        <v>13723.550852505974</v>
      </c>
      <c r="P51" s="83">
        <f t="shared" si="58"/>
        <v>23994.529303727715</v>
      </c>
      <c r="Q51" s="83">
        <f t="shared" si="59"/>
        <v>48105.314493623853</v>
      </c>
      <c r="R51" s="83">
        <f t="shared" si="60"/>
        <v>35873.856036518773</v>
      </c>
      <c r="S51" s="83">
        <f t="shared" si="61"/>
        <v>50918.957855509172</v>
      </c>
      <c r="U51" s="83">
        <f t="shared" si="62"/>
        <v>158892.65768937953</v>
      </c>
    </row>
    <row r="52" spans="2:21" s="24" customFormat="1" ht="15" hidden="1" customHeight="1" outlineLevel="1" x14ac:dyDescent="0.2">
      <c r="B52" s="24" t="s">
        <v>15</v>
      </c>
      <c r="C52" s="44">
        <f>(C$70/(C$61+C$70))*C31</f>
        <v>45892.882255642777</v>
      </c>
      <c r="D52" s="44">
        <f>(D$70/(D$61+D$70))*D31</f>
        <v>55771.670807270457</v>
      </c>
      <c r="E52" s="44">
        <f>(E$70/(E$61+E$70))*E31</f>
        <v>73145.105248758278</v>
      </c>
      <c r="F52" s="44">
        <f>(F$70/(F$61+F$70))*F31</f>
        <v>74826.130117436987</v>
      </c>
      <c r="G52" s="44">
        <f>(G$70/(G$61+G$70))*G31</f>
        <v>70326.994968977204</v>
      </c>
      <c r="H52" s="44">
        <f>(H$70/(H$61+H$70))*H31</f>
        <v>122146.88599874989</v>
      </c>
      <c r="I52" s="44">
        <f>(I$70/(I$61+I$70))*I31</f>
        <v>69300.323509576076</v>
      </c>
      <c r="J52" s="44">
        <f>(J$70/(J$61+J$70))*J31</f>
        <v>68792.21391302241</v>
      </c>
      <c r="K52" s="44">
        <f>(K$70/(K$61+K$70))*K31</f>
        <v>112625.56662463213</v>
      </c>
      <c r="L52" s="44">
        <f>(L$70/(L$61+L$70))*L31</f>
        <v>113892.6865923983</v>
      </c>
      <c r="M52" s="44">
        <f>(M$70/(M$61+M$70))*M31</f>
        <v>97075.924870475355</v>
      </c>
      <c r="N52" s="44">
        <f>(N$70/(N$61+N$70))*N31</f>
        <v>129714.21685129368</v>
      </c>
      <c r="P52" s="44">
        <f t="shared" si="58"/>
        <v>174809.65831167152</v>
      </c>
      <c r="Q52" s="44">
        <f t="shared" si="59"/>
        <v>267300.01108516409</v>
      </c>
      <c r="R52" s="44">
        <f t="shared" si="60"/>
        <v>250718.10404723062</v>
      </c>
      <c r="S52" s="44">
        <f t="shared" si="61"/>
        <v>340682.82831416733</v>
      </c>
      <c r="U52" s="44">
        <f t="shared" si="62"/>
        <v>1033510.6017582336</v>
      </c>
    </row>
    <row r="53" spans="2:21" ht="15" customHeight="1" collapsed="1" x14ac:dyDescent="0.2"/>
    <row r="54" spans="2:21" ht="15" customHeight="1" x14ac:dyDescent="0.2">
      <c r="B54" s="24" t="s">
        <v>26</v>
      </c>
    </row>
    <row r="55" spans="2:21" ht="15" customHeight="1" x14ac:dyDescent="0.2">
      <c r="B55" s="25" t="s">
        <v>27</v>
      </c>
      <c r="C55" s="36">
        <f>Current!C6</f>
        <v>16</v>
      </c>
      <c r="D55" s="36">
        <f>Current!D6</f>
        <v>16</v>
      </c>
      <c r="E55" s="36">
        <f>Current!E6</f>
        <v>16</v>
      </c>
      <c r="F55" s="36">
        <f>Current!F6</f>
        <v>17</v>
      </c>
      <c r="G55" s="36">
        <f>Current!G6</f>
        <v>18</v>
      </c>
      <c r="H55" s="36">
        <f>Current!H6</f>
        <v>18</v>
      </c>
      <c r="I55" s="36">
        <f>Current!I6</f>
        <v>18</v>
      </c>
      <c r="J55" s="36">
        <f>Current!J6</f>
        <v>19</v>
      </c>
      <c r="K55" s="36">
        <f>Current!K6</f>
        <v>19</v>
      </c>
      <c r="L55" s="36">
        <f>Current!L6</f>
        <v>19</v>
      </c>
      <c r="M55" s="36">
        <f>Current!M6</f>
        <v>19</v>
      </c>
      <c r="N55" s="36">
        <f>Current!N6</f>
        <v>20</v>
      </c>
      <c r="P55" s="36">
        <f>SUMPRODUCT(C55:E55,C$61:E$61)/SUM(C$61:E$61)</f>
        <v>16</v>
      </c>
      <c r="Q55" s="36">
        <f t="shared" ref="Q55" si="63">SUMPRODUCT(F55:H55,F$61:H$61)/SUM(F$61:H$61)</f>
        <v>17.70064874884152</v>
      </c>
      <c r="R55" s="36">
        <f t="shared" ref="R55" si="64">SUMPRODUCT(I55:K55,I$61:K$61)/SUM(I$61:K$61)</f>
        <v>18.694915254237287</v>
      </c>
      <c r="S55" s="36">
        <f t="shared" ref="S55" si="65">SUMPRODUCT(L55:N55,L$61:N$61)/SUM(L$61:N$61)</f>
        <v>19.339270568278202</v>
      </c>
      <c r="U55" s="36">
        <f>SUMPRODUCT(C55:N55,C$61:N$61)/SUM(C$61:N$61)</f>
        <v>18.038498912362567</v>
      </c>
    </row>
    <row r="56" spans="2:21" ht="15" customHeight="1" x14ac:dyDescent="0.2">
      <c r="B56" s="25" t="s">
        <v>28</v>
      </c>
      <c r="C56" s="36">
        <f>Current!C4</f>
        <v>168</v>
      </c>
      <c r="D56" s="36">
        <f>Current!D4</f>
        <v>160</v>
      </c>
      <c r="E56" s="36">
        <f>Current!E4</f>
        <v>184</v>
      </c>
      <c r="F56" s="36">
        <f>Current!F4</f>
        <v>160</v>
      </c>
      <c r="G56" s="36">
        <f>Current!G4</f>
        <v>184</v>
      </c>
      <c r="H56" s="36">
        <f>Current!H4</f>
        <v>168</v>
      </c>
      <c r="I56" s="36">
        <f>Current!I4</f>
        <v>160</v>
      </c>
      <c r="J56" s="36">
        <f>Current!J4</f>
        <v>184</v>
      </c>
      <c r="K56" s="36">
        <f>Current!K4</f>
        <v>160</v>
      </c>
      <c r="L56" s="36">
        <f>Current!L4</f>
        <v>176</v>
      </c>
      <c r="M56" s="36">
        <f>Current!M4</f>
        <v>168</v>
      </c>
      <c r="N56" s="36">
        <f>Current!N4</f>
        <v>168</v>
      </c>
      <c r="P56" s="36">
        <f>SUM(C56:E56)</f>
        <v>512</v>
      </c>
      <c r="Q56" s="36">
        <f>SUM(F56:H56)</f>
        <v>512</v>
      </c>
      <c r="R56" s="36">
        <f>SUM(I56:K56)</f>
        <v>504</v>
      </c>
      <c r="S56" s="36">
        <f>SUM(L56:N56)</f>
        <v>512</v>
      </c>
      <c r="U56" s="36">
        <f>SUM(C56:N56)</f>
        <v>2040</v>
      </c>
    </row>
    <row r="57" spans="2:21" ht="15" customHeight="1" x14ac:dyDescent="0.2">
      <c r="B57" s="25" t="s">
        <v>3</v>
      </c>
      <c r="C57" s="36">
        <f>Current!C8</f>
        <v>128</v>
      </c>
      <c r="D57" s="36">
        <f>Current!D8</f>
        <v>128</v>
      </c>
      <c r="E57" s="36">
        <f>Current!E8</f>
        <v>128</v>
      </c>
      <c r="F57" s="36">
        <f>Current!F8</f>
        <v>136</v>
      </c>
      <c r="G57" s="36">
        <f>Current!G8</f>
        <v>144</v>
      </c>
      <c r="H57" s="36">
        <f>Current!H8</f>
        <v>144</v>
      </c>
      <c r="I57" s="36">
        <f>Current!I8</f>
        <v>144</v>
      </c>
      <c r="J57" s="36">
        <f>Current!J8</f>
        <v>152</v>
      </c>
      <c r="K57" s="36">
        <f>Current!K8</f>
        <v>152</v>
      </c>
      <c r="L57" s="36">
        <f>Current!L8</f>
        <v>152</v>
      </c>
      <c r="M57" s="36">
        <f>Current!M8</f>
        <v>152</v>
      </c>
      <c r="N57" s="36">
        <f>Current!N8</f>
        <v>160</v>
      </c>
      <c r="P57" s="36">
        <f>SUM(C57:E57)</f>
        <v>384</v>
      </c>
      <c r="Q57" s="36">
        <f>SUM(F57:H57)</f>
        <v>424</v>
      </c>
      <c r="R57" s="36">
        <f>SUM(I57:K57)</f>
        <v>448</v>
      </c>
      <c r="S57" s="36">
        <f>SUM(L57:N57)</f>
        <v>464</v>
      </c>
      <c r="U57" s="36">
        <f>SUM(C57:N57)</f>
        <v>1720</v>
      </c>
    </row>
    <row r="58" spans="2:21" ht="15" customHeight="1" x14ac:dyDescent="0.2">
      <c r="B58" s="25" t="s">
        <v>29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P58" s="2">
        <f>SUM(C58:E58)</f>
        <v>0</v>
      </c>
      <c r="Q58" s="2">
        <f>SUM(F58:H58)</f>
        <v>0</v>
      </c>
      <c r="R58" s="2">
        <f>SUM(I58:K58)</f>
        <v>0</v>
      </c>
      <c r="S58" s="2">
        <f>SUM(L58:N58)</f>
        <v>0</v>
      </c>
      <c r="U58" s="2">
        <f>SUM(P58:S58)</f>
        <v>0</v>
      </c>
    </row>
    <row r="59" spans="2:21" ht="15" customHeight="1" x14ac:dyDescent="0.2">
      <c r="B59" s="25" t="s">
        <v>30</v>
      </c>
      <c r="C59" s="36">
        <f>Current!C7</f>
        <v>225</v>
      </c>
      <c r="D59" s="36">
        <f>Current!D7</f>
        <v>225</v>
      </c>
      <c r="E59" s="36">
        <f>Current!E7</f>
        <v>225</v>
      </c>
      <c r="F59" s="36">
        <f>Current!F7</f>
        <v>235</v>
      </c>
      <c r="G59" s="36">
        <f>Current!G7</f>
        <v>235</v>
      </c>
      <c r="H59" s="36">
        <f>Current!H7</f>
        <v>235</v>
      </c>
      <c r="I59" s="36">
        <f>Current!I7</f>
        <v>235</v>
      </c>
      <c r="J59" s="36">
        <f>Current!J7</f>
        <v>235</v>
      </c>
      <c r="K59" s="36">
        <f>Current!K7</f>
        <v>235</v>
      </c>
      <c r="L59" s="36">
        <f>Current!L7</f>
        <v>235</v>
      </c>
      <c r="M59" s="36">
        <f>Current!M7</f>
        <v>235</v>
      </c>
      <c r="N59" s="36">
        <f>Current!N7</f>
        <v>235</v>
      </c>
      <c r="P59" s="36">
        <f>SUMPRODUCT(C59:E59,C$61:E$61)/SUM(C$61:E$61)</f>
        <v>225</v>
      </c>
      <c r="Q59" s="36">
        <f t="shared" ref="Q59:Q60" si="66">SUMPRODUCT(F59:H59,F$61:H$61)/SUM(F$61:H$61)</f>
        <v>235</v>
      </c>
      <c r="R59" s="36">
        <f t="shared" ref="R59:R60" si="67">SUMPRODUCT(I59:K59,I$61:K$61)/SUM(I$61:K$61)</f>
        <v>235</v>
      </c>
      <c r="S59" s="36">
        <f t="shared" ref="S59:S60" si="68">SUMPRODUCT(L59:N59,L$61:N$61)/SUM(L$61:N$61)</f>
        <v>235</v>
      </c>
      <c r="U59" s="36">
        <f t="shared" ref="U59:U60" si="69">SUMPRODUCT(C59:N59,C$61:N$61)/SUM(C$61:N$61)</f>
        <v>232.83360380401808</v>
      </c>
    </row>
    <row r="60" spans="2:21" ht="15" customHeight="1" x14ac:dyDescent="0.2">
      <c r="B60" s="33" t="s">
        <v>7</v>
      </c>
      <c r="C60" s="37">
        <f>Current!C10</f>
        <v>0.625</v>
      </c>
      <c r="D60" s="37">
        <f>Current!D10</f>
        <v>0.625</v>
      </c>
      <c r="E60" s="37">
        <f>Current!E10</f>
        <v>0.625</v>
      </c>
      <c r="F60" s="37">
        <f>Current!F10</f>
        <v>0.625</v>
      </c>
      <c r="G60" s="37">
        <f>Current!G10</f>
        <v>0.625</v>
      </c>
      <c r="H60" s="37">
        <f>Current!H10</f>
        <v>0.625</v>
      </c>
      <c r="I60" s="37">
        <f>Current!I10</f>
        <v>0.625</v>
      </c>
      <c r="J60" s="37">
        <f>Current!J10</f>
        <v>0.625</v>
      </c>
      <c r="K60" s="37">
        <f>Current!K10</f>
        <v>0.625</v>
      </c>
      <c r="L60" s="37">
        <f>Current!L10</f>
        <v>0.625</v>
      </c>
      <c r="M60" s="37">
        <f>Current!M10</f>
        <v>0.625</v>
      </c>
      <c r="N60" s="37">
        <f>Current!N10</f>
        <v>0.625</v>
      </c>
      <c r="P60" s="37">
        <f t="shared" ref="P60" si="70">SUMPRODUCT(C60:E60,C$61:E$61)/SUM(C$61:E$61)</f>
        <v>0.625</v>
      </c>
      <c r="Q60" s="37">
        <f t="shared" si="66"/>
        <v>0.625</v>
      </c>
      <c r="R60" s="37">
        <f t="shared" si="67"/>
        <v>0.625</v>
      </c>
      <c r="S60" s="37">
        <f t="shared" si="68"/>
        <v>0.625</v>
      </c>
      <c r="U60" s="37">
        <f t="shared" si="69"/>
        <v>0.625</v>
      </c>
    </row>
    <row r="61" spans="2:21" ht="15" customHeight="1" x14ac:dyDescent="0.2">
      <c r="B61" s="24" t="s">
        <v>26</v>
      </c>
      <c r="C61" s="30">
        <f>((C55*C56)-C57-C58)*C59*C60</f>
        <v>360000</v>
      </c>
      <c r="D61" s="30">
        <f t="shared" ref="D61:N61" si="71">((D55*D56)-D57-D58)*D59*D60</f>
        <v>342000</v>
      </c>
      <c r="E61" s="30">
        <f t="shared" si="71"/>
        <v>396000</v>
      </c>
      <c r="F61" s="30">
        <f t="shared" si="71"/>
        <v>379525</v>
      </c>
      <c r="G61" s="30">
        <f t="shared" si="71"/>
        <v>465300</v>
      </c>
      <c r="H61" s="30">
        <f t="shared" si="71"/>
        <v>423000</v>
      </c>
      <c r="I61" s="30">
        <f t="shared" si="71"/>
        <v>401850</v>
      </c>
      <c r="J61" s="30">
        <f t="shared" si="71"/>
        <v>491150</v>
      </c>
      <c r="K61" s="30">
        <f t="shared" si="71"/>
        <v>424175</v>
      </c>
      <c r="L61" s="30">
        <f t="shared" si="71"/>
        <v>468825</v>
      </c>
      <c r="M61" s="30">
        <f t="shared" si="71"/>
        <v>446500</v>
      </c>
      <c r="N61" s="30">
        <f t="shared" si="71"/>
        <v>470000</v>
      </c>
      <c r="P61" s="30">
        <f>SUM(C61:E61)</f>
        <v>1098000</v>
      </c>
      <c r="Q61" s="30">
        <f>SUM(F61:H61)</f>
        <v>1267825</v>
      </c>
      <c r="R61" s="30">
        <f>SUM(I61:K61)</f>
        <v>1317175</v>
      </c>
      <c r="S61" s="30">
        <f>SUM(L61:N61)</f>
        <v>1385325</v>
      </c>
      <c r="U61" s="30">
        <f>SUM(C61:N61)</f>
        <v>5068325</v>
      </c>
    </row>
    <row r="62" spans="2:21" ht="15" customHeight="1" x14ac:dyDescent="0.2">
      <c r="P62" s="39"/>
      <c r="Q62" s="39"/>
      <c r="R62" s="39"/>
      <c r="S62" s="39"/>
      <c r="U62" s="39"/>
    </row>
    <row r="63" spans="2:21" ht="15" customHeight="1" x14ac:dyDescent="0.2">
      <c r="B63" s="24" t="s">
        <v>31</v>
      </c>
    </row>
    <row r="64" spans="2:21" ht="15" customHeight="1" x14ac:dyDescent="0.2">
      <c r="B64" s="25" t="s">
        <v>27</v>
      </c>
      <c r="C64" s="36">
        <f>Current!C13</f>
        <v>5</v>
      </c>
      <c r="D64" s="36">
        <f>Current!D13</f>
        <v>5</v>
      </c>
      <c r="E64" s="36">
        <f>Current!E13</f>
        <v>5</v>
      </c>
      <c r="F64" s="36">
        <f>Current!F13</f>
        <v>6</v>
      </c>
      <c r="G64" s="36">
        <f>Current!G13</f>
        <v>6</v>
      </c>
      <c r="H64" s="36">
        <f>Current!H13</f>
        <v>6</v>
      </c>
      <c r="I64" s="36">
        <f>Current!I13</f>
        <v>6</v>
      </c>
      <c r="J64" s="36">
        <f>Current!J13</f>
        <v>6</v>
      </c>
      <c r="K64" s="36">
        <f>Current!K13</f>
        <v>6</v>
      </c>
      <c r="L64" s="36">
        <f>Current!L13</f>
        <v>7</v>
      </c>
      <c r="M64" s="36">
        <f>Current!M13</f>
        <v>7</v>
      </c>
      <c r="N64" s="36">
        <f>Current!N13</f>
        <v>7</v>
      </c>
      <c r="P64" s="36">
        <f>SUMPRODUCT(C64:E64,C$70:E$70)/SUM(C$70:E$70)</f>
        <v>5</v>
      </c>
      <c r="Q64" s="36">
        <f>SUMPRODUCT(F64:H64,F$70:H$70)/SUM(F$70:H$70)</f>
        <v>6</v>
      </c>
      <c r="R64" s="36">
        <f>SUMPRODUCT(I64:K64,I$70:K$70)/SUM(I$70:K$70)</f>
        <v>6</v>
      </c>
      <c r="S64" s="36">
        <f>SUMPRODUCT(L64:N64,L$70:N$70)/SUM(L$70:N$70)</f>
        <v>7</v>
      </c>
      <c r="U64" s="36">
        <f>SUMPRODUCT(C64:N64,C$70:N$70)/SUM(C$70:N$70)</f>
        <v>6.0906966864910794</v>
      </c>
    </row>
    <row r="65" spans="2:21" ht="15" customHeight="1" x14ac:dyDescent="0.2">
      <c r="B65" s="25" t="s">
        <v>28</v>
      </c>
      <c r="C65" s="36">
        <f>Current!C4</f>
        <v>168</v>
      </c>
      <c r="D65" s="36">
        <f>Current!D4</f>
        <v>160</v>
      </c>
      <c r="E65" s="36">
        <f>Current!E4</f>
        <v>184</v>
      </c>
      <c r="F65" s="36">
        <f>Current!F4</f>
        <v>160</v>
      </c>
      <c r="G65" s="36">
        <f>Current!G4</f>
        <v>184</v>
      </c>
      <c r="H65" s="36">
        <f>Current!H4</f>
        <v>168</v>
      </c>
      <c r="I65" s="36">
        <f>Current!I4</f>
        <v>160</v>
      </c>
      <c r="J65" s="36">
        <f>Current!J4</f>
        <v>184</v>
      </c>
      <c r="K65" s="36">
        <f>Current!K4</f>
        <v>160</v>
      </c>
      <c r="L65" s="36">
        <f>Current!L4</f>
        <v>176</v>
      </c>
      <c r="M65" s="36">
        <f>Current!M4</f>
        <v>168</v>
      </c>
      <c r="N65" s="36">
        <f>Current!N4</f>
        <v>168</v>
      </c>
      <c r="P65" s="36">
        <f>SUM(C65:E65)</f>
        <v>512</v>
      </c>
      <c r="Q65" s="36">
        <f>SUM(F65:H65)</f>
        <v>512</v>
      </c>
      <c r="R65" s="36">
        <f>SUM(I65:K65)</f>
        <v>504</v>
      </c>
      <c r="S65" s="36">
        <f>SUM(L65:N65)</f>
        <v>512</v>
      </c>
      <c r="U65" s="36">
        <f>SUM(P65:S65)</f>
        <v>2040</v>
      </c>
    </row>
    <row r="66" spans="2:21" ht="15" customHeight="1" x14ac:dyDescent="0.2">
      <c r="B66" s="25" t="s">
        <v>3</v>
      </c>
      <c r="C66" s="36">
        <f>Current!C15</f>
        <v>40</v>
      </c>
      <c r="D66" s="36">
        <f>Current!D15</f>
        <v>40</v>
      </c>
      <c r="E66" s="36">
        <f>Current!E15</f>
        <v>40</v>
      </c>
      <c r="F66" s="36">
        <f>Current!F15</f>
        <v>48</v>
      </c>
      <c r="G66" s="36">
        <f>Current!G15</f>
        <v>48</v>
      </c>
      <c r="H66" s="36">
        <f>Current!H15</f>
        <v>48</v>
      </c>
      <c r="I66" s="36">
        <f>Current!I15</f>
        <v>48</v>
      </c>
      <c r="J66" s="36">
        <f>Current!J15</f>
        <v>48</v>
      </c>
      <c r="K66" s="36">
        <f>Current!K15</f>
        <v>48</v>
      </c>
      <c r="L66" s="36">
        <f>Current!L15</f>
        <v>56</v>
      </c>
      <c r="M66" s="36">
        <f>Current!M15</f>
        <v>56</v>
      </c>
      <c r="N66" s="36">
        <f>Current!N15</f>
        <v>56</v>
      </c>
      <c r="P66" s="36">
        <f>SUM(C66:E66)</f>
        <v>120</v>
      </c>
      <c r="Q66" s="36">
        <f>SUM(F66:H66)</f>
        <v>144</v>
      </c>
      <c r="R66" s="36">
        <f>SUM(I66:K66)</f>
        <v>144</v>
      </c>
      <c r="S66" s="36">
        <f>SUM(L66:N66)</f>
        <v>168</v>
      </c>
      <c r="U66" s="36">
        <f>SUM(P66:S66)</f>
        <v>576</v>
      </c>
    </row>
    <row r="67" spans="2:21" ht="15" customHeight="1" x14ac:dyDescent="0.2">
      <c r="B67" s="25" t="s">
        <v>29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P67" s="2">
        <f>SUM(C67:E67)</f>
        <v>0</v>
      </c>
      <c r="Q67" s="2">
        <f>SUM(F67:H67)</f>
        <v>0</v>
      </c>
      <c r="R67" s="2">
        <f>SUM(I67:K67)</f>
        <v>0</v>
      </c>
      <c r="S67" s="2">
        <f>SUM(L67:N67)</f>
        <v>0</v>
      </c>
      <c r="U67" s="2">
        <f>SUM(P67:S67)</f>
        <v>0</v>
      </c>
    </row>
    <row r="68" spans="2:21" ht="15" customHeight="1" x14ac:dyDescent="0.2">
      <c r="B68" s="25" t="s">
        <v>30</v>
      </c>
      <c r="C68" s="36">
        <f>Current!C14</f>
        <v>315</v>
      </c>
      <c r="D68" s="36">
        <f>Current!D14</f>
        <v>315</v>
      </c>
      <c r="E68" s="36">
        <f>Current!E14</f>
        <v>315</v>
      </c>
      <c r="F68" s="36">
        <f>Current!F14</f>
        <v>325</v>
      </c>
      <c r="G68" s="36">
        <f>Current!G14</f>
        <v>325</v>
      </c>
      <c r="H68" s="36">
        <f>Current!H14</f>
        <v>325</v>
      </c>
      <c r="I68" s="36">
        <f>Current!I14</f>
        <v>325</v>
      </c>
      <c r="J68" s="36">
        <f>Current!J14</f>
        <v>325</v>
      </c>
      <c r="K68" s="36">
        <f>Current!K14</f>
        <v>325</v>
      </c>
      <c r="L68" s="36">
        <f>Current!L14</f>
        <v>325</v>
      </c>
      <c r="M68" s="36">
        <f>Current!M14</f>
        <v>325</v>
      </c>
      <c r="N68" s="36">
        <f>Current!N14</f>
        <v>325</v>
      </c>
      <c r="P68" s="36">
        <f>SUMPRODUCT(C68:E68,C$70:E$70)/SUM(C$70:E$70)</f>
        <v>315</v>
      </c>
      <c r="Q68" s="36">
        <f>SUMPRODUCT(F68:H68,F$70:H$70)/SUM(F$70:H$70)</f>
        <v>325</v>
      </c>
      <c r="R68" s="36">
        <f>SUMPRODUCT(I68:K68,I$70:K$70)/SUM(I$70:K$70)</f>
        <v>325</v>
      </c>
      <c r="S68" s="36">
        <f>SUMPRODUCT(L68:N68,L$70:N$70)/SUM(L$70:N$70)</f>
        <v>325</v>
      </c>
      <c r="U68" s="36">
        <f t="shared" ref="U68:U69" si="72">SUMPRODUCT(C68:N68,C$70:N$70)/SUM(C$70:N$70)</f>
        <v>322.95932455395069</v>
      </c>
    </row>
    <row r="69" spans="2:21" ht="15" customHeight="1" x14ac:dyDescent="0.2">
      <c r="B69" s="33" t="s">
        <v>7</v>
      </c>
      <c r="C69" s="37">
        <f>Current!C16</f>
        <v>0.375</v>
      </c>
      <c r="D69" s="37">
        <f>Current!D16</f>
        <v>0.375</v>
      </c>
      <c r="E69" s="37">
        <f>Current!E16</f>
        <v>0.375</v>
      </c>
      <c r="F69" s="37">
        <f>Current!F16</f>
        <v>0.375</v>
      </c>
      <c r="G69" s="37">
        <f>Current!G16</f>
        <v>0.375</v>
      </c>
      <c r="H69" s="37">
        <f>Current!H16</f>
        <v>0.375</v>
      </c>
      <c r="I69" s="37">
        <f>Current!I16</f>
        <v>0.375</v>
      </c>
      <c r="J69" s="37">
        <f>Current!J16</f>
        <v>0.375</v>
      </c>
      <c r="K69" s="37">
        <f>Current!K16</f>
        <v>0.375</v>
      </c>
      <c r="L69" s="37">
        <f>Current!L16</f>
        <v>0.375</v>
      </c>
      <c r="M69" s="37">
        <f>Current!M16</f>
        <v>0.375</v>
      </c>
      <c r="N69" s="37">
        <f>Current!N16</f>
        <v>0.375</v>
      </c>
      <c r="P69" s="37">
        <f>SUMPRODUCT(C69:E69,C$70:E$70)/SUM(C$70:E$70)</f>
        <v>0.375</v>
      </c>
      <c r="Q69" s="37">
        <f>SUMPRODUCT(F69:H69,F$70:H$70)/SUM(F$70:H$70)</f>
        <v>0.375</v>
      </c>
      <c r="R69" s="37">
        <f>SUMPRODUCT(I69:K69,I$70:K$70)/SUM(I$70:K$70)</f>
        <v>0.375</v>
      </c>
      <c r="S69" s="37">
        <f>SUMPRODUCT(L69:N69,L$70:N$70)/SUM(L$70:N$70)</f>
        <v>0.375</v>
      </c>
      <c r="U69" s="37">
        <f t="shared" si="72"/>
        <v>0.375</v>
      </c>
    </row>
    <row r="70" spans="2:21" ht="15" customHeight="1" x14ac:dyDescent="0.2">
      <c r="B70" s="24" t="s">
        <v>31</v>
      </c>
      <c r="C70" s="30">
        <f>((C64*C65)-C66-C67)*C68*C69</f>
        <v>94500</v>
      </c>
      <c r="D70" s="30">
        <f t="shared" ref="D70:N70" si="73">((D64*D65)-D66-D67)*D68*D69</f>
        <v>89775</v>
      </c>
      <c r="E70" s="30">
        <f t="shared" si="73"/>
        <v>103950</v>
      </c>
      <c r="F70" s="30">
        <f t="shared" si="73"/>
        <v>111150</v>
      </c>
      <c r="G70" s="30">
        <f t="shared" si="73"/>
        <v>128700</v>
      </c>
      <c r="H70" s="30">
        <f t="shared" si="73"/>
        <v>117000</v>
      </c>
      <c r="I70" s="30">
        <f t="shared" si="73"/>
        <v>111150</v>
      </c>
      <c r="J70" s="30">
        <f t="shared" si="73"/>
        <v>128700</v>
      </c>
      <c r="K70" s="30">
        <f t="shared" si="73"/>
        <v>111150</v>
      </c>
      <c r="L70" s="30">
        <f t="shared" si="73"/>
        <v>143325</v>
      </c>
      <c r="M70" s="30">
        <f t="shared" si="73"/>
        <v>136500</v>
      </c>
      <c r="N70" s="30">
        <f t="shared" si="73"/>
        <v>136500</v>
      </c>
      <c r="P70" s="30">
        <f>SUM(C70:E70)</f>
        <v>288225</v>
      </c>
      <c r="Q70" s="30">
        <f>SUM(F70:H70)</f>
        <v>356850</v>
      </c>
      <c r="R70" s="30">
        <f>SUM(I70:K70)</f>
        <v>351000</v>
      </c>
      <c r="S70" s="30">
        <f>SUM(L70:N70)</f>
        <v>416325</v>
      </c>
      <c r="U70" s="30">
        <f>SUM(P70:S70)</f>
        <v>1412400</v>
      </c>
    </row>
    <row r="71" spans="2:21" ht="15" customHeight="1" x14ac:dyDescent="0.2">
      <c r="P71" s="39"/>
      <c r="Q71" s="39"/>
      <c r="R71" s="39"/>
      <c r="S71" s="39"/>
      <c r="U71" s="39"/>
    </row>
  </sheetData>
  <pageMargins left="0.7" right="0.7" top="0.75" bottom="0.75" header="0.3" footer="0.3"/>
  <ignoredErrors>
    <ignoredError sqref="C2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86B4-9C54-408F-9012-BB793A9B62D2}">
  <dimension ref="B2:N31"/>
  <sheetViews>
    <sheetView workbookViewId="0">
      <selection activeCell="E3" sqref="E3"/>
    </sheetView>
  </sheetViews>
  <sheetFormatPr defaultRowHeight="12.75" x14ac:dyDescent="0.2"/>
  <cols>
    <col min="2" max="2" width="20.7109375" customWidth="1"/>
    <col min="3" max="14" width="10.7109375" customWidth="1"/>
  </cols>
  <sheetData>
    <row r="2" spans="2:14" x14ac:dyDescent="0.2">
      <c r="B2" s="1" t="s">
        <v>49</v>
      </c>
      <c r="C2" s="3">
        <v>44927</v>
      </c>
      <c r="D2" s="3">
        <f>EOMONTH(C2,0)+1</f>
        <v>44958</v>
      </c>
      <c r="E2" s="3">
        <f t="shared" ref="E2:N2" si="0">EOMONTH(D2,0)+1</f>
        <v>44986</v>
      </c>
      <c r="F2" s="3">
        <f t="shared" si="0"/>
        <v>45017</v>
      </c>
      <c r="G2" s="3">
        <f t="shared" si="0"/>
        <v>45047</v>
      </c>
      <c r="H2" s="3">
        <f t="shared" si="0"/>
        <v>45078</v>
      </c>
      <c r="I2" s="3">
        <f t="shared" si="0"/>
        <v>45108</v>
      </c>
      <c r="J2" s="3">
        <f t="shared" si="0"/>
        <v>45139</v>
      </c>
      <c r="K2" s="3">
        <f t="shared" si="0"/>
        <v>45170</v>
      </c>
      <c r="L2" s="3">
        <f t="shared" si="0"/>
        <v>45200</v>
      </c>
      <c r="M2" s="3">
        <f t="shared" si="0"/>
        <v>45231</v>
      </c>
      <c r="N2" s="3">
        <f t="shared" si="0"/>
        <v>45261</v>
      </c>
    </row>
    <row r="3" spans="2:14" x14ac:dyDescent="0.2">
      <c r="B3" t="s">
        <v>42</v>
      </c>
      <c r="C3" s="68"/>
      <c r="D3" s="68"/>
      <c r="E3" s="68"/>
      <c r="F3" s="68">
        <f>IFERROR(SUMIFS('Utilization Data'!$E$2:$E$4713,'Utilization Data'!$B$2:$B$4713,$B3,'Utilization Data'!$C$2:$C$4713,"&gt;="&amp;F$2,'Utilization Data'!$D$2:$D$4713,"&lt;"&amp;EOMONTH(F$2,0)+1)/
SUMIFS('Utilization Data'!$H$2:$H$4713,'Utilization Data'!$B$2:$B$4713,$B3,'Utilization Data'!$C$2:$C$4713,"&gt;="&amp;F$2,'Utilization Data'!$D$2:$D$4713,"&lt;"&amp;EOMONTH(F$2,0)+1),0)</f>
        <v>0.51171875</v>
      </c>
      <c r="G3" s="68">
        <f>IFERROR(SUMIFS('Utilization Data'!$E$2:$E$4713,'Utilization Data'!$B$2:$B$4713,$B3,'Utilization Data'!$C$2:$C$4713,"&gt;="&amp;G$2,'Utilization Data'!$D$2:$D$4713,"&lt;"&amp;EOMONTH(G$2,0)+1)/
SUMIFS('Utilization Data'!$H$2:$H$4713,'Utilization Data'!$B$2:$B$4713,$B3,'Utilization Data'!$C$2:$C$4713,"&gt;="&amp;G$2,'Utilization Data'!$D$2:$D$4713,"&lt;"&amp;EOMONTH(G$2,0)+1),0)</f>
        <v>0.55000000000000004</v>
      </c>
      <c r="H3" s="68">
        <f>IFERROR(SUMIFS('Utilization Data'!$E$2:$E$4713,'Utilization Data'!$B$2:$B$4713,$B3,'Utilization Data'!$C$2:$C$4713,"&gt;="&amp;H$2,'Utilization Data'!$D$2:$D$4713,"&lt;"&amp;EOMONTH(H$2,0)+1)/
SUMIFS('Utilization Data'!$H$2:$H$4713,'Utilization Data'!$B$2:$B$4713,$B3,'Utilization Data'!$C$2:$C$4713,"&gt;="&amp;H$2,'Utilization Data'!$D$2:$D$4713,"&lt;"&amp;EOMONTH(H$2,0)+1),0)</f>
        <v>0</v>
      </c>
    </row>
    <row r="4" spans="2:14" x14ac:dyDescent="0.2">
      <c r="B4" t="s">
        <v>46</v>
      </c>
      <c r="C4" s="68"/>
      <c r="D4" s="68"/>
      <c r="E4" s="68"/>
      <c r="F4" s="68">
        <f>IFERROR(SUMIFS('Utilization Data'!$E$2:$E$4713,'Utilization Data'!$B$2:$B$4713,$B4,'Utilization Data'!$C$2:$C$4713,"&gt;="&amp;F$2,'Utilization Data'!$D$2:$D$4713,"&lt;"&amp;EOMONTH(F$2,0)+1)/
SUMIFS('Utilization Data'!$H$2:$H$4713,'Utilization Data'!$B$2:$B$4713,$B4,'Utilization Data'!$C$2:$C$4713,"&gt;="&amp;F$2,'Utilization Data'!$D$2:$D$4713,"&lt;"&amp;EOMONTH(F$2,0)+1),0)</f>
        <v>0.51171875</v>
      </c>
      <c r="G4" s="68">
        <f>IFERROR(SUMIFS('Utilization Data'!$E$2:$E$4713,'Utilization Data'!$B$2:$B$4713,$B4,'Utilization Data'!$C$2:$C$4713,"&gt;="&amp;G$2,'Utilization Data'!$D$2:$D$4713,"&lt;"&amp;EOMONTH(G$2,0)+1)/
SUMIFS('Utilization Data'!$H$2:$H$4713,'Utilization Data'!$B$2:$B$4713,$B4,'Utilization Data'!$C$2:$C$4713,"&gt;="&amp;G$2,'Utilization Data'!$D$2:$D$4713,"&lt;"&amp;EOMONTH(G$2,0)+1),0)</f>
        <v>0.546875</v>
      </c>
      <c r="H4" s="68">
        <f>IFERROR(SUMIFS('Utilization Data'!$E$2:$E$4713,'Utilization Data'!$B$2:$B$4713,$B4,'Utilization Data'!$C$2:$C$4713,"&gt;="&amp;H$2,'Utilization Data'!$D$2:$D$4713,"&lt;"&amp;EOMONTH(H$2,0)+1)/
SUMIFS('Utilization Data'!$H$2:$H$4713,'Utilization Data'!$B$2:$B$4713,$B4,'Utilization Data'!$C$2:$C$4713,"&gt;="&amp;H$2,'Utilization Data'!$D$2:$D$4713,"&lt;"&amp;EOMONTH(H$2,0)+1),0)</f>
        <v>0</v>
      </c>
    </row>
    <row r="5" spans="2:14" x14ac:dyDescent="0.2">
      <c r="B5" t="s">
        <v>43</v>
      </c>
      <c r="C5" s="68"/>
      <c r="D5" s="68"/>
      <c r="E5" s="68"/>
      <c r="F5" s="68">
        <f>IFERROR(SUMIFS('Utilization Data'!$E$2:$E$4713,'Utilization Data'!$B$2:$B$4713,$B5,'Utilization Data'!$C$2:$C$4713,"&gt;="&amp;F$2,'Utilization Data'!$D$2:$D$4713,"&lt;"&amp;EOMONTH(F$2,0)+1)/
SUMIFS('Utilization Data'!$H$2:$H$4713,'Utilization Data'!$B$2:$B$4713,$B5,'Utilization Data'!$C$2:$C$4713,"&gt;="&amp;F$2,'Utilization Data'!$D$2:$D$4713,"&lt;"&amp;EOMONTH(F$2,0)+1),0)</f>
        <v>0.685546875</v>
      </c>
      <c r="G5" s="68">
        <f>IFERROR(SUMIFS('Utilization Data'!$E$2:$E$4713,'Utilization Data'!$B$2:$B$4713,$B5,'Utilization Data'!$C$2:$C$4713,"&gt;="&amp;G$2,'Utilization Data'!$D$2:$D$4713,"&lt;"&amp;EOMONTH(G$2,0)+1)/
SUMIFS('Utilization Data'!$H$2:$H$4713,'Utilization Data'!$B$2:$B$4713,$B5,'Utilization Data'!$C$2:$C$4713,"&gt;="&amp;G$2,'Utilization Data'!$D$2:$D$4713,"&lt;"&amp;EOMONTH(G$2,0)+1),0)</f>
        <v>0</v>
      </c>
      <c r="H5" s="68">
        <f>IFERROR(SUMIFS('Utilization Data'!$E$2:$E$4713,'Utilization Data'!$B$2:$B$4713,$B5,'Utilization Data'!$C$2:$C$4713,"&gt;="&amp;H$2,'Utilization Data'!$D$2:$D$4713,"&lt;"&amp;EOMONTH(H$2,0)+1)/
SUMIFS('Utilization Data'!$H$2:$H$4713,'Utilization Data'!$B$2:$B$4713,$B5,'Utilization Data'!$C$2:$C$4713,"&gt;="&amp;H$2,'Utilization Data'!$D$2:$D$4713,"&lt;"&amp;EOMONTH(H$2,0)+1),0)</f>
        <v>0.38392857142857145</v>
      </c>
    </row>
    <row r="6" spans="2:14" x14ac:dyDescent="0.2">
      <c r="B6" t="s">
        <v>37</v>
      </c>
      <c r="C6" s="68"/>
      <c r="D6" s="68"/>
      <c r="E6" s="68"/>
      <c r="F6" s="68">
        <f>IFERROR(SUMIFS('Utilization Data'!$E$2:$E$4713,'Utilization Data'!$B$2:$B$4713,$B6,'Utilization Data'!$C$2:$C$4713,"&gt;="&amp;F$2,'Utilization Data'!$D$2:$D$4713,"&lt;"&amp;EOMONTH(F$2,0)+1)/
SUMIFS('Utilization Data'!$H$2:$H$4713,'Utilization Data'!$B$2:$B$4713,$B6,'Utilization Data'!$C$2:$C$4713,"&gt;="&amp;F$2,'Utilization Data'!$D$2:$D$4713,"&lt;"&amp;EOMONTH(F$2,0)+1),0)</f>
        <v>0</v>
      </c>
      <c r="G6" s="68">
        <f>IFERROR(SUMIFS('Utilization Data'!$E$2:$E$4713,'Utilization Data'!$B$2:$B$4713,$B6,'Utilization Data'!$C$2:$C$4713,"&gt;="&amp;G$2,'Utilization Data'!$D$2:$D$4713,"&lt;"&amp;EOMONTH(G$2,0)+1)/
SUMIFS('Utilization Data'!$H$2:$H$4713,'Utilization Data'!$B$2:$B$4713,$B6,'Utilization Data'!$C$2:$C$4713,"&gt;="&amp;G$2,'Utilization Data'!$D$2:$D$4713,"&lt;"&amp;EOMONTH(G$2,0)+1),0)</f>
        <v>0.671875</v>
      </c>
      <c r="H6" s="68">
        <f>IFERROR(SUMIFS('Utilization Data'!$E$2:$E$4713,'Utilization Data'!$B$2:$B$4713,$B6,'Utilization Data'!$C$2:$C$4713,"&gt;="&amp;H$2,'Utilization Data'!$D$2:$D$4713,"&lt;"&amp;EOMONTH(H$2,0)+1)/
SUMIFS('Utilization Data'!$H$2:$H$4713,'Utilization Data'!$B$2:$B$4713,$B6,'Utilization Data'!$C$2:$C$4713,"&gt;="&amp;H$2,'Utilization Data'!$D$2:$D$4713,"&lt;"&amp;EOMONTH(H$2,0)+1),0)</f>
        <v>0.6383928571428571</v>
      </c>
    </row>
    <row r="7" spans="2:14" x14ac:dyDescent="0.2">
      <c r="B7" t="s">
        <v>52</v>
      </c>
      <c r="C7" s="68"/>
      <c r="D7" s="68"/>
      <c r="E7" s="68"/>
      <c r="F7" s="68">
        <f>IFERROR(SUMIFS('Utilization Data'!$E$2:$E$4713,'Utilization Data'!$B$2:$B$4713,$B7,'Utilization Data'!$C$2:$C$4713,"&gt;="&amp;F$2,'Utilization Data'!$D$2:$D$4713,"&lt;"&amp;EOMONTH(F$2,0)+1)/
SUMIFS('Utilization Data'!$H$2:$H$4713,'Utilization Data'!$B$2:$B$4713,$B7,'Utilization Data'!$C$2:$C$4713,"&gt;="&amp;F$2,'Utilization Data'!$D$2:$D$4713,"&lt;"&amp;EOMONTH(F$2,0)+1),0)</f>
        <v>0.54166666666666663</v>
      </c>
      <c r="G7" s="68">
        <f>IFERROR(SUMIFS('Utilization Data'!$E$2:$E$4713,'Utilization Data'!$B$2:$B$4713,$B7,'Utilization Data'!$C$2:$C$4713,"&gt;="&amp;G$2,'Utilization Data'!$D$2:$D$4713,"&lt;"&amp;EOMONTH(G$2,0)+1)/
SUMIFS('Utilization Data'!$H$2:$H$4713,'Utilization Data'!$B$2:$B$4713,$B7,'Utilization Data'!$C$2:$C$4713,"&gt;="&amp;G$2,'Utilization Data'!$D$2:$D$4713,"&lt;"&amp;EOMONTH(G$2,0)+1),0)</f>
        <v>0.91249999999999998</v>
      </c>
      <c r="H7" s="68">
        <f>IFERROR(SUMIFS('Utilization Data'!$E$2:$E$4713,'Utilization Data'!$B$2:$B$4713,$B7,'Utilization Data'!$C$2:$C$4713,"&gt;="&amp;H$2,'Utilization Data'!$D$2:$D$4713,"&lt;"&amp;EOMONTH(H$2,0)+1)/
SUMIFS('Utilization Data'!$H$2:$H$4713,'Utilization Data'!$B$2:$B$4713,$B7,'Utilization Data'!$C$2:$C$4713,"&gt;="&amp;H$2,'Utilization Data'!$D$2:$D$4713,"&lt;"&amp;EOMONTH(H$2,0)+1),0)</f>
        <v>0.71875</v>
      </c>
    </row>
    <row r="8" spans="2:14" x14ac:dyDescent="0.2">
      <c r="B8" t="s">
        <v>41</v>
      </c>
      <c r="C8" s="68"/>
      <c r="D8" s="68"/>
      <c r="E8" s="68"/>
      <c r="F8" s="68">
        <f>IFERROR(SUMIFS('Utilization Data'!$E$2:$E$4713,'Utilization Data'!$B$2:$B$4713,$B8,'Utilization Data'!$C$2:$C$4713,"&gt;="&amp;F$2,'Utilization Data'!$D$2:$D$4713,"&lt;"&amp;EOMONTH(F$2,0)+1)/
SUMIFS('Utilization Data'!$H$2:$H$4713,'Utilization Data'!$B$2:$B$4713,$B8,'Utilization Data'!$C$2:$C$4713,"&gt;="&amp;F$2,'Utilization Data'!$D$2:$D$4713,"&lt;"&amp;EOMONTH(F$2,0)+1),0)</f>
        <v>0.640625</v>
      </c>
      <c r="G8" s="68">
        <f>IFERROR(SUMIFS('Utilization Data'!$E$2:$E$4713,'Utilization Data'!$B$2:$B$4713,$B8,'Utilization Data'!$C$2:$C$4713,"&gt;="&amp;G$2,'Utilization Data'!$D$2:$D$4713,"&lt;"&amp;EOMONTH(G$2,0)+1)/
SUMIFS('Utilization Data'!$H$2:$H$4713,'Utilization Data'!$B$2:$B$4713,$B8,'Utilization Data'!$C$2:$C$4713,"&gt;="&amp;G$2,'Utilization Data'!$D$2:$D$4713,"&lt;"&amp;EOMONTH(G$2,0)+1),0)</f>
        <v>0.69374999999999998</v>
      </c>
      <c r="H8" s="68">
        <f>IFERROR(SUMIFS('Utilization Data'!$E$2:$E$4713,'Utilization Data'!$B$2:$B$4713,$B8,'Utilization Data'!$C$2:$C$4713,"&gt;="&amp;H$2,'Utilization Data'!$D$2:$D$4713,"&lt;"&amp;EOMONTH(H$2,0)+1)/
SUMIFS('Utilization Data'!$H$2:$H$4713,'Utilization Data'!$B$2:$B$4713,$B8,'Utilization Data'!$C$2:$C$4713,"&gt;="&amp;H$2,'Utilization Data'!$D$2:$D$4713,"&lt;"&amp;EOMONTH(H$2,0)+1),0)</f>
        <v>0.80381944444444442</v>
      </c>
    </row>
    <row r="9" spans="2:14" x14ac:dyDescent="0.2">
      <c r="B9" t="s">
        <v>58</v>
      </c>
      <c r="C9" s="68"/>
      <c r="D9" s="68"/>
      <c r="E9" s="68"/>
      <c r="F9" s="68">
        <f>IFERROR(SUMIFS('Utilization Data'!$E$2:$E$4713,'Utilization Data'!$B$2:$B$4713,$B9,'Utilization Data'!$C$2:$C$4713,"&gt;="&amp;F$2,'Utilization Data'!$D$2:$D$4713,"&lt;"&amp;EOMONTH(F$2,0)+1)/
SUMIFS('Utilization Data'!$H$2:$H$4713,'Utilization Data'!$B$2:$B$4713,$B9,'Utilization Data'!$C$2:$C$4713,"&gt;="&amp;F$2,'Utilization Data'!$D$2:$D$4713,"&lt;"&amp;EOMONTH(F$2,0)+1),0)</f>
        <v>0.75229166666666669</v>
      </c>
      <c r="G9" s="68">
        <f>IFERROR(SUMIFS('Utilization Data'!$E$2:$E$4713,'Utilization Data'!$B$2:$B$4713,$B9,'Utilization Data'!$C$2:$C$4713,"&gt;="&amp;G$2,'Utilization Data'!$D$2:$D$4713,"&lt;"&amp;EOMONTH(G$2,0)+1)/
SUMIFS('Utilization Data'!$H$2:$H$4713,'Utilization Data'!$B$2:$B$4713,$B9,'Utilization Data'!$C$2:$C$4713,"&gt;="&amp;G$2,'Utilization Data'!$D$2:$D$4713,"&lt;"&amp;EOMONTH(G$2,0)+1),0)</f>
        <v>0.71250000000000002</v>
      </c>
      <c r="H9" s="68">
        <f>IFERROR(SUMIFS('Utilization Data'!$E$2:$E$4713,'Utilization Data'!$B$2:$B$4713,$B9,'Utilization Data'!$C$2:$C$4713,"&gt;="&amp;H$2,'Utilization Data'!$D$2:$D$4713,"&lt;"&amp;EOMONTH(H$2,0)+1)/
SUMIFS('Utilization Data'!$H$2:$H$4713,'Utilization Data'!$B$2:$B$4713,$B9,'Utilization Data'!$C$2:$C$4713,"&gt;="&amp;H$2,'Utilization Data'!$D$2:$D$4713,"&lt;"&amp;EOMONTH(H$2,0)+1),0)</f>
        <v>0.7946428571428571</v>
      </c>
    </row>
    <row r="10" spans="2:14" x14ac:dyDescent="0.2">
      <c r="B10" t="s">
        <v>35</v>
      </c>
      <c r="C10" s="68"/>
      <c r="D10" s="68"/>
      <c r="E10" s="68"/>
      <c r="F10" s="68">
        <f>IFERROR(SUMIFS('Utilization Data'!$E$2:$E$4713,'Utilization Data'!$B$2:$B$4713,$B10,'Utilization Data'!$C$2:$C$4713,"&gt;="&amp;F$2,'Utilization Data'!$D$2:$D$4713,"&lt;"&amp;EOMONTH(F$2,0)+1)/
SUMIFS('Utilization Data'!$H$2:$H$4713,'Utilization Data'!$B$2:$B$4713,$B10,'Utilization Data'!$C$2:$C$4713,"&gt;="&amp;F$2,'Utilization Data'!$D$2:$D$4713,"&lt;"&amp;EOMONTH(F$2,0)+1),0)</f>
        <v>0.74075000000000002</v>
      </c>
      <c r="G10" s="68">
        <f>IFERROR(SUMIFS('Utilization Data'!$E$2:$E$4713,'Utilization Data'!$B$2:$B$4713,$B10,'Utilization Data'!$C$2:$C$4713,"&gt;="&amp;G$2,'Utilization Data'!$D$2:$D$4713,"&lt;"&amp;EOMONTH(G$2,0)+1)/
SUMIFS('Utilization Data'!$H$2:$H$4713,'Utilization Data'!$B$2:$B$4713,$B10,'Utilization Data'!$C$2:$C$4713,"&gt;="&amp;G$2,'Utilization Data'!$D$2:$D$4713,"&lt;"&amp;EOMONTH(G$2,0)+1),0)</f>
        <v>0.57768750000000002</v>
      </c>
      <c r="H10" s="68">
        <f>IFERROR(SUMIFS('Utilization Data'!$E$2:$E$4713,'Utilization Data'!$B$2:$B$4713,$B10,'Utilization Data'!$C$2:$C$4713,"&gt;="&amp;H$2,'Utilization Data'!$D$2:$D$4713,"&lt;"&amp;EOMONTH(H$2,0)+1)/
SUMIFS('Utilization Data'!$H$2:$H$4713,'Utilization Data'!$B$2:$B$4713,$B10,'Utilization Data'!$C$2:$C$4713,"&gt;="&amp;H$2,'Utilization Data'!$D$2:$D$4713,"&lt;"&amp;EOMONTH(H$2,0)+1),0)</f>
        <v>0.5605</v>
      </c>
    </row>
    <row r="11" spans="2:14" x14ac:dyDescent="0.2">
      <c r="B11" t="s">
        <v>55</v>
      </c>
      <c r="C11" s="68"/>
      <c r="D11" s="68"/>
      <c r="E11" s="68"/>
      <c r="F11" s="68">
        <f>IFERROR(SUMIFS('Utilization Data'!$E$2:$E$4713,'Utilization Data'!$B$2:$B$4713,$B11,'Utilization Data'!$C$2:$C$4713,"&gt;="&amp;F$2,'Utilization Data'!$D$2:$D$4713,"&lt;"&amp;EOMONTH(F$2,0)+1)/
SUMIFS('Utilization Data'!$H$2:$H$4713,'Utilization Data'!$B$2:$B$4713,$B11,'Utilization Data'!$C$2:$C$4713,"&gt;="&amp;F$2,'Utilization Data'!$D$2:$D$4713,"&lt;"&amp;EOMONTH(F$2,0)+1),0)</f>
        <v>0.5703125</v>
      </c>
      <c r="G11" s="68">
        <f>IFERROR(SUMIFS('Utilization Data'!$E$2:$E$4713,'Utilization Data'!$B$2:$B$4713,$B11,'Utilization Data'!$C$2:$C$4713,"&gt;="&amp;G$2,'Utilization Data'!$D$2:$D$4713,"&lt;"&amp;EOMONTH(G$2,0)+1)/
SUMIFS('Utilization Data'!$H$2:$H$4713,'Utilization Data'!$B$2:$B$4713,$B11,'Utilization Data'!$C$2:$C$4713,"&gt;="&amp;G$2,'Utilization Data'!$D$2:$D$4713,"&lt;"&amp;EOMONTH(G$2,0)+1),0)</f>
        <v>0.46875</v>
      </c>
      <c r="H11" s="68">
        <f>IFERROR(SUMIFS('Utilization Data'!$E$2:$E$4713,'Utilization Data'!$B$2:$B$4713,$B11,'Utilization Data'!$C$2:$C$4713,"&gt;="&amp;H$2,'Utilization Data'!$D$2:$D$4713,"&lt;"&amp;EOMONTH(H$2,0)+1)/
SUMIFS('Utilization Data'!$H$2:$H$4713,'Utilization Data'!$B$2:$B$4713,$B11,'Utilization Data'!$C$2:$C$4713,"&gt;="&amp;H$2,'Utilization Data'!$D$2:$D$4713,"&lt;"&amp;EOMONTH(H$2,0)+1),0)</f>
        <v>0.77499999999999991</v>
      </c>
    </row>
    <row r="12" spans="2:14" x14ac:dyDescent="0.2">
      <c r="B12" t="s">
        <v>64</v>
      </c>
      <c r="C12" s="68"/>
      <c r="D12" s="68"/>
      <c r="E12" s="68"/>
      <c r="F12" s="68">
        <f>IFERROR(SUMIFS('Utilization Data'!$E$2:$E$4713,'Utilization Data'!$B$2:$B$4713,$B12,'Utilization Data'!$C$2:$C$4713,"&gt;="&amp;F$2,'Utilization Data'!$D$2:$D$4713,"&lt;"&amp;EOMONTH(F$2,0)+1)/
SUMIFS('Utilization Data'!$H$2:$H$4713,'Utilization Data'!$B$2:$B$4713,$B12,'Utilization Data'!$C$2:$C$4713,"&gt;="&amp;F$2,'Utilization Data'!$D$2:$D$4713,"&lt;"&amp;EOMONTH(F$2,0)+1),0)</f>
        <v>0.685546875</v>
      </c>
      <c r="G12" s="68">
        <f>IFERROR(SUMIFS('Utilization Data'!$E$2:$E$4713,'Utilization Data'!$B$2:$B$4713,$B12,'Utilization Data'!$C$2:$C$4713,"&gt;="&amp;G$2,'Utilization Data'!$D$2:$D$4713,"&lt;"&amp;EOMONTH(G$2,0)+1)/
SUMIFS('Utilization Data'!$H$2:$H$4713,'Utilization Data'!$B$2:$B$4713,$B12,'Utilization Data'!$C$2:$C$4713,"&gt;="&amp;G$2,'Utilization Data'!$D$2:$D$4713,"&lt;"&amp;EOMONTH(G$2,0)+1),0)</f>
        <v>0.79374999999999996</v>
      </c>
      <c r="H12" s="68">
        <f>IFERROR(SUMIFS('Utilization Data'!$E$2:$E$4713,'Utilization Data'!$B$2:$B$4713,$B12,'Utilization Data'!$C$2:$C$4713,"&gt;="&amp;H$2,'Utilization Data'!$D$2:$D$4713,"&lt;"&amp;EOMONTH(H$2,0)+1)/
SUMIFS('Utilization Data'!$H$2:$H$4713,'Utilization Data'!$B$2:$B$4713,$B12,'Utilization Data'!$C$2:$C$4713,"&gt;="&amp;H$2,'Utilization Data'!$D$2:$D$4713,"&lt;"&amp;EOMONTH(H$2,0)+1),0)</f>
        <v>0.47203947368421051</v>
      </c>
    </row>
    <row r="13" spans="2:14" x14ac:dyDescent="0.2">
      <c r="B13" t="s">
        <v>56</v>
      </c>
      <c r="C13" s="68"/>
      <c r="D13" s="68"/>
      <c r="E13" s="68"/>
      <c r="F13" s="68">
        <f>IFERROR(SUMIFS('Utilization Data'!$E$2:$E$4713,'Utilization Data'!$B$2:$B$4713,$B13,'Utilization Data'!$C$2:$C$4713,"&gt;="&amp;F$2,'Utilization Data'!$D$2:$D$4713,"&lt;"&amp;EOMONTH(F$2,0)+1)/
SUMIFS('Utilization Data'!$H$2:$H$4713,'Utilization Data'!$B$2:$B$4713,$B13,'Utilization Data'!$C$2:$C$4713,"&gt;="&amp;F$2,'Utilization Data'!$D$2:$D$4713,"&lt;"&amp;EOMONTH(F$2,0)+1),0)</f>
        <v>0.5078125</v>
      </c>
      <c r="G13" s="68">
        <f>IFERROR(SUMIFS('Utilization Data'!$E$2:$E$4713,'Utilization Data'!$B$2:$B$4713,$B13,'Utilization Data'!$C$2:$C$4713,"&gt;="&amp;G$2,'Utilization Data'!$D$2:$D$4713,"&lt;"&amp;EOMONTH(G$2,0)+1)/
SUMIFS('Utilization Data'!$H$2:$H$4713,'Utilization Data'!$B$2:$B$4713,$B13,'Utilization Data'!$C$2:$C$4713,"&gt;="&amp;G$2,'Utilization Data'!$D$2:$D$4713,"&lt;"&amp;EOMONTH(G$2,0)+1),0)</f>
        <v>0.55000000000000004</v>
      </c>
      <c r="H13" s="68">
        <f>IFERROR(SUMIFS('Utilization Data'!$E$2:$E$4713,'Utilization Data'!$B$2:$B$4713,$B13,'Utilization Data'!$C$2:$C$4713,"&gt;="&amp;H$2,'Utilization Data'!$D$2:$D$4713,"&lt;"&amp;EOMONTH(H$2,0)+1)/
SUMIFS('Utilization Data'!$H$2:$H$4713,'Utilization Data'!$B$2:$B$4713,$B13,'Utilization Data'!$C$2:$C$4713,"&gt;="&amp;H$2,'Utilization Data'!$D$2:$D$4713,"&lt;"&amp;EOMONTH(H$2,0)+1),0)</f>
        <v>0.6383928571428571</v>
      </c>
    </row>
    <row r="14" spans="2:14" x14ac:dyDescent="0.2">
      <c r="B14" t="s">
        <v>45</v>
      </c>
      <c r="C14" s="68"/>
      <c r="D14" s="68"/>
      <c r="E14" s="68"/>
      <c r="F14" s="68">
        <f>IFERROR(SUMIFS('Utilization Data'!$E$2:$E$4713,'Utilization Data'!$B$2:$B$4713,$B14,'Utilization Data'!$C$2:$C$4713,"&gt;="&amp;F$2,'Utilization Data'!$D$2:$D$4713,"&lt;"&amp;EOMONTH(F$2,0)+1)/
SUMIFS('Utilization Data'!$H$2:$H$4713,'Utilization Data'!$B$2:$B$4713,$B14,'Utilization Data'!$C$2:$C$4713,"&gt;="&amp;F$2,'Utilization Data'!$D$2:$D$4713,"&lt;"&amp;EOMONTH(F$2,0)+1),0)</f>
        <v>0</v>
      </c>
      <c r="G14" s="68">
        <f>IFERROR(SUMIFS('Utilization Data'!$E$2:$E$4713,'Utilization Data'!$B$2:$B$4713,$B14,'Utilization Data'!$C$2:$C$4713,"&gt;="&amp;G$2,'Utilization Data'!$D$2:$D$4713,"&lt;"&amp;EOMONTH(G$2,0)+1)/
SUMIFS('Utilization Data'!$H$2:$H$4713,'Utilization Data'!$B$2:$B$4713,$B14,'Utilization Data'!$C$2:$C$4713,"&gt;="&amp;G$2,'Utilization Data'!$D$2:$D$4713,"&lt;"&amp;EOMONTH(G$2,0)+1),0)</f>
        <v>0</v>
      </c>
      <c r="H14" s="68">
        <f>IFERROR(SUMIFS('Utilization Data'!$E$2:$E$4713,'Utilization Data'!$B$2:$B$4713,$B14,'Utilization Data'!$C$2:$C$4713,"&gt;="&amp;H$2,'Utilization Data'!$D$2:$D$4713,"&lt;"&amp;EOMONTH(H$2,0)+1)/
SUMIFS('Utilization Data'!$H$2:$H$4713,'Utilization Data'!$B$2:$B$4713,$B14,'Utilization Data'!$C$2:$C$4713,"&gt;="&amp;H$2,'Utilization Data'!$D$2:$D$4713,"&lt;"&amp;EOMONTH(H$2,0)+1),0)</f>
        <v>0</v>
      </c>
    </row>
    <row r="15" spans="2:14" x14ac:dyDescent="0.2">
      <c r="B15" t="s">
        <v>70</v>
      </c>
      <c r="C15" s="68"/>
      <c r="D15" s="68"/>
      <c r="E15" s="68"/>
      <c r="F15" s="68">
        <f>IFERROR(SUMIFS('Utilization Data'!$E$2:$E$4713,'Utilization Data'!$B$2:$B$4713,$B15,'Utilization Data'!$C$2:$C$4713,"&gt;="&amp;F$2,'Utilization Data'!$D$2:$D$4713,"&lt;"&amp;EOMONTH(F$2,0)+1)/
SUMIFS('Utilization Data'!$H$2:$H$4713,'Utilization Data'!$B$2:$B$4713,$B15,'Utilization Data'!$C$2:$C$4713,"&gt;="&amp;F$2,'Utilization Data'!$D$2:$D$4713,"&lt;"&amp;EOMONTH(F$2,0)+1),0)</f>
        <v>0.625</v>
      </c>
      <c r="G15" s="68">
        <f>IFERROR(SUMIFS('Utilization Data'!$E$2:$E$4713,'Utilization Data'!$B$2:$B$4713,$B15,'Utilization Data'!$C$2:$C$4713,"&gt;="&amp;G$2,'Utilization Data'!$D$2:$D$4713,"&lt;"&amp;EOMONTH(G$2,0)+1)/
SUMIFS('Utilization Data'!$H$2:$H$4713,'Utilization Data'!$B$2:$B$4713,$B15,'Utilization Data'!$C$2:$C$4713,"&gt;="&amp;G$2,'Utilization Data'!$D$2:$D$4713,"&lt;"&amp;EOMONTH(G$2,0)+1),0)</f>
        <v>0.66249999999999998</v>
      </c>
      <c r="H15" s="68">
        <f>IFERROR(SUMIFS('Utilization Data'!$E$2:$E$4713,'Utilization Data'!$B$2:$B$4713,$B15,'Utilization Data'!$C$2:$C$4713,"&gt;="&amp;H$2,'Utilization Data'!$D$2:$D$4713,"&lt;"&amp;EOMONTH(H$2,0)+1)/
SUMIFS('Utilization Data'!$H$2:$H$4713,'Utilization Data'!$B$2:$B$4713,$B15,'Utilization Data'!$C$2:$C$4713,"&gt;="&amp;H$2,'Utilization Data'!$D$2:$D$4713,"&lt;"&amp;EOMONTH(H$2,0)+1),0)</f>
        <v>0.7633928571428571</v>
      </c>
    </row>
    <row r="16" spans="2:14" x14ac:dyDescent="0.2">
      <c r="B16" t="s">
        <v>54</v>
      </c>
      <c r="C16" s="68"/>
      <c r="D16" s="68"/>
      <c r="E16" s="68"/>
      <c r="F16" s="68">
        <f>IFERROR(SUMIFS('Utilization Data'!$E$2:$E$4713,'Utilization Data'!$B$2:$B$4713,$B16,'Utilization Data'!$C$2:$C$4713,"&gt;="&amp;F$2,'Utilization Data'!$D$2:$D$4713,"&lt;"&amp;EOMONTH(F$2,0)+1)/
SUMIFS('Utilization Data'!$H$2:$H$4713,'Utilization Data'!$B$2:$B$4713,$B16,'Utilization Data'!$C$2:$C$4713,"&gt;="&amp;F$2,'Utilization Data'!$D$2:$D$4713,"&lt;"&amp;EOMONTH(F$2,0)+1),0)</f>
        <v>0.625</v>
      </c>
      <c r="G16" s="68">
        <f>IFERROR(SUMIFS('Utilization Data'!$E$2:$E$4713,'Utilization Data'!$B$2:$B$4713,$B16,'Utilization Data'!$C$2:$C$4713,"&gt;="&amp;G$2,'Utilization Data'!$D$2:$D$4713,"&lt;"&amp;EOMONTH(G$2,0)+1)/
SUMIFS('Utilization Data'!$H$2:$H$4713,'Utilization Data'!$B$2:$B$4713,$B16,'Utilization Data'!$C$2:$C$4713,"&gt;="&amp;G$2,'Utilization Data'!$D$2:$D$4713,"&lt;"&amp;EOMONTH(G$2,0)+1),0)</f>
        <v>0.91249999999999998</v>
      </c>
      <c r="H16" s="68">
        <f>IFERROR(SUMIFS('Utilization Data'!$E$2:$E$4713,'Utilization Data'!$B$2:$B$4713,$B16,'Utilization Data'!$C$2:$C$4713,"&gt;="&amp;H$2,'Utilization Data'!$D$2:$D$4713,"&lt;"&amp;EOMONTH(H$2,0)+1)/
SUMIFS('Utilization Data'!$H$2:$H$4713,'Utilization Data'!$B$2:$B$4713,$B16,'Utilization Data'!$C$2:$C$4713,"&gt;="&amp;H$2,'Utilization Data'!$D$2:$D$4713,"&lt;"&amp;EOMONTH(H$2,0)+1),0)</f>
        <v>0.80381944444444442</v>
      </c>
    </row>
    <row r="17" spans="2:14" x14ac:dyDescent="0.2">
      <c r="B17" t="s">
        <v>44</v>
      </c>
      <c r="C17" s="68"/>
      <c r="D17" s="68"/>
      <c r="E17" s="68"/>
      <c r="F17" s="68">
        <f>IFERROR(SUMIFS('Utilization Data'!$E$2:$E$4713,'Utilization Data'!$B$2:$B$4713,$B17,'Utilization Data'!$C$2:$C$4713,"&gt;="&amp;F$2,'Utilization Data'!$D$2:$D$4713,"&lt;"&amp;EOMONTH(F$2,0)+1)/
SUMIFS('Utilization Data'!$H$2:$H$4713,'Utilization Data'!$B$2:$B$4713,$B17,'Utilization Data'!$C$2:$C$4713,"&gt;="&amp;F$2,'Utilization Data'!$D$2:$D$4713,"&lt;"&amp;EOMONTH(F$2,0)+1),0)</f>
        <v>0.64166666666666672</v>
      </c>
      <c r="G17" s="68">
        <f>IFERROR(SUMIFS('Utilization Data'!$E$2:$E$4713,'Utilization Data'!$B$2:$B$4713,$B17,'Utilization Data'!$C$2:$C$4713,"&gt;="&amp;G$2,'Utilization Data'!$D$2:$D$4713,"&lt;"&amp;EOMONTH(G$2,0)+1)/
SUMIFS('Utilization Data'!$H$2:$H$4713,'Utilization Data'!$B$2:$B$4713,$B17,'Utilization Data'!$C$2:$C$4713,"&gt;="&amp;G$2,'Utilization Data'!$D$2:$D$4713,"&lt;"&amp;EOMONTH(G$2,0)+1),0)</f>
        <v>0.70781249999999996</v>
      </c>
      <c r="H17" s="68">
        <f>IFERROR(SUMIFS('Utilization Data'!$E$2:$E$4713,'Utilization Data'!$B$2:$B$4713,$B17,'Utilization Data'!$C$2:$C$4713,"&gt;="&amp;H$2,'Utilization Data'!$D$2:$D$4713,"&lt;"&amp;EOMONTH(H$2,0)+1)/
SUMIFS('Utilization Data'!$H$2:$H$4713,'Utilization Data'!$B$2:$B$4713,$B17,'Utilization Data'!$C$2:$C$4713,"&gt;="&amp;H$2,'Utilization Data'!$D$2:$D$4713,"&lt;"&amp;EOMONTH(H$2,0)+1),0)</f>
        <v>0.875</v>
      </c>
    </row>
    <row r="18" spans="2:14" x14ac:dyDescent="0.2">
      <c r="B18" t="s">
        <v>36</v>
      </c>
      <c r="C18" s="68"/>
      <c r="D18" s="68"/>
      <c r="E18" s="68"/>
      <c r="F18" s="68">
        <f>IFERROR(SUMIFS('Utilization Data'!$E$2:$E$4713,'Utilization Data'!$B$2:$B$4713,$B18,'Utilization Data'!$C$2:$C$4713,"&gt;="&amp;F$2,'Utilization Data'!$D$2:$D$4713,"&lt;"&amp;EOMONTH(F$2,0)+1)/
SUMIFS('Utilization Data'!$H$2:$H$4713,'Utilization Data'!$B$2:$B$4713,$B18,'Utilization Data'!$C$2:$C$4713,"&gt;="&amp;F$2,'Utilization Data'!$D$2:$D$4713,"&lt;"&amp;EOMONTH(F$2,0)+1),0)</f>
        <v>0.74507812500000004</v>
      </c>
      <c r="G18" s="68">
        <f>IFERROR(SUMIFS('Utilization Data'!$E$2:$E$4713,'Utilization Data'!$B$2:$B$4713,$B18,'Utilization Data'!$C$2:$C$4713,"&gt;="&amp;G$2,'Utilization Data'!$D$2:$D$4713,"&lt;"&amp;EOMONTH(G$2,0)+1)/
SUMIFS('Utilization Data'!$H$2:$H$4713,'Utilization Data'!$B$2:$B$4713,$B18,'Utilization Data'!$C$2:$C$4713,"&gt;="&amp;G$2,'Utilization Data'!$D$2:$D$4713,"&lt;"&amp;EOMONTH(G$2,0)+1),0)</f>
        <v>0.61191666666666678</v>
      </c>
      <c r="H18" s="68">
        <f>IFERROR(SUMIFS('Utilization Data'!$E$2:$E$4713,'Utilization Data'!$B$2:$B$4713,$B18,'Utilization Data'!$C$2:$C$4713,"&gt;="&amp;H$2,'Utilization Data'!$D$2:$D$4713,"&lt;"&amp;EOMONTH(H$2,0)+1)/
SUMIFS('Utilization Data'!$H$2:$H$4713,'Utilization Data'!$B$2:$B$4713,$B18,'Utilization Data'!$C$2:$C$4713,"&gt;="&amp;H$2,'Utilization Data'!$D$2:$D$4713,"&lt;"&amp;EOMONTH(H$2,0)+1),0)</f>
        <v>0.7299107142857143</v>
      </c>
    </row>
    <row r="19" spans="2:14" x14ac:dyDescent="0.2">
      <c r="B19" t="s">
        <v>65</v>
      </c>
      <c r="C19" s="68"/>
      <c r="D19" s="68"/>
      <c r="E19" s="68"/>
      <c r="F19" s="68">
        <f>IFERROR(SUMIFS('Utilization Data'!$E$2:$E$4713,'Utilization Data'!$B$2:$B$4713,$B19,'Utilization Data'!$C$2:$C$4713,"&gt;="&amp;F$2,'Utilization Data'!$D$2:$D$4713,"&lt;"&amp;EOMONTH(F$2,0)+1)/
SUMIFS('Utilization Data'!$H$2:$H$4713,'Utilization Data'!$B$2:$B$4713,$B19,'Utilization Data'!$C$2:$C$4713,"&gt;="&amp;F$2,'Utilization Data'!$D$2:$D$4713,"&lt;"&amp;EOMONTH(F$2,0)+1),0)</f>
        <v>0.5703125</v>
      </c>
      <c r="G19" s="68">
        <f>IFERROR(SUMIFS('Utilization Data'!$E$2:$E$4713,'Utilization Data'!$B$2:$B$4713,$B19,'Utilization Data'!$C$2:$C$4713,"&gt;="&amp;G$2,'Utilization Data'!$D$2:$D$4713,"&lt;"&amp;EOMONTH(G$2,0)+1)/
SUMIFS('Utilization Data'!$H$2:$H$4713,'Utilization Data'!$B$2:$B$4713,$B19,'Utilization Data'!$C$2:$C$4713,"&gt;="&amp;G$2,'Utilization Data'!$D$2:$D$4713,"&lt;"&amp;EOMONTH(G$2,0)+1),0)</f>
        <v>0.47499999999999998</v>
      </c>
      <c r="H19" s="68">
        <f>IFERROR(SUMIFS('Utilization Data'!$E$2:$E$4713,'Utilization Data'!$B$2:$B$4713,$B19,'Utilization Data'!$C$2:$C$4713,"&gt;="&amp;H$2,'Utilization Data'!$D$2:$D$4713,"&lt;"&amp;EOMONTH(H$2,0)+1)/
SUMIFS('Utilization Data'!$H$2:$H$4713,'Utilization Data'!$B$2:$B$4713,$B19,'Utilization Data'!$C$2:$C$4713,"&gt;="&amp;H$2,'Utilization Data'!$D$2:$D$4713,"&lt;"&amp;EOMONTH(H$2,0)+1),0)</f>
        <v>0.69839285714285715</v>
      </c>
    </row>
    <row r="20" spans="2:14" x14ac:dyDescent="0.2">
      <c r="B20" t="s">
        <v>33</v>
      </c>
      <c r="C20" s="68"/>
      <c r="D20" s="68"/>
      <c r="E20" s="68"/>
      <c r="F20" s="68">
        <f>IFERROR(SUMIFS('Utilization Data'!$E$2:$E$4713,'Utilization Data'!$B$2:$B$4713,$B20,'Utilization Data'!$C$2:$C$4713,"&gt;="&amp;F$2,'Utilization Data'!$D$2:$D$4713,"&lt;"&amp;EOMONTH(F$2,0)+1)/
SUMIFS('Utilization Data'!$H$2:$H$4713,'Utilization Data'!$B$2:$B$4713,$B20,'Utilization Data'!$C$2:$C$4713,"&gt;="&amp;F$2,'Utilization Data'!$D$2:$D$4713,"&lt;"&amp;EOMONTH(F$2,0)+1),0)</f>
        <v>0.36476562499999998</v>
      </c>
      <c r="G20" s="68">
        <f>IFERROR(SUMIFS('Utilization Data'!$E$2:$E$4713,'Utilization Data'!$B$2:$B$4713,$B20,'Utilization Data'!$C$2:$C$4713,"&gt;="&amp;G$2,'Utilization Data'!$D$2:$D$4713,"&lt;"&amp;EOMONTH(G$2,0)+1)/
SUMIFS('Utilization Data'!$H$2:$H$4713,'Utilization Data'!$B$2:$B$4713,$B20,'Utilization Data'!$C$2:$C$4713,"&gt;="&amp;G$2,'Utilization Data'!$D$2:$D$4713,"&lt;"&amp;EOMONTH(G$2,0)+1),0)</f>
        <v>0.46037499999999998</v>
      </c>
      <c r="H20" s="68">
        <f>IFERROR(SUMIFS('Utilization Data'!$E$2:$E$4713,'Utilization Data'!$B$2:$B$4713,$B20,'Utilization Data'!$C$2:$C$4713,"&gt;="&amp;H$2,'Utilization Data'!$D$2:$D$4713,"&lt;"&amp;EOMONTH(H$2,0)+1)/
SUMIFS('Utilization Data'!$H$2:$H$4713,'Utilization Data'!$B$2:$B$4713,$B20,'Utilization Data'!$C$2:$C$4713,"&gt;="&amp;H$2,'Utilization Data'!$D$2:$D$4713,"&lt;"&amp;EOMONTH(H$2,0)+1),0)</f>
        <v>0.35000000000000003</v>
      </c>
    </row>
    <row r="21" spans="2:14" x14ac:dyDescent="0.2">
      <c r="B21" t="s">
        <v>68</v>
      </c>
      <c r="C21" s="68"/>
      <c r="D21" s="68"/>
      <c r="E21" s="68"/>
      <c r="F21" s="68">
        <f>IFERROR(SUMIFS('Utilization Data'!$E$2:$E$4713,'Utilization Data'!$B$2:$B$4713,$B21,'Utilization Data'!$C$2:$C$4713,"&gt;="&amp;F$2,'Utilization Data'!$D$2:$D$4713,"&lt;"&amp;EOMONTH(F$2,0)+1)/
SUMIFS('Utilization Data'!$H$2:$H$4713,'Utilization Data'!$B$2:$B$4713,$B21,'Utilization Data'!$C$2:$C$4713,"&gt;="&amp;F$2,'Utilization Data'!$D$2:$D$4713,"&lt;"&amp;EOMONTH(F$2,0)+1),0)</f>
        <v>0</v>
      </c>
      <c r="G21" s="68">
        <f>IFERROR(SUMIFS('Utilization Data'!$E$2:$E$4713,'Utilization Data'!$B$2:$B$4713,$B21,'Utilization Data'!$C$2:$C$4713,"&gt;="&amp;G$2,'Utilization Data'!$D$2:$D$4713,"&lt;"&amp;EOMONTH(G$2,0)+1)/
SUMIFS('Utilization Data'!$H$2:$H$4713,'Utilization Data'!$B$2:$B$4713,$B21,'Utilization Data'!$C$2:$C$4713,"&gt;="&amp;G$2,'Utilization Data'!$D$2:$D$4713,"&lt;"&amp;EOMONTH(G$2,0)+1),0)</f>
        <v>0</v>
      </c>
      <c r="H21" s="68">
        <f>IFERROR(SUMIFS('Utilization Data'!$E$2:$E$4713,'Utilization Data'!$B$2:$B$4713,$B21,'Utilization Data'!$C$2:$C$4713,"&gt;="&amp;H$2,'Utilization Data'!$D$2:$D$4713,"&lt;"&amp;EOMONTH(H$2,0)+1)/
SUMIFS('Utilization Data'!$H$2:$H$4713,'Utilization Data'!$B$2:$B$4713,$B21,'Utilization Data'!$C$2:$C$4713,"&gt;="&amp;H$2,'Utilization Data'!$D$2:$D$4713,"&lt;"&amp;EOMONTH(H$2,0)+1),0)</f>
        <v>0</v>
      </c>
    </row>
    <row r="22" spans="2:14" x14ac:dyDescent="0.2">
      <c r="B22" t="s">
        <v>66</v>
      </c>
      <c r="C22" s="68"/>
      <c r="D22" s="68"/>
      <c r="E22" s="68"/>
      <c r="F22" s="68">
        <f>IFERROR(SUMIFS('Utilization Data'!$E$2:$E$4713,'Utilization Data'!$B$2:$B$4713,$B22,'Utilization Data'!$C$2:$C$4713,"&gt;="&amp;F$2,'Utilization Data'!$D$2:$D$4713,"&lt;"&amp;EOMONTH(F$2,0)+1)/
SUMIFS('Utilization Data'!$H$2:$H$4713,'Utilization Data'!$B$2:$B$4713,$B22,'Utilization Data'!$C$2:$C$4713,"&gt;="&amp;F$2,'Utilization Data'!$D$2:$D$4713,"&lt;"&amp;EOMONTH(F$2,0)+1),0)</f>
        <v>0.59375</v>
      </c>
      <c r="G22" s="68">
        <f>IFERROR(SUMIFS('Utilization Data'!$E$2:$E$4713,'Utilization Data'!$B$2:$B$4713,$B22,'Utilization Data'!$C$2:$C$4713,"&gt;="&amp;G$2,'Utilization Data'!$D$2:$D$4713,"&lt;"&amp;EOMONTH(G$2,0)+1)/
SUMIFS('Utilization Data'!$H$2:$H$4713,'Utilization Data'!$B$2:$B$4713,$B22,'Utilization Data'!$C$2:$C$4713,"&gt;="&amp;G$2,'Utilization Data'!$D$2:$D$4713,"&lt;"&amp;EOMONTH(G$2,0)+1),0)</f>
        <v>0.56562500000000004</v>
      </c>
      <c r="H22" s="68">
        <f>IFERROR(SUMIFS('Utilization Data'!$E$2:$E$4713,'Utilization Data'!$B$2:$B$4713,$B22,'Utilization Data'!$C$2:$C$4713,"&gt;="&amp;H$2,'Utilization Data'!$D$2:$D$4713,"&lt;"&amp;EOMONTH(H$2,0)+1)/
SUMIFS('Utilization Data'!$H$2:$H$4713,'Utilization Data'!$B$2:$B$4713,$B22,'Utilization Data'!$C$2:$C$4713,"&gt;="&amp;H$2,'Utilization Data'!$D$2:$D$4713,"&lt;"&amp;EOMONTH(H$2,0)+1),0)</f>
        <v>0.7633928571428571</v>
      </c>
    </row>
    <row r="23" spans="2:14" x14ac:dyDescent="0.2">
      <c r="B23" t="s">
        <v>39</v>
      </c>
      <c r="C23" s="68"/>
      <c r="D23" s="68"/>
      <c r="E23" s="68"/>
      <c r="F23" s="68">
        <f>IFERROR(SUMIFS('Utilization Data'!$E$2:$E$4713,'Utilization Data'!$B$2:$B$4713,$B23,'Utilization Data'!$C$2:$C$4713,"&gt;="&amp;F$2,'Utilization Data'!$D$2:$D$4713,"&lt;"&amp;EOMONTH(F$2,0)+1)/
SUMIFS('Utilization Data'!$H$2:$H$4713,'Utilization Data'!$B$2:$B$4713,$B23,'Utilization Data'!$C$2:$C$4713,"&gt;="&amp;F$2,'Utilization Data'!$D$2:$D$4713,"&lt;"&amp;EOMONTH(F$2,0)+1),0)</f>
        <v>0.56874999999999998</v>
      </c>
      <c r="G23" s="68">
        <f>IFERROR(SUMIFS('Utilization Data'!$E$2:$E$4713,'Utilization Data'!$B$2:$B$4713,$B23,'Utilization Data'!$C$2:$C$4713,"&gt;="&amp;G$2,'Utilization Data'!$D$2:$D$4713,"&lt;"&amp;EOMONTH(G$2,0)+1)/
SUMIFS('Utilization Data'!$H$2:$H$4713,'Utilization Data'!$B$2:$B$4713,$B23,'Utilization Data'!$C$2:$C$4713,"&gt;="&amp;G$2,'Utilization Data'!$D$2:$D$4713,"&lt;"&amp;EOMONTH(G$2,0)+1),0)</f>
        <v>0.38906249999999998</v>
      </c>
      <c r="H23" s="68">
        <f>IFERROR(SUMIFS('Utilization Data'!$E$2:$E$4713,'Utilization Data'!$B$2:$B$4713,$B23,'Utilization Data'!$C$2:$C$4713,"&gt;="&amp;H$2,'Utilization Data'!$D$2:$D$4713,"&lt;"&amp;EOMONTH(H$2,0)+1)/
SUMIFS('Utilization Data'!$H$2:$H$4713,'Utilization Data'!$B$2:$B$4713,$B23,'Utilization Data'!$C$2:$C$4713,"&gt;="&amp;H$2,'Utilization Data'!$D$2:$D$4713,"&lt;"&amp;EOMONTH(H$2,0)+1),0)</f>
        <v>0.71527777777777779</v>
      </c>
    </row>
    <row r="24" spans="2:14" x14ac:dyDescent="0.2">
      <c r="B24" t="s">
        <v>34</v>
      </c>
      <c r="C24" s="68"/>
      <c r="D24" s="68"/>
      <c r="E24" s="68"/>
      <c r="F24" s="68">
        <f>IFERROR(SUMIFS('Utilization Data'!$E$2:$E$4713,'Utilization Data'!$B$2:$B$4713,$B24,'Utilization Data'!$C$2:$C$4713,"&gt;="&amp;F$2,'Utilization Data'!$D$2:$D$4713,"&lt;"&amp;EOMONTH(F$2,0)+1)/
SUMIFS('Utilization Data'!$H$2:$H$4713,'Utilization Data'!$B$2:$B$4713,$B24,'Utilization Data'!$C$2:$C$4713,"&gt;="&amp;F$2,'Utilization Data'!$D$2:$D$4713,"&lt;"&amp;EOMONTH(F$2,0)+1),0)</f>
        <v>0</v>
      </c>
      <c r="G24" s="68">
        <f>IFERROR(SUMIFS('Utilization Data'!$E$2:$E$4713,'Utilization Data'!$B$2:$B$4713,$B24,'Utilization Data'!$C$2:$C$4713,"&gt;="&amp;G$2,'Utilization Data'!$D$2:$D$4713,"&lt;"&amp;EOMONTH(G$2,0)+1)/
SUMIFS('Utilization Data'!$H$2:$H$4713,'Utilization Data'!$B$2:$B$4713,$B24,'Utilization Data'!$C$2:$C$4713,"&gt;="&amp;G$2,'Utilization Data'!$D$2:$D$4713,"&lt;"&amp;EOMONTH(G$2,0)+1),0)</f>
        <v>0</v>
      </c>
      <c r="H24" s="68">
        <f>IFERROR(SUMIFS('Utilization Data'!$E$2:$E$4713,'Utilization Data'!$B$2:$B$4713,$B24,'Utilization Data'!$C$2:$C$4713,"&gt;="&amp;H$2,'Utilization Data'!$D$2:$D$4713,"&lt;"&amp;EOMONTH(H$2,0)+1)/
SUMIFS('Utilization Data'!$H$2:$H$4713,'Utilization Data'!$B$2:$B$4713,$B24,'Utilization Data'!$C$2:$C$4713,"&gt;="&amp;H$2,'Utilization Data'!$D$2:$D$4713,"&lt;"&amp;EOMONTH(H$2,0)+1),0)</f>
        <v>0</v>
      </c>
    </row>
    <row r="25" spans="2:14" x14ac:dyDescent="0.2">
      <c r="B25" t="s">
        <v>47</v>
      </c>
      <c r="C25" s="68"/>
      <c r="D25" s="68"/>
      <c r="E25" s="68"/>
      <c r="F25" s="68">
        <f>IFERROR(SUMIFS('Utilization Data'!$E$2:$E$4713,'Utilization Data'!$B$2:$B$4713,$B25,'Utilization Data'!$C$2:$C$4713,"&gt;="&amp;F$2,'Utilization Data'!$D$2:$D$4713,"&lt;"&amp;EOMONTH(F$2,0)+1)/
SUMIFS('Utilization Data'!$H$2:$H$4713,'Utilization Data'!$B$2:$B$4713,$B25,'Utilization Data'!$C$2:$C$4713,"&gt;="&amp;F$2,'Utilization Data'!$D$2:$D$4713,"&lt;"&amp;EOMONTH(F$2,0)+1),0)</f>
        <v>0.15625</v>
      </c>
      <c r="G25" s="68">
        <f>IFERROR(SUMIFS('Utilization Data'!$E$2:$E$4713,'Utilization Data'!$B$2:$B$4713,$B25,'Utilization Data'!$C$2:$C$4713,"&gt;="&amp;G$2,'Utilization Data'!$D$2:$D$4713,"&lt;"&amp;EOMONTH(G$2,0)+1)/
SUMIFS('Utilization Data'!$H$2:$H$4713,'Utilization Data'!$B$2:$B$4713,$B25,'Utilization Data'!$C$2:$C$4713,"&gt;="&amp;G$2,'Utilization Data'!$D$2:$D$4713,"&lt;"&amp;EOMONTH(G$2,0)+1),0)</f>
        <v>0.26874999999999999</v>
      </c>
      <c r="H25" s="68">
        <f>IFERROR(SUMIFS('Utilization Data'!$E$2:$E$4713,'Utilization Data'!$B$2:$B$4713,$B25,'Utilization Data'!$C$2:$C$4713,"&gt;="&amp;H$2,'Utilization Data'!$D$2:$D$4713,"&lt;"&amp;EOMONTH(H$2,0)+1)/
SUMIFS('Utilization Data'!$H$2:$H$4713,'Utilization Data'!$B$2:$B$4713,$B25,'Utilization Data'!$C$2:$C$4713,"&gt;="&amp;H$2,'Utilization Data'!$D$2:$D$4713,"&lt;"&amp;EOMONTH(H$2,0)+1),0)</f>
        <v>0.40848214285714285</v>
      </c>
    </row>
    <row r="26" spans="2:14" x14ac:dyDescent="0.2">
      <c r="B26" t="s">
        <v>69</v>
      </c>
      <c r="C26" s="68"/>
      <c r="D26" s="68"/>
      <c r="E26" s="68"/>
      <c r="F26" s="68">
        <f>IFERROR(SUMIFS('Utilization Data'!$E$2:$E$4713,'Utilization Data'!$B$2:$B$4713,$B26,'Utilization Data'!$C$2:$C$4713,"&gt;="&amp;F$2,'Utilization Data'!$D$2:$D$4713,"&lt;"&amp;EOMONTH(F$2,0)+1)/
SUMIFS('Utilization Data'!$H$2:$H$4713,'Utilization Data'!$B$2:$B$4713,$B26,'Utilization Data'!$C$2:$C$4713,"&gt;="&amp;F$2,'Utilization Data'!$D$2:$D$4713,"&lt;"&amp;EOMONTH(F$2,0)+1),0)</f>
        <v>0.47499999999999998</v>
      </c>
      <c r="G26" s="68">
        <f>IFERROR(SUMIFS('Utilization Data'!$E$2:$E$4713,'Utilization Data'!$B$2:$B$4713,$B26,'Utilization Data'!$C$2:$C$4713,"&gt;="&amp;G$2,'Utilization Data'!$D$2:$D$4713,"&lt;"&amp;EOMONTH(G$2,0)+1)/
SUMIFS('Utilization Data'!$H$2:$H$4713,'Utilization Data'!$B$2:$B$4713,$B26,'Utilization Data'!$C$2:$C$4713,"&gt;="&amp;G$2,'Utilization Data'!$D$2:$D$4713,"&lt;"&amp;EOMONTH(G$2,0)+1),0)</f>
        <v>0.38906249999999998</v>
      </c>
      <c r="H26" s="68">
        <f>IFERROR(SUMIFS('Utilization Data'!$E$2:$E$4713,'Utilization Data'!$B$2:$B$4713,$B26,'Utilization Data'!$C$2:$C$4713,"&gt;="&amp;H$2,'Utilization Data'!$D$2:$D$4713,"&lt;"&amp;EOMONTH(H$2,0)+1)/
SUMIFS('Utilization Data'!$H$2:$H$4713,'Utilization Data'!$B$2:$B$4713,$B26,'Utilization Data'!$C$2:$C$4713,"&gt;="&amp;H$2,'Utilization Data'!$D$2:$D$4713,"&lt;"&amp;EOMONTH(H$2,0)+1),0)</f>
        <v>0.7075892857142857</v>
      </c>
    </row>
    <row r="27" spans="2:14" x14ac:dyDescent="0.2">
      <c r="B27" t="s">
        <v>38</v>
      </c>
      <c r="C27" s="68"/>
      <c r="D27" s="68"/>
      <c r="E27" s="68"/>
      <c r="F27" s="68">
        <f>IFERROR(SUMIFS('Utilization Data'!$E$2:$E$4713,'Utilization Data'!$B$2:$B$4713,$B27,'Utilization Data'!$C$2:$C$4713,"&gt;="&amp;F$2,'Utilization Data'!$D$2:$D$4713,"&lt;"&amp;EOMONTH(F$2,0)+1)/
SUMIFS('Utilization Data'!$H$2:$H$4713,'Utilization Data'!$B$2:$B$4713,$B27,'Utilization Data'!$C$2:$C$4713,"&gt;="&amp;F$2,'Utilization Data'!$D$2:$D$4713,"&lt;"&amp;EOMONTH(F$2,0)+1),0)</f>
        <v>0.623046875</v>
      </c>
      <c r="G27" s="68">
        <f>IFERROR(SUMIFS('Utilization Data'!$E$2:$E$4713,'Utilization Data'!$B$2:$B$4713,$B27,'Utilization Data'!$C$2:$C$4713,"&gt;="&amp;G$2,'Utilization Data'!$D$2:$D$4713,"&lt;"&amp;EOMONTH(G$2,0)+1)/
SUMIFS('Utilization Data'!$H$2:$H$4713,'Utilization Data'!$B$2:$B$4713,$B27,'Utilization Data'!$C$2:$C$4713,"&gt;="&amp;G$2,'Utilization Data'!$D$2:$D$4713,"&lt;"&amp;EOMONTH(G$2,0)+1),0)</f>
        <v>0.67291666666666672</v>
      </c>
      <c r="H27" s="68">
        <f>IFERROR(SUMIFS('Utilization Data'!$E$2:$E$4713,'Utilization Data'!$B$2:$B$4713,$B27,'Utilization Data'!$C$2:$C$4713,"&gt;="&amp;H$2,'Utilization Data'!$D$2:$D$4713,"&lt;"&amp;EOMONTH(H$2,0)+1)/
SUMIFS('Utilization Data'!$H$2:$H$4713,'Utilization Data'!$B$2:$B$4713,$B27,'Utilization Data'!$C$2:$C$4713,"&gt;="&amp;H$2,'Utilization Data'!$D$2:$D$4713,"&lt;"&amp;EOMONTH(H$2,0)+1),0)</f>
        <v>0.86250000000000004</v>
      </c>
    </row>
    <row r="28" spans="2:14" x14ac:dyDescent="0.2">
      <c r="B28" t="s">
        <v>40</v>
      </c>
      <c r="C28" s="68"/>
      <c r="D28" s="68"/>
      <c r="E28" s="68"/>
      <c r="F28" s="68">
        <f>IFERROR(SUMIFS('Utilization Data'!$E$2:$E$4713,'Utilization Data'!$B$2:$B$4713,$B28,'Utilization Data'!$C$2:$C$4713,"&gt;="&amp;F$2,'Utilization Data'!$D$2:$D$4713,"&lt;"&amp;EOMONTH(F$2,0)+1)/
SUMIFS('Utilization Data'!$H$2:$H$4713,'Utilization Data'!$B$2:$B$4713,$B28,'Utilization Data'!$C$2:$C$4713,"&gt;="&amp;F$2,'Utilization Data'!$D$2:$D$4713,"&lt;"&amp;EOMONTH(F$2,0)+1),0)</f>
        <v>0.623046875</v>
      </c>
      <c r="G28" s="68">
        <f>IFERROR(SUMIFS('Utilization Data'!$E$2:$E$4713,'Utilization Data'!$B$2:$B$4713,$B28,'Utilization Data'!$C$2:$C$4713,"&gt;="&amp;G$2,'Utilization Data'!$D$2:$D$4713,"&lt;"&amp;EOMONTH(G$2,0)+1)/
SUMIFS('Utilization Data'!$H$2:$H$4713,'Utilization Data'!$B$2:$B$4713,$B28,'Utilization Data'!$C$2:$C$4713,"&gt;="&amp;G$2,'Utilization Data'!$D$2:$D$4713,"&lt;"&amp;EOMONTH(G$2,0)+1),0)</f>
        <v>0.64531249999999996</v>
      </c>
      <c r="H28" s="68">
        <f>IFERROR(SUMIFS('Utilization Data'!$E$2:$E$4713,'Utilization Data'!$B$2:$B$4713,$B28,'Utilization Data'!$C$2:$C$4713,"&gt;="&amp;H$2,'Utilization Data'!$D$2:$D$4713,"&lt;"&amp;EOMONTH(H$2,0)+1)/
SUMIFS('Utilization Data'!$H$2:$H$4713,'Utilization Data'!$B$2:$B$4713,$B28,'Utilization Data'!$C$2:$C$4713,"&gt;="&amp;H$2,'Utilization Data'!$D$2:$D$4713,"&lt;"&amp;EOMONTH(H$2,0)+1),0)</f>
        <v>0.86250000000000004</v>
      </c>
    </row>
    <row r="30" spans="2:14" x14ac:dyDescent="0.2">
      <c r="B30" s="1" t="s">
        <v>26</v>
      </c>
      <c r="C30" s="69">
        <f>'Prof Svcs - Current'!C20</f>
        <v>360000</v>
      </c>
      <c r="D30" s="69">
        <f>'Prof Svcs - Current'!D20</f>
        <v>342000</v>
      </c>
      <c r="E30" s="69">
        <f>'Prof Svcs - Current'!E20</f>
        <v>396000</v>
      </c>
      <c r="F30" s="69">
        <f>'Prof Svcs - Current'!F20</f>
        <v>379525</v>
      </c>
      <c r="G30" s="69">
        <f>'Prof Svcs - Current'!G20</f>
        <v>465300</v>
      </c>
      <c r="H30" s="69">
        <f>'Prof Svcs - Current'!H20</f>
        <v>423000</v>
      </c>
      <c r="I30" s="69">
        <f>'Prof Svcs - Current'!I20</f>
        <v>401850</v>
      </c>
      <c r="J30" s="69">
        <f>'Prof Svcs - Current'!J20</f>
        <v>491150</v>
      </c>
      <c r="K30" s="69">
        <f>'Prof Svcs - Current'!K20</f>
        <v>424175</v>
      </c>
      <c r="L30" s="69">
        <f>'Prof Svcs - Current'!L20</f>
        <v>468825</v>
      </c>
      <c r="M30" s="69">
        <f>'Prof Svcs - Current'!M20</f>
        <v>446500</v>
      </c>
      <c r="N30" s="69">
        <f>'Prof Svcs - Current'!N20</f>
        <v>470000</v>
      </c>
    </row>
    <row r="31" spans="2:14" x14ac:dyDescent="0.2">
      <c r="B31" s="67"/>
    </row>
  </sheetData>
  <sortState xmlns:xlrd2="http://schemas.microsoft.com/office/spreadsheetml/2017/richdata2" ref="B3:B28">
    <sortCondition ref="B3:B2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0873-D8DB-47DB-9185-8ACFF69497AF}">
  <dimension ref="B2:N13"/>
  <sheetViews>
    <sheetView workbookViewId="0">
      <selection activeCell="C13" sqref="C13"/>
    </sheetView>
  </sheetViews>
  <sheetFormatPr defaultRowHeight="12.75" x14ac:dyDescent="0.2"/>
  <cols>
    <col min="2" max="2" width="20.7109375" customWidth="1"/>
    <col min="3" max="14" width="10.7109375" customWidth="1"/>
  </cols>
  <sheetData>
    <row r="2" spans="2:14" x14ac:dyDescent="0.2">
      <c r="B2" s="1" t="s">
        <v>49</v>
      </c>
      <c r="C2" s="3">
        <v>44927</v>
      </c>
      <c r="D2" s="3">
        <f>EOMONTH(C2,0)+1</f>
        <v>44958</v>
      </c>
      <c r="E2" s="3">
        <f t="shared" ref="E2:N2" si="0">EOMONTH(D2,0)+1</f>
        <v>44986</v>
      </c>
      <c r="F2" s="3">
        <f t="shared" si="0"/>
        <v>45017</v>
      </c>
      <c r="G2" s="3">
        <f t="shared" si="0"/>
        <v>45047</v>
      </c>
      <c r="H2" s="3">
        <f t="shared" si="0"/>
        <v>45078</v>
      </c>
      <c r="I2" s="3">
        <f t="shared" si="0"/>
        <v>45108</v>
      </c>
      <c r="J2" s="3">
        <f t="shared" si="0"/>
        <v>45139</v>
      </c>
      <c r="K2" s="3">
        <f t="shared" si="0"/>
        <v>45170</v>
      </c>
      <c r="L2" s="3">
        <f t="shared" si="0"/>
        <v>45200</v>
      </c>
      <c r="M2" s="3">
        <f t="shared" si="0"/>
        <v>45231</v>
      </c>
      <c r="N2" s="3">
        <f t="shared" si="0"/>
        <v>45261</v>
      </c>
    </row>
    <row r="3" spans="2:14" x14ac:dyDescent="0.2">
      <c r="B3" t="s">
        <v>33</v>
      </c>
      <c r="C3" s="68"/>
      <c r="D3" s="68"/>
      <c r="E3" s="68"/>
      <c r="F3" s="68">
        <f>IFERROR(SUMIFS('Utilization Data'!$E$2:$E$4713,'Utilization Data'!$B$2:$B$4713,$B3,'Utilization Data'!$C$2:$C$4713,"&gt;="&amp;F$2,'Utilization Data'!$D$2:$D$4713,"&lt;"&amp;EOMONTH(F$2,0)+1)/
SUMIFS('Utilization Data'!$H$2:$H$4713,'Utilization Data'!$B$2:$B$4713,$B3,'Utilization Data'!$C$2:$C$4713,"&gt;="&amp;F$2,'Utilization Data'!$D$2:$D$4713,"&lt;"&amp;EOMONTH(F$2,0)+1),0)</f>
        <v>0.36476562499999998</v>
      </c>
      <c r="G3" s="68">
        <f>IFERROR(SUMIFS('Utilization Data'!$E$2:$E$4713,'Utilization Data'!$B$2:$B$4713,$B3,'Utilization Data'!$C$2:$C$4713,"&gt;="&amp;G$2,'Utilization Data'!$D$2:$D$4713,"&lt;"&amp;EOMONTH(G$2,0)+1)/
SUMIFS('Utilization Data'!$H$2:$H$4713,'Utilization Data'!$B$2:$B$4713,$B3,'Utilization Data'!$C$2:$C$4713,"&gt;="&amp;G$2,'Utilization Data'!$D$2:$D$4713,"&lt;"&amp;EOMONTH(G$2,0)+1),0)</f>
        <v>0.46037499999999998</v>
      </c>
      <c r="H3" s="68">
        <f>IFERROR(SUMIFS('Utilization Data'!$E$2:$E$4713,'Utilization Data'!$B$2:$B$4713,$B3,'Utilization Data'!$C$2:$C$4713,"&gt;="&amp;H$2,'Utilization Data'!$D$2:$D$4713,"&lt;"&amp;EOMONTH(H$2,0)+1)/
SUMIFS('Utilization Data'!$H$2:$H$4713,'Utilization Data'!$B$2:$B$4713,$B3,'Utilization Data'!$C$2:$C$4713,"&gt;="&amp;H$2,'Utilization Data'!$D$2:$D$4713,"&lt;"&amp;EOMONTH(H$2,0)+1),0)</f>
        <v>0.35000000000000003</v>
      </c>
      <c r="I3" s="68"/>
      <c r="J3" s="68"/>
      <c r="K3" s="68"/>
      <c r="L3" s="68"/>
      <c r="M3" s="68"/>
      <c r="N3" s="68"/>
    </row>
    <row r="4" spans="2:14" x14ac:dyDescent="0.2">
      <c r="B4" t="s">
        <v>47</v>
      </c>
      <c r="C4" s="68"/>
      <c r="D4" s="68"/>
      <c r="E4" s="68"/>
      <c r="F4" s="68">
        <f>IFERROR(SUMIFS('Utilization Data'!$E$2:$E$4713,'Utilization Data'!$B$2:$B$4713,$B4,'Utilization Data'!$C$2:$C$4713,"&gt;="&amp;F$2,'Utilization Data'!$D$2:$D$4713,"&lt;"&amp;EOMONTH(F$2,0)+1)/
SUMIFS('Utilization Data'!$H$2:$H$4713,'Utilization Data'!$B$2:$B$4713,$B4,'Utilization Data'!$C$2:$C$4713,"&gt;="&amp;F$2,'Utilization Data'!$D$2:$D$4713,"&lt;"&amp;EOMONTH(F$2,0)+1),0)</f>
        <v>0.15625</v>
      </c>
      <c r="G4" s="68">
        <f>IFERROR(SUMIFS('Utilization Data'!$E$2:$E$4713,'Utilization Data'!$B$2:$B$4713,$B4,'Utilization Data'!$C$2:$C$4713,"&gt;="&amp;G$2,'Utilization Data'!$D$2:$D$4713,"&lt;"&amp;EOMONTH(G$2,0)+1)/
SUMIFS('Utilization Data'!$H$2:$H$4713,'Utilization Data'!$B$2:$B$4713,$B4,'Utilization Data'!$C$2:$C$4713,"&gt;="&amp;G$2,'Utilization Data'!$D$2:$D$4713,"&lt;"&amp;EOMONTH(G$2,0)+1),0)</f>
        <v>0.26874999999999999</v>
      </c>
      <c r="H4" s="68">
        <f>IFERROR(SUMIFS('Utilization Data'!$E$2:$E$4713,'Utilization Data'!$B$2:$B$4713,$B4,'Utilization Data'!$C$2:$C$4713,"&gt;="&amp;H$2,'Utilization Data'!$D$2:$D$4713,"&lt;"&amp;EOMONTH(H$2,0)+1)/
SUMIFS('Utilization Data'!$H$2:$H$4713,'Utilization Data'!$B$2:$B$4713,$B4,'Utilization Data'!$C$2:$C$4713,"&gt;="&amp;H$2,'Utilization Data'!$D$2:$D$4713,"&lt;"&amp;EOMONTH(H$2,0)+1),0)</f>
        <v>0.40848214285714285</v>
      </c>
      <c r="I4" s="68"/>
      <c r="J4" s="68"/>
      <c r="K4" s="68"/>
      <c r="L4" s="68"/>
      <c r="M4" s="68"/>
      <c r="N4" s="68"/>
    </row>
    <row r="5" spans="2:14" x14ac:dyDescent="0.2">
      <c r="B5" t="s">
        <v>62</v>
      </c>
      <c r="C5" s="68"/>
      <c r="D5" s="68"/>
      <c r="E5" s="68"/>
      <c r="F5" s="68">
        <f>IFERROR(SUMIFS('Utilization Data'!$E$2:$E$4713,'Utilization Data'!$B$2:$B$4713,$B5,'Utilization Data'!$C$2:$C$4713,"&gt;="&amp;F$2,'Utilization Data'!$D$2:$D$4713,"&lt;"&amp;EOMONTH(F$2,0)+1)/
SUMIFS('Utilization Data'!$H$2:$H$4713,'Utilization Data'!$B$2:$B$4713,$B5,'Utilization Data'!$C$2:$C$4713,"&gt;="&amp;F$2,'Utilization Data'!$D$2:$D$4713,"&lt;"&amp;EOMONTH(F$2,0)+1),0)</f>
        <v>0.37545454545454543</v>
      </c>
      <c r="G5" s="68">
        <f>IFERROR(SUMIFS('Utilization Data'!$E$2:$E$4713,'Utilization Data'!$B$2:$B$4713,$B5,'Utilization Data'!$C$2:$C$4713,"&gt;="&amp;G$2,'Utilization Data'!$D$2:$D$4713,"&lt;"&amp;EOMONTH(G$2,0)+1)/
SUMIFS('Utilization Data'!$H$2:$H$4713,'Utilization Data'!$B$2:$B$4713,$B5,'Utilization Data'!$C$2:$C$4713,"&gt;="&amp;G$2,'Utilization Data'!$D$2:$D$4713,"&lt;"&amp;EOMONTH(G$2,0)+1),0)</f>
        <v>0.39874999999999999</v>
      </c>
      <c r="H5" s="68">
        <f>IFERROR(SUMIFS('Utilization Data'!$E$2:$E$4713,'Utilization Data'!$B$2:$B$4713,$B5,'Utilization Data'!$C$2:$C$4713,"&gt;="&amp;H$2,'Utilization Data'!$D$2:$D$4713,"&lt;"&amp;EOMONTH(H$2,0)+1)/
SUMIFS('Utilization Data'!$H$2:$H$4713,'Utilization Data'!$B$2:$B$4713,$B5,'Utilization Data'!$C$2:$C$4713,"&gt;="&amp;H$2,'Utilization Data'!$D$2:$D$4713,"&lt;"&amp;EOMONTH(H$2,0)+1),0)</f>
        <v>0.35000000000000003</v>
      </c>
      <c r="I5" s="68"/>
      <c r="J5" s="68"/>
      <c r="K5" s="68"/>
      <c r="L5" s="68"/>
      <c r="M5" s="68"/>
      <c r="N5" s="68"/>
    </row>
    <row r="6" spans="2:14" x14ac:dyDescent="0.2">
      <c r="B6" t="s">
        <v>60</v>
      </c>
      <c r="C6" s="68"/>
      <c r="D6" s="68"/>
      <c r="E6" s="68"/>
      <c r="F6" s="68">
        <f>IFERROR(SUMIFS('Utilization Data'!$E$2:$E$4713,'Utilization Data'!$B$2:$B$4713,$B6,'Utilization Data'!$C$2:$C$4713,"&gt;="&amp;F$2,'Utilization Data'!$D$2:$D$4713,"&lt;"&amp;EOMONTH(F$2,0)+1)/
SUMIFS('Utilization Data'!$H$2:$H$4713,'Utilization Data'!$B$2:$B$4713,$B6,'Utilization Data'!$C$2:$C$4713,"&gt;="&amp;F$2,'Utilization Data'!$D$2:$D$4713,"&lt;"&amp;EOMONTH(F$2,0)+1),0)</f>
        <v>0.2421875</v>
      </c>
      <c r="G6" s="68">
        <f>IFERROR(SUMIFS('Utilization Data'!$E$2:$E$4713,'Utilization Data'!$B$2:$B$4713,$B6,'Utilization Data'!$C$2:$C$4713,"&gt;="&amp;G$2,'Utilization Data'!$D$2:$D$4713,"&lt;"&amp;EOMONTH(G$2,0)+1)/
SUMIFS('Utilization Data'!$H$2:$H$4713,'Utilization Data'!$B$2:$B$4713,$B6,'Utilization Data'!$C$2:$C$4713,"&gt;="&amp;G$2,'Utilization Data'!$D$2:$D$4713,"&lt;"&amp;EOMONTH(G$2,0)+1),0)</f>
        <v>0.36875000000000002</v>
      </c>
      <c r="H6" s="68">
        <f>IFERROR(SUMIFS('Utilization Data'!$E$2:$E$4713,'Utilization Data'!$B$2:$B$4713,$B6,'Utilization Data'!$C$2:$C$4713,"&gt;="&amp;H$2,'Utilization Data'!$D$2:$D$4713,"&lt;"&amp;EOMONTH(H$2,0)+1)/
SUMIFS('Utilization Data'!$H$2:$H$4713,'Utilization Data'!$B$2:$B$4713,$B6,'Utilization Data'!$C$2:$C$4713,"&gt;="&amp;H$2,'Utilization Data'!$D$2:$D$4713,"&lt;"&amp;EOMONTH(H$2,0)+1),0)</f>
        <v>0.11249999999999999</v>
      </c>
      <c r="I6" s="68"/>
      <c r="J6" s="68"/>
      <c r="K6" s="68"/>
      <c r="L6" s="68"/>
      <c r="M6" s="68"/>
      <c r="N6" s="68"/>
    </row>
    <row r="7" spans="2:14" x14ac:dyDescent="0.2">
      <c r="B7" t="s">
        <v>53</v>
      </c>
      <c r="C7" s="68"/>
      <c r="D7" s="68"/>
      <c r="E7" s="68"/>
      <c r="F7" s="68">
        <f>IFERROR(SUMIFS('Utilization Data'!$E$2:$E$4713,'Utilization Data'!$B$2:$B$4713,$B7,'Utilization Data'!$C$2:$C$4713,"&gt;="&amp;F$2,'Utilization Data'!$D$2:$D$4713,"&lt;"&amp;EOMONTH(F$2,0)+1)/
SUMIFS('Utilization Data'!$H$2:$H$4713,'Utilization Data'!$B$2:$B$4713,$B7,'Utilization Data'!$C$2:$C$4713,"&gt;="&amp;F$2,'Utilization Data'!$D$2:$D$4713,"&lt;"&amp;EOMONTH(F$2,0)+1),0)</f>
        <v>0.49062499999999998</v>
      </c>
      <c r="G7" s="68">
        <f>IFERROR(SUMIFS('Utilization Data'!$E$2:$E$4713,'Utilization Data'!$B$2:$B$4713,$B7,'Utilization Data'!$C$2:$C$4713,"&gt;="&amp;G$2,'Utilization Data'!$D$2:$D$4713,"&lt;"&amp;EOMONTH(G$2,0)+1)/
SUMIFS('Utilization Data'!$H$2:$H$4713,'Utilization Data'!$B$2:$B$4713,$B7,'Utilization Data'!$C$2:$C$4713,"&gt;="&amp;G$2,'Utilization Data'!$D$2:$D$4713,"&lt;"&amp;EOMONTH(G$2,0)+1),0)</f>
        <v>0.38906249999999998</v>
      </c>
      <c r="H7" s="68">
        <f>IFERROR(SUMIFS('Utilization Data'!$E$2:$E$4713,'Utilization Data'!$B$2:$B$4713,$B7,'Utilization Data'!$C$2:$C$4713,"&gt;="&amp;H$2,'Utilization Data'!$D$2:$D$4713,"&lt;"&amp;EOMONTH(H$2,0)+1)/
SUMIFS('Utilization Data'!$H$2:$H$4713,'Utilization Data'!$B$2:$B$4713,$B7,'Utilization Data'!$C$2:$C$4713,"&gt;="&amp;H$2,'Utilization Data'!$D$2:$D$4713,"&lt;"&amp;EOMONTH(H$2,0)+1),0)</f>
        <v>0</v>
      </c>
      <c r="I7" s="68"/>
      <c r="J7" s="68"/>
      <c r="K7" s="68"/>
      <c r="L7" s="68"/>
      <c r="M7" s="68"/>
      <c r="N7" s="68"/>
    </row>
    <row r="8" spans="2:14" x14ac:dyDescent="0.2">
      <c r="B8" t="s">
        <v>63</v>
      </c>
      <c r="C8" s="68"/>
      <c r="D8" s="68"/>
      <c r="E8" s="68"/>
      <c r="F8" s="68">
        <f>IFERROR(SUMIFS('Utilization Data'!$E$2:$E$4713,'Utilization Data'!$B$2:$B$4713,$B8,'Utilization Data'!$C$2:$C$4713,"&gt;="&amp;F$2,'Utilization Data'!$D$2:$D$4713,"&lt;"&amp;EOMONTH(F$2,0)+1)/
SUMIFS('Utilization Data'!$H$2:$H$4713,'Utilization Data'!$B$2:$B$4713,$B8,'Utilization Data'!$C$2:$C$4713,"&gt;="&amp;F$2,'Utilization Data'!$D$2:$D$4713,"&lt;"&amp;EOMONTH(F$2,0)+1),0)</f>
        <v>0.28125</v>
      </c>
      <c r="G8" s="68">
        <f>IFERROR(SUMIFS('Utilization Data'!$E$2:$E$4713,'Utilization Data'!$B$2:$B$4713,$B8,'Utilization Data'!$C$2:$C$4713,"&gt;="&amp;G$2,'Utilization Data'!$D$2:$D$4713,"&lt;"&amp;EOMONTH(G$2,0)+1)/
SUMIFS('Utilization Data'!$H$2:$H$4713,'Utilization Data'!$B$2:$B$4713,$B8,'Utilization Data'!$C$2:$C$4713,"&gt;="&amp;G$2,'Utilization Data'!$D$2:$D$4713,"&lt;"&amp;EOMONTH(G$2,0)+1),0)</f>
        <v>0.33624999999999999</v>
      </c>
      <c r="H8" s="68">
        <f>IFERROR(SUMIFS('Utilization Data'!$E$2:$E$4713,'Utilization Data'!$B$2:$B$4713,$B8,'Utilization Data'!$C$2:$C$4713,"&gt;="&amp;H$2,'Utilization Data'!$D$2:$D$4713,"&lt;"&amp;EOMONTH(H$2,0)+1)/
SUMIFS('Utilization Data'!$H$2:$H$4713,'Utilization Data'!$B$2:$B$4713,$B8,'Utilization Data'!$C$2:$C$4713,"&gt;="&amp;H$2,'Utilization Data'!$D$2:$D$4713,"&lt;"&amp;EOMONTH(H$2,0)+1),0)</f>
        <v>0.16383928571428572</v>
      </c>
      <c r="I8" s="68"/>
      <c r="J8" s="68"/>
      <c r="K8" s="68"/>
      <c r="L8" s="68"/>
      <c r="M8" s="68"/>
      <c r="N8" s="68"/>
    </row>
    <row r="9" spans="2:14" x14ac:dyDescent="0.2">
      <c r="B9" t="s">
        <v>61</v>
      </c>
      <c r="C9" s="68"/>
      <c r="D9" s="68"/>
      <c r="E9" s="68"/>
      <c r="F9" s="68">
        <f>IFERROR(SUMIFS('Utilization Data'!$E$2:$E$4713,'Utilization Data'!$B$2:$B$4713,$B9,'Utilization Data'!$C$2:$C$4713,"&gt;="&amp;F$2,'Utilization Data'!$D$2:$D$4713,"&lt;"&amp;EOMONTH(F$2,0)+1)/
SUMIFS('Utilization Data'!$H$2:$H$4713,'Utilization Data'!$B$2:$B$4713,$B9,'Utilization Data'!$C$2:$C$4713,"&gt;="&amp;F$2,'Utilization Data'!$D$2:$D$4713,"&lt;"&amp;EOMONTH(F$2,0)+1),0)</f>
        <v>0.49062499999999998</v>
      </c>
      <c r="G9" s="68">
        <f>IFERROR(SUMIFS('Utilization Data'!$E$2:$E$4713,'Utilization Data'!$B$2:$B$4713,$B9,'Utilization Data'!$C$2:$C$4713,"&gt;="&amp;G$2,'Utilization Data'!$D$2:$D$4713,"&lt;"&amp;EOMONTH(G$2,0)+1)/
SUMIFS('Utilization Data'!$H$2:$H$4713,'Utilization Data'!$B$2:$B$4713,$B9,'Utilization Data'!$C$2:$C$4713,"&gt;="&amp;G$2,'Utilization Data'!$D$2:$D$4713,"&lt;"&amp;EOMONTH(G$2,0)+1),0)</f>
        <v>0.38583333333333331</v>
      </c>
      <c r="H9" s="68">
        <f>IFERROR(SUMIFS('Utilization Data'!$E$2:$E$4713,'Utilization Data'!$B$2:$B$4713,$B9,'Utilization Data'!$C$2:$C$4713,"&gt;="&amp;H$2,'Utilization Data'!$D$2:$D$4713,"&lt;"&amp;EOMONTH(H$2,0)+1)/
SUMIFS('Utilization Data'!$H$2:$H$4713,'Utilization Data'!$B$2:$B$4713,$B9,'Utilization Data'!$C$2:$C$4713,"&gt;="&amp;H$2,'Utilization Data'!$D$2:$D$4713,"&lt;"&amp;EOMONTH(H$2,0)+1),0)</f>
        <v>0</v>
      </c>
      <c r="I9" s="68"/>
      <c r="J9" s="68"/>
      <c r="K9" s="68"/>
      <c r="L9" s="68"/>
      <c r="M9" s="68"/>
      <c r="N9" s="68"/>
    </row>
    <row r="10" spans="2:14" x14ac:dyDescent="0.2">
      <c r="B10" t="s">
        <v>59</v>
      </c>
      <c r="C10" s="68"/>
      <c r="D10" s="68"/>
      <c r="E10" s="68"/>
      <c r="F10" s="68">
        <f>IFERROR(SUMIFS('Utilization Data'!$E$2:$E$4713,'Utilization Data'!$B$2:$B$4713,$B10,'Utilization Data'!$C$2:$C$4713,"&gt;="&amp;F$2,'Utilization Data'!$D$2:$D$4713,"&lt;"&amp;EOMONTH(F$2,0)+1)/
SUMIFS('Utilization Data'!$H$2:$H$4713,'Utilization Data'!$B$2:$B$4713,$B10,'Utilization Data'!$C$2:$C$4713,"&gt;="&amp;F$2,'Utilization Data'!$D$2:$D$4713,"&lt;"&amp;EOMONTH(F$2,0)+1),0)</f>
        <v>0.34125</v>
      </c>
      <c r="G10" s="68">
        <f>IFERROR(SUMIFS('Utilization Data'!$E$2:$E$4713,'Utilization Data'!$B$2:$B$4713,$B10,'Utilization Data'!$C$2:$C$4713,"&gt;="&amp;G$2,'Utilization Data'!$D$2:$D$4713,"&lt;"&amp;EOMONTH(G$2,0)+1)/
SUMIFS('Utilization Data'!$H$2:$H$4713,'Utilization Data'!$B$2:$B$4713,$B10,'Utilization Data'!$C$2:$C$4713,"&gt;="&amp;G$2,'Utilization Data'!$D$2:$D$4713,"&lt;"&amp;EOMONTH(G$2,0)+1),0)</f>
        <v>0.39831249999999996</v>
      </c>
      <c r="H10" s="68">
        <f>IFERROR(SUMIFS('Utilization Data'!$E$2:$E$4713,'Utilization Data'!$B$2:$B$4713,$B10,'Utilization Data'!$C$2:$C$4713,"&gt;="&amp;H$2,'Utilization Data'!$D$2:$D$4713,"&lt;"&amp;EOMONTH(H$2,0)+1)/
SUMIFS('Utilization Data'!$H$2:$H$4713,'Utilization Data'!$B$2:$B$4713,$B10,'Utilization Data'!$C$2:$C$4713,"&gt;="&amp;H$2,'Utilization Data'!$D$2:$D$4713,"&lt;"&amp;EOMONTH(H$2,0)+1),0)</f>
        <v>0.25624999999999998</v>
      </c>
      <c r="I10" s="68"/>
      <c r="J10" s="68"/>
      <c r="K10" s="68"/>
      <c r="L10" s="68"/>
      <c r="M10" s="68"/>
      <c r="N10" s="68"/>
    </row>
    <row r="11" spans="2:14" x14ac:dyDescent="0.2">
      <c r="B11" t="s">
        <v>67</v>
      </c>
      <c r="C11" s="68"/>
      <c r="D11" s="68"/>
      <c r="E11" s="68"/>
      <c r="F11" s="68">
        <f>IFERROR(SUMIFS('Utilization Data'!$E$2:$E$4713,'Utilization Data'!$B$2:$B$4713,$B11,'Utilization Data'!$C$2:$C$4713,"&gt;="&amp;F$2,'Utilization Data'!$D$2:$D$4713,"&lt;"&amp;EOMONTH(F$2,0)+1)/
SUMIFS('Utilization Data'!$H$2:$H$4713,'Utilization Data'!$B$2:$B$4713,$B11,'Utilization Data'!$C$2:$C$4713,"&gt;="&amp;F$2,'Utilization Data'!$D$2:$D$4713,"&lt;"&amp;EOMONTH(F$2,0)+1),0)</f>
        <v>0</v>
      </c>
      <c r="G11" s="68">
        <f>IFERROR(SUMIFS('Utilization Data'!$E$2:$E$4713,'Utilization Data'!$B$2:$B$4713,$B11,'Utilization Data'!$C$2:$C$4713,"&gt;="&amp;G$2,'Utilization Data'!$D$2:$D$4713,"&lt;"&amp;EOMONTH(G$2,0)+1)/
SUMIFS('Utilization Data'!$H$2:$H$4713,'Utilization Data'!$B$2:$B$4713,$B11,'Utilization Data'!$C$2:$C$4713,"&gt;="&amp;G$2,'Utilization Data'!$D$2:$D$4713,"&lt;"&amp;EOMONTH(G$2,0)+1),0)</f>
        <v>0.23541666666666666</v>
      </c>
      <c r="H11" s="68">
        <f>IFERROR(SUMIFS('Utilization Data'!$E$2:$E$4713,'Utilization Data'!$B$2:$B$4713,$B11,'Utilization Data'!$C$2:$C$4713,"&gt;="&amp;H$2,'Utilization Data'!$D$2:$D$4713,"&lt;"&amp;EOMONTH(H$2,0)+1)/
SUMIFS('Utilization Data'!$H$2:$H$4713,'Utilization Data'!$B$2:$B$4713,$B11,'Utilization Data'!$C$2:$C$4713,"&gt;="&amp;H$2,'Utilization Data'!$D$2:$D$4713,"&lt;"&amp;EOMONTH(H$2,0)+1),0)</f>
        <v>0.40848214285714285</v>
      </c>
      <c r="I11" s="68"/>
      <c r="J11" s="68"/>
      <c r="K11" s="68"/>
      <c r="L11" s="68"/>
      <c r="M11" s="68"/>
      <c r="N11" s="68"/>
    </row>
    <row r="13" spans="2:14" x14ac:dyDescent="0.2">
      <c r="B13" s="1" t="s">
        <v>31</v>
      </c>
      <c r="C13" s="69">
        <f>'Prof Svcs - Current'!C30</f>
        <v>94500</v>
      </c>
      <c r="D13" s="69">
        <f>'Prof Svcs - Current'!D30</f>
        <v>89775</v>
      </c>
      <c r="E13" s="69">
        <f>'Prof Svcs - Current'!E30</f>
        <v>103950</v>
      </c>
      <c r="F13" s="69">
        <f>'Prof Svcs - Current'!F30</f>
        <v>111150</v>
      </c>
      <c r="G13" s="69">
        <f>'Prof Svcs - Current'!G30</f>
        <v>128700</v>
      </c>
      <c r="H13" s="69">
        <f>'Prof Svcs - Current'!H30</f>
        <v>117000</v>
      </c>
      <c r="I13" s="69">
        <f>'Prof Svcs - Current'!I30</f>
        <v>111150</v>
      </c>
      <c r="J13" s="69">
        <f>'Prof Svcs - Current'!J30</f>
        <v>128700</v>
      </c>
      <c r="K13" s="69">
        <f>'Prof Svcs - Current'!K30</f>
        <v>111150</v>
      </c>
      <c r="L13" s="69">
        <f>'Prof Svcs - Current'!L30</f>
        <v>143325</v>
      </c>
      <c r="M13" s="69">
        <f>'Prof Svcs - Current'!M30</f>
        <v>136500</v>
      </c>
      <c r="N13" s="69">
        <f>'Prof Svcs - Current'!N30</f>
        <v>136500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F36F-B201-4F2F-A249-D6A90983A045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A24B-7A6C-4525-933E-E7C91F5D362B}">
  <dimension ref="A1:N43"/>
  <sheetViews>
    <sheetView workbookViewId="0"/>
  </sheetViews>
  <sheetFormatPr defaultRowHeight="12.75" x14ac:dyDescent="0.2"/>
  <cols>
    <col min="1" max="1" width="20.7109375" customWidth="1"/>
    <col min="2" max="2" width="15.7109375" customWidth="1"/>
    <col min="3" max="3" width="10.7109375" style="45" customWidth="1"/>
    <col min="4" max="14" width="10.7109375" customWidth="1"/>
  </cols>
  <sheetData>
    <row r="1" spans="1:14" x14ac:dyDescent="0.2">
      <c r="A1" s="1" t="s">
        <v>49</v>
      </c>
      <c r="B1" s="1" t="s">
        <v>50</v>
      </c>
      <c r="C1" s="3">
        <v>44927</v>
      </c>
      <c r="D1" s="3">
        <f>EOMONTH(C1,0)+1</f>
        <v>44958</v>
      </c>
      <c r="E1" s="3">
        <f t="shared" ref="E1:N1" si="0">EOMONTH(D1,0)+1</f>
        <v>44986</v>
      </c>
      <c r="F1" s="3">
        <f t="shared" si="0"/>
        <v>45017</v>
      </c>
      <c r="G1" s="3">
        <f t="shared" si="0"/>
        <v>45047</v>
      </c>
      <c r="H1" s="3">
        <f t="shared" si="0"/>
        <v>45078</v>
      </c>
      <c r="I1" s="3">
        <f t="shared" si="0"/>
        <v>45108</v>
      </c>
      <c r="J1" s="3">
        <f t="shared" si="0"/>
        <v>45139</v>
      </c>
      <c r="K1" s="3">
        <f t="shared" si="0"/>
        <v>45170</v>
      </c>
      <c r="L1" s="3">
        <f t="shared" si="0"/>
        <v>45200</v>
      </c>
      <c r="M1" s="3">
        <f t="shared" si="0"/>
        <v>45231</v>
      </c>
      <c r="N1" s="3">
        <f t="shared" si="0"/>
        <v>45261</v>
      </c>
    </row>
    <row r="2" spans="1:14" x14ac:dyDescent="0.2">
      <c r="A2" s="48" t="s">
        <v>33</v>
      </c>
      <c r="B2" t="s">
        <v>48</v>
      </c>
      <c r="C2" s="46">
        <v>1</v>
      </c>
      <c r="D2" s="46">
        <v>1</v>
      </c>
      <c r="E2" s="46">
        <v>1</v>
      </c>
      <c r="F2" s="46">
        <v>1</v>
      </c>
      <c r="G2" s="46">
        <v>1</v>
      </c>
      <c r="H2" s="46">
        <v>1</v>
      </c>
      <c r="I2" s="46">
        <v>1</v>
      </c>
      <c r="J2" s="46">
        <v>0</v>
      </c>
      <c r="K2" s="46">
        <v>0</v>
      </c>
      <c r="L2" s="46">
        <v>0</v>
      </c>
      <c r="M2" s="46">
        <v>0</v>
      </c>
      <c r="N2" s="46">
        <v>0</v>
      </c>
    </row>
    <row r="3" spans="1:14" x14ac:dyDescent="0.2">
      <c r="A3" s="48" t="s">
        <v>33</v>
      </c>
      <c r="B3" t="s">
        <v>57</v>
      </c>
      <c r="C3" s="46">
        <v>0</v>
      </c>
      <c r="D3" s="46">
        <v>0</v>
      </c>
      <c r="E3" s="46">
        <v>0</v>
      </c>
      <c r="F3" s="46">
        <v>0</v>
      </c>
      <c r="G3" s="46">
        <v>0</v>
      </c>
      <c r="H3" s="46">
        <v>0</v>
      </c>
      <c r="I3" s="47">
        <v>0</v>
      </c>
      <c r="J3" s="47">
        <v>1</v>
      </c>
      <c r="K3" s="47">
        <v>1</v>
      </c>
      <c r="L3" s="47">
        <v>1</v>
      </c>
      <c r="M3" s="47">
        <v>1</v>
      </c>
      <c r="N3" s="47">
        <v>1</v>
      </c>
    </row>
    <row r="4" spans="1:14" x14ac:dyDescent="0.2">
      <c r="A4" s="48" t="s">
        <v>47</v>
      </c>
      <c r="B4" t="s">
        <v>48</v>
      </c>
      <c r="C4" s="46">
        <v>1</v>
      </c>
      <c r="D4" s="46">
        <v>1</v>
      </c>
      <c r="E4" s="46">
        <v>1</v>
      </c>
      <c r="F4" s="46">
        <v>1</v>
      </c>
      <c r="G4" s="46">
        <v>1</v>
      </c>
      <c r="H4" s="46">
        <v>1</v>
      </c>
      <c r="I4" s="46">
        <v>1</v>
      </c>
      <c r="J4" s="46">
        <v>0</v>
      </c>
      <c r="K4" s="46">
        <v>0</v>
      </c>
      <c r="L4" s="46">
        <v>0</v>
      </c>
      <c r="M4" s="46">
        <v>0</v>
      </c>
      <c r="N4" s="46">
        <v>0</v>
      </c>
    </row>
    <row r="5" spans="1:14" x14ac:dyDescent="0.2">
      <c r="A5" s="48" t="s">
        <v>47</v>
      </c>
      <c r="B5" t="s">
        <v>57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7">
        <v>0</v>
      </c>
      <c r="J5" s="47">
        <v>1</v>
      </c>
      <c r="K5" s="47">
        <v>1</v>
      </c>
      <c r="L5" s="47">
        <v>1</v>
      </c>
      <c r="M5" s="47">
        <v>1</v>
      </c>
      <c r="N5" s="47">
        <v>1</v>
      </c>
    </row>
    <row r="6" spans="1:14" x14ac:dyDescent="0.2">
      <c r="A6" t="s">
        <v>46</v>
      </c>
      <c r="B6" t="s">
        <v>48</v>
      </c>
      <c r="C6" s="46">
        <v>0</v>
      </c>
      <c r="D6" s="46">
        <v>0</v>
      </c>
      <c r="E6" s="46">
        <v>0</v>
      </c>
      <c r="F6" s="46">
        <v>1</v>
      </c>
      <c r="G6" s="46">
        <v>1</v>
      </c>
      <c r="H6" s="46">
        <v>1</v>
      </c>
      <c r="I6" s="46">
        <v>1</v>
      </c>
      <c r="J6" s="46">
        <v>1</v>
      </c>
      <c r="K6" s="46">
        <v>1</v>
      </c>
      <c r="L6" s="46">
        <v>1</v>
      </c>
      <c r="M6" s="46">
        <v>1</v>
      </c>
      <c r="N6" s="46">
        <v>1</v>
      </c>
    </row>
    <row r="7" spans="1:14" x14ac:dyDescent="0.2">
      <c r="A7" t="s">
        <v>43</v>
      </c>
      <c r="B7" t="s">
        <v>48</v>
      </c>
      <c r="C7" s="46">
        <v>1</v>
      </c>
      <c r="D7" s="46">
        <v>1</v>
      </c>
      <c r="E7" s="46">
        <v>1</v>
      </c>
      <c r="F7" s="46">
        <v>1</v>
      </c>
      <c r="G7" s="46">
        <v>1</v>
      </c>
      <c r="H7" s="46">
        <v>1</v>
      </c>
      <c r="I7" s="46">
        <v>1</v>
      </c>
      <c r="J7" s="46">
        <v>1</v>
      </c>
      <c r="K7" s="46">
        <v>1</v>
      </c>
      <c r="L7" s="46">
        <v>1</v>
      </c>
      <c r="M7" s="46">
        <v>1</v>
      </c>
      <c r="N7" s="46">
        <v>1</v>
      </c>
    </row>
    <row r="8" spans="1:14" x14ac:dyDescent="0.2">
      <c r="A8" t="s">
        <v>37</v>
      </c>
      <c r="B8" t="s">
        <v>48</v>
      </c>
      <c r="C8" s="46">
        <v>1</v>
      </c>
      <c r="D8" s="46">
        <v>1</v>
      </c>
      <c r="E8" s="46">
        <v>1</v>
      </c>
      <c r="F8" s="46">
        <v>1</v>
      </c>
      <c r="G8" s="46">
        <v>1</v>
      </c>
      <c r="H8" s="46">
        <v>1</v>
      </c>
      <c r="I8" s="46">
        <v>1</v>
      </c>
      <c r="J8" s="46">
        <v>1</v>
      </c>
      <c r="K8" s="46">
        <v>1</v>
      </c>
      <c r="L8" s="46">
        <v>1</v>
      </c>
      <c r="M8" s="46">
        <v>1</v>
      </c>
      <c r="N8" s="46">
        <v>1</v>
      </c>
    </row>
    <row r="9" spans="1:14" x14ac:dyDescent="0.2">
      <c r="A9" t="s">
        <v>52</v>
      </c>
      <c r="B9" t="s">
        <v>48</v>
      </c>
      <c r="C9" s="46">
        <v>1</v>
      </c>
      <c r="D9" s="47">
        <v>1</v>
      </c>
      <c r="E9" s="47">
        <v>1</v>
      </c>
      <c r="F9" s="47">
        <v>1</v>
      </c>
      <c r="G9" s="47">
        <v>1</v>
      </c>
      <c r="H9" s="47">
        <v>1</v>
      </c>
      <c r="I9" s="47">
        <v>1</v>
      </c>
      <c r="J9" s="47">
        <v>1</v>
      </c>
      <c r="K9" s="47">
        <v>1</v>
      </c>
      <c r="L9" s="47">
        <v>1</v>
      </c>
      <c r="M9" s="47">
        <v>1</v>
      </c>
      <c r="N9" s="47">
        <v>1</v>
      </c>
    </row>
    <row r="10" spans="1:14" x14ac:dyDescent="0.2">
      <c r="A10" t="s">
        <v>41</v>
      </c>
      <c r="B10" t="s">
        <v>48</v>
      </c>
      <c r="C10" s="46">
        <v>1</v>
      </c>
      <c r="D10" s="46">
        <v>1</v>
      </c>
      <c r="E10" s="46">
        <v>1</v>
      </c>
      <c r="F10" s="46">
        <v>1</v>
      </c>
      <c r="G10" s="46">
        <v>1</v>
      </c>
      <c r="H10" s="46">
        <v>1</v>
      </c>
      <c r="I10" s="46">
        <v>1</v>
      </c>
      <c r="J10" s="46">
        <v>1</v>
      </c>
      <c r="K10" s="46">
        <v>1</v>
      </c>
      <c r="L10" s="46">
        <v>1</v>
      </c>
      <c r="M10" s="46">
        <v>1</v>
      </c>
      <c r="N10" s="46">
        <v>1</v>
      </c>
    </row>
    <row r="11" spans="1:14" x14ac:dyDescent="0.2">
      <c r="A11" t="s">
        <v>58</v>
      </c>
      <c r="B11" t="s">
        <v>48</v>
      </c>
      <c r="C11" s="46">
        <v>1</v>
      </c>
      <c r="D11" s="46">
        <v>1</v>
      </c>
      <c r="E11" s="46">
        <v>1</v>
      </c>
      <c r="F11" s="46">
        <v>1</v>
      </c>
      <c r="G11" s="46">
        <v>1</v>
      </c>
      <c r="H11" s="46">
        <v>1</v>
      </c>
      <c r="I11" s="46">
        <v>1</v>
      </c>
      <c r="J11" s="46">
        <v>1</v>
      </c>
      <c r="K11" s="46">
        <v>1</v>
      </c>
      <c r="L11" s="46">
        <v>1</v>
      </c>
      <c r="M11" s="46">
        <v>1</v>
      </c>
      <c r="N11" s="46">
        <v>1</v>
      </c>
    </row>
    <row r="12" spans="1:14" x14ac:dyDescent="0.2">
      <c r="A12" t="s">
        <v>35</v>
      </c>
      <c r="B12" t="s">
        <v>48</v>
      </c>
      <c r="C12" s="46">
        <v>1</v>
      </c>
      <c r="D12" s="46">
        <v>1</v>
      </c>
      <c r="E12" s="46">
        <v>1</v>
      </c>
      <c r="F12" s="46">
        <v>1</v>
      </c>
      <c r="G12" s="46">
        <v>1</v>
      </c>
      <c r="H12" s="46">
        <v>1</v>
      </c>
      <c r="I12" s="46">
        <v>1</v>
      </c>
      <c r="J12" s="46">
        <v>1</v>
      </c>
      <c r="K12" s="46">
        <v>1</v>
      </c>
      <c r="L12" s="46">
        <v>1</v>
      </c>
      <c r="M12" s="46">
        <v>1</v>
      </c>
      <c r="N12" s="46">
        <v>1</v>
      </c>
    </row>
    <row r="13" spans="1:14" x14ac:dyDescent="0.2">
      <c r="A13" t="s">
        <v>55</v>
      </c>
      <c r="B13" t="s">
        <v>48</v>
      </c>
      <c r="C13" s="46">
        <v>1</v>
      </c>
      <c r="D13" s="46">
        <v>1</v>
      </c>
      <c r="E13" s="46">
        <v>1</v>
      </c>
      <c r="F13" s="46">
        <v>1</v>
      </c>
      <c r="G13" s="46">
        <v>1</v>
      </c>
      <c r="H13" s="46">
        <v>1</v>
      </c>
      <c r="I13" s="46">
        <v>1</v>
      </c>
      <c r="J13" s="46">
        <v>1</v>
      </c>
      <c r="K13" s="46">
        <v>1</v>
      </c>
      <c r="L13" s="46">
        <v>1</v>
      </c>
      <c r="M13" s="46">
        <v>1</v>
      </c>
      <c r="N13" s="46">
        <v>1</v>
      </c>
    </row>
    <row r="14" spans="1:14" x14ac:dyDescent="0.2">
      <c r="A14" t="s">
        <v>64</v>
      </c>
      <c r="B14" t="s">
        <v>48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1</v>
      </c>
      <c r="K14" s="46">
        <v>1</v>
      </c>
      <c r="L14" s="46">
        <v>1</v>
      </c>
      <c r="M14" s="46">
        <v>1</v>
      </c>
      <c r="N14" s="46">
        <v>1</v>
      </c>
    </row>
    <row r="15" spans="1:14" x14ac:dyDescent="0.2">
      <c r="A15" t="s">
        <v>56</v>
      </c>
      <c r="B15" t="s">
        <v>48</v>
      </c>
      <c r="C15" s="46">
        <v>0</v>
      </c>
      <c r="D15" s="46">
        <v>0</v>
      </c>
      <c r="E15" s="46">
        <v>0</v>
      </c>
      <c r="F15" s="46">
        <v>0</v>
      </c>
      <c r="G15" s="47">
        <v>1</v>
      </c>
      <c r="H15" s="47">
        <v>1</v>
      </c>
      <c r="I15" s="47">
        <v>1</v>
      </c>
      <c r="J15" s="47">
        <v>1</v>
      </c>
      <c r="K15" s="47">
        <v>1</v>
      </c>
      <c r="L15" s="47">
        <v>1</v>
      </c>
      <c r="M15" s="47">
        <v>1</v>
      </c>
      <c r="N15" s="47">
        <v>1</v>
      </c>
    </row>
    <row r="16" spans="1:14" x14ac:dyDescent="0.2">
      <c r="A16" t="s">
        <v>45</v>
      </c>
      <c r="B16" t="s">
        <v>48</v>
      </c>
      <c r="C16" s="46">
        <v>1</v>
      </c>
      <c r="D16" s="46">
        <v>1</v>
      </c>
      <c r="E16" s="46">
        <v>1</v>
      </c>
      <c r="F16" s="46">
        <v>1</v>
      </c>
      <c r="G16" s="46">
        <v>1</v>
      </c>
      <c r="H16" s="46">
        <v>1</v>
      </c>
      <c r="I16" s="46">
        <v>1</v>
      </c>
      <c r="J16" s="46">
        <v>1</v>
      </c>
      <c r="K16" s="46">
        <v>1</v>
      </c>
      <c r="L16" s="46">
        <v>1</v>
      </c>
      <c r="M16" s="46">
        <v>1</v>
      </c>
      <c r="N16" s="46">
        <v>1</v>
      </c>
    </row>
    <row r="17" spans="1:14" x14ac:dyDescent="0.2">
      <c r="A17" t="s">
        <v>62</v>
      </c>
      <c r="B17" t="s">
        <v>57</v>
      </c>
      <c r="C17" s="46">
        <v>1</v>
      </c>
      <c r="D17" s="46">
        <v>1</v>
      </c>
      <c r="E17" s="46">
        <v>1</v>
      </c>
      <c r="F17" s="46">
        <v>1</v>
      </c>
      <c r="G17" s="46">
        <v>1</v>
      </c>
      <c r="H17" s="46">
        <v>1</v>
      </c>
      <c r="I17" s="46">
        <v>1</v>
      </c>
      <c r="J17" s="46">
        <v>1</v>
      </c>
      <c r="K17" s="46">
        <v>1</v>
      </c>
      <c r="L17" s="46">
        <v>1</v>
      </c>
      <c r="M17" s="46">
        <v>1</v>
      </c>
      <c r="N17" s="46">
        <v>1</v>
      </c>
    </row>
    <row r="18" spans="1:14" x14ac:dyDescent="0.2">
      <c r="A18" t="s">
        <v>60</v>
      </c>
      <c r="B18" t="s">
        <v>57</v>
      </c>
      <c r="C18" s="46">
        <v>1</v>
      </c>
      <c r="D18" s="46">
        <v>1</v>
      </c>
      <c r="E18" s="46">
        <v>1</v>
      </c>
      <c r="F18" s="46">
        <v>1</v>
      </c>
      <c r="G18" s="46">
        <v>1</v>
      </c>
      <c r="H18" s="46">
        <v>1</v>
      </c>
      <c r="I18" s="46">
        <v>1</v>
      </c>
      <c r="J18" s="46">
        <v>1</v>
      </c>
      <c r="K18" s="46">
        <v>1</v>
      </c>
      <c r="L18" s="46">
        <v>1</v>
      </c>
      <c r="M18" s="46">
        <v>1</v>
      </c>
      <c r="N18" s="46">
        <v>1</v>
      </c>
    </row>
    <row r="19" spans="1:14" x14ac:dyDescent="0.2">
      <c r="A19" t="s">
        <v>54</v>
      </c>
      <c r="B19" t="s">
        <v>48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1</v>
      </c>
      <c r="I19" s="46">
        <v>1</v>
      </c>
      <c r="J19" s="46">
        <v>1</v>
      </c>
      <c r="K19" s="46">
        <v>1</v>
      </c>
      <c r="L19" s="46">
        <v>1</v>
      </c>
      <c r="M19" s="46">
        <v>1</v>
      </c>
      <c r="N19" s="46">
        <v>1</v>
      </c>
    </row>
    <row r="20" spans="1:14" x14ac:dyDescent="0.2">
      <c r="A20" t="s">
        <v>53</v>
      </c>
      <c r="B20" t="s">
        <v>57</v>
      </c>
      <c r="C20" s="46">
        <v>0</v>
      </c>
      <c r="D20" s="46">
        <v>0</v>
      </c>
      <c r="E20" s="46">
        <v>1</v>
      </c>
      <c r="F20" s="46">
        <v>1</v>
      </c>
      <c r="G20" s="46">
        <v>1</v>
      </c>
      <c r="H20" s="46">
        <v>1</v>
      </c>
      <c r="I20" s="46">
        <v>1</v>
      </c>
      <c r="J20" s="46">
        <v>1</v>
      </c>
      <c r="K20" s="46">
        <v>1</v>
      </c>
      <c r="L20" s="46">
        <v>1</v>
      </c>
      <c r="M20" s="46">
        <v>1</v>
      </c>
      <c r="N20" s="46">
        <v>1</v>
      </c>
    </row>
    <row r="21" spans="1:14" x14ac:dyDescent="0.2">
      <c r="A21" t="s">
        <v>44</v>
      </c>
      <c r="B21" t="s">
        <v>48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1</v>
      </c>
      <c r="I21" s="46">
        <v>1</v>
      </c>
      <c r="J21" s="46">
        <v>1</v>
      </c>
      <c r="K21" s="46">
        <v>1</v>
      </c>
      <c r="L21" s="46">
        <v>1</v>
      </c>
      <c r="M21" s="46">
        <v>1</v>
      </c>
      <c r="N21" s="46">
        <v>1</v>
      </c>
    </row>
    <row r="22" spans="1:14" x14ac:dyDescent="0.2">
      <c r="A22" t="s">
        <v>36</v>
      </c>
      <c r="B22" t="s">
        <v>48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1</v>
      </c>
      <c r="I22" s="46">
        <v>1</v>
      </c>
      <c r="J22" s="46">
        <v>1</v>
      </c>
      <c r="K22" s="46">
        <v>1</v>
      </c>
      <c r="L22" s="46">
        <v>1</v>
      </c>
      <c r="M22" s="46">
        <v>1</v>
      </c>
      <c r="N22" s="46">
        <v>1</v>
      </c>
    </row>
    <row r="23" spans="1:14" x14ac:dyDescent="0.2">
      <c r="A23" t="s">
        <v>65</v>
      </c>
      <c r="B23" t="s">
        <v>48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</v>
      </c>
      <c r="K23" s="46">
        <v>1</v>
      </c>
      <c r="L23" s="46">
        <v>1</v>
      </c>
      <c r="M23" s="46">
        <v>1</v>
      </c>
      <c r="N23" s="46">
        <v>1</v>
      </c>
    </row>
    <row r="24" spans="1:14" x14ac:dyDescent="0.2">
      <c r="A24" t="s">
        <v>68</v>
      </c>
      <c r="B24" t="s">
        <v>48</v>
      </c>
      <c r="C24" s="46">
        <v>1</v>
      </c>
      <c r="D24" s="46">
        <v>1</v>
      </c>
      <c r="E24" s="46">
        <v>1</v>
      </c>
      <c r="F24" s="46">
        <v>1</v>
      </c>
      <c r="G24" s="46">
        <v>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1</v>
      </c>
    </row>
    <row r="25" spans="1:14" x14ac:dyDescent="0.2">
      <c r="A25" t="s">
        <v>66</v>
      </c>
      <c r="B25" t="s">
        <v>48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1</v>
      </c>
      <c r="K25" s="46">
        <v>1</v>
      </c>
      <c r="L25" s="46">
        <v>1</v>
      </c>
      <c r="M25" s="46">
        <v>1</v>
      </c>
      <c r="N25" s="46">
        <v>1</v>
      </c>
    </row>
    <row r="26" spans="1:14" x14ac:dyDescent="0.2">
      <c r="A26" t="s">
        <v>39</v>
      </c>
      <c r="B26" t="s">
        <v>48</v>
      </c>
      <c r="C26" s="46">
        <v>0</v>
      </c>
      <c r="D26" s="46">
        <v>0</v>
      </c>
      <c r="E26" s="46">
        <v>0</v>
      </c>
      <c r="F26" s="46">
        <v>0</v>
      </c>
      <c r="G26" s="47">
        <v>1</v>
      </c>
      <c r="H26" s="47">
        <v>1</v>
      </c>
      <c r="I26" s="47">
        <v>1</v>
      </c>
      <c r="J26" s="47">
        <v>1</v>
      </c>
      <c r="K26" s="47">
        <v>1</v>
      </c>
      <c r="L26" s="47">
        <v>1</v>
      </c>
      <c r="M26" s="47">
        <v>1</v>
      </c>
      <c r="N26" s="47">
        <v>1</v>
      </c>
    </row>
    <row r="27" spans="1:14" x14ac:dyDescent="0.2">
      <c r="A27" t="s">
        <v>63</v>
      </c>
      <c r="B27" t="s">
        <v>57</v>
      </c>
      <c r="C27" s="46">
        <v>0</v>
      </c>
      <c r="D27" s="46">
        <v>0</v>
      </c>
      <c r="E27" s="46">
        <v>0</v>
      </c>
      <c r="F27" s="46">
        <v>1</v>
      </c>
      <c r="G27" s="46">
        <v>1</v>
      </c>
      <c r="H27" s="46">
        <v>1</v>
      </c>
      <c r="I27" s="46">
        <v>1</v>
      </c>
      <c r="J27" s="46">
        <v>1</v>
      </c>
      <c r="K27" s="46">
        <v>1</v>
      </c>
      <c r="L27" s="46">
        <v>1</v>
      </c>
      <c r="M27" s="46">
        <v>1</v>
      </c>
      <c r="N27" s="46">
        <v>1</v>
      </c>
    </row>
    <row r="28" spans="1:14" x14ac:dyDescent="0.2">
      <c r="A28" t="s">
        <v>34</v>
      </c>
      <c r="B28" t="s">
        <v>48</v>
      </c>
      <c r="C28" s="46">
        <v>1</v>
      </c>
      <c r="D28" s="46">
        <v>1</v>
      </c>
      <c r="E28" s="46">
        <v>1</v>
      </c>
      <c r="F28" s="46">
        <v>1</v>
      </c>
      <c r="G28" s="46">
        <v>1</v>
      </c>
      <c r="H28" s="46">
        <v>1</v>
      </c>
      <c r="I28" s="46">
        <v>1</v>
      </c>
      <c r="J28" s="46">
        <v>1</v>
      </c>
      <c r="K28" s="46">
        <v>1</v>
      </c>
      <c r="L28" s="46">
        <v>1</v>
      </c>
      <c r="M28" s="46">
        <v>1</v>
      </c>
      <c r="N28" s="46">
        <v>1</v>
      </c>
    </row>
    <row r="29" spans="1:14" x14ac:dyDescent="0.2">
      <c r="A29" t="s">
        <v>40</v>
      </c>
      <c r="B29" t="s">
        <v>48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</v>
      </c>
      <c r="K29" s="46">
        <v>1</v>
      </c>
      <c r="L29" s="46">
        <v>1</v>
      </c>
      <c r="M29" s="46">
        <v>1</v>
      </c>
      <c r="N29" s="46">
        <v>1</v>
      </c>
    </row>
    <row r="30" spans="1:14" x14ac:dyDescent="0.2">
      <c r="A30" t="s">
        <v>42</v>
      </c>
      <c r="B30" t="s">
        <v>48</v>
      </c>
      <c r="C30" s="46">
        <v>1</v>
      </c>
      <c r="D30" s="46">
        <v>1</v>
      </c>
      <c r="E30" s="46">
        <v>1</v>
      </c>
      <c r="F30" s="46">
        <v>1</v>
      </c>
      <c r="G30" s="46">
        <v>1</v>
      </c>
      <c r="H30" s="46">
        <v>1</v>
      </c>
      <c r="I30" s="46">
        <v>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</row>
    <row r="31" spans="1:14" x14ac:dyDescent="0.2">
      <c r="A31" t="s">
        <v>61</v>
      </c>
      <c r="B31" t="s">
        <v>57</v>
      </c>
      <c r="C31" s="46">
        <v>1</v>
      </c>
      <c r="D31" s="46">
        <v>1</v>
      </c>
      <c r="E31" s="46">
        <v>1</v>
      </c>
      <c r="F31" s="46">
        <v>1</v>
      </c>
      <c r="G31" s="46">
        <v>1</v>
      </c>
      <c r="H31" s="46">
        <v>1</v>
      </c>
      <c r="I31" s="46">
        <v>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</row>
    <row r="32" spans="1:14" x14ac:dyDescent="0.2">
      <c r="A32" t="s">
        <v>59</v>
      </c>
      <c r="B32" t="s">
        <v>57</v>
      </c>
      <c r="C32" s="46">
        <v>1</v>
      </c>
      <c r="D32" s="46">
        <v>1</v>
      </c>
      <c r="E32" s="46">
        <v>1</v>
      </c>
      <c r="F32" s="46">
        <v>1</v>
      </c>
      <c r="G32" s="46">
        <v>1</v>
      </c>
      <c r="H32" s="46">
        <v>1</v>
      </c>
      <c r="I32" s="46">
        <v>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</row>
    <row r="33" spans="1:14" x14ac:dyDescent="0.2">
      <c r="A33" t="s">
        <v>70</v>
      </c>
      <c r="B33" t="s">
        <v>48</v>
      </c>
      <c r="C33" s="46">
        <v>1</v>
      </c>
      <c r="D33" s="46">
        <v>1</v>
      </c>
      <c r="E33" s="46">
        <v>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</row>
    <row r="34" spans="1:14" x14ac:dyDescent="0.2">
      <c r="A34" s="61" t="s">
        <v>67</v>
      </c>
      <c r="B34" t="s">
        <v>57</v>
      </c>
      <c r="C34" s="46">
        <v>1</v>
      </c>
      <c r="D34" s="46">
        <v>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1</v>
      </c>
      <c r="M34" s="46">
        <v>1</v>
      </c>
      <c r="N34" s="46">
        <v>1</v>
      </c>
    </row>
    <row r="35" spans="1:14" x14ac:dyDescent="0.2">
      <c r="A35" t="s">
        <v>69</v>
      </c>
      <c r="B35" t="s">
        <v>48</v>
      </c>
      <c r="C35" s="46">
        <v>1</v>
      </c>
      <c r="D35" s="46">
        <v>1</v>
      </c>
      <c r="E35" s="46">
        <v>1</v>
      </c>
      <c r="F35" s="46">
        <v>1</v>
      </c>
      <c r="G35" s="46">
        <v>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</row>
    <row r="36" spans="1:14" x14ac:dyDescent="0.2">
      <c r="A36" t="s">
        <v>38</v>
      </c>
      <c r="B36" t="s">
        <v>48</v>
      </c>
      <c r="C36" s="46">
        <v>1</v>
      </c>
      <c r="D36" s="46">
        <v>1</v>
      </c>
      <c r="E36" s="46">
        <v>1</v>
      </c>
      <c r="F36" s="46">
        <v>1</v>
      </c>
      <c r="G36" s="46">
        <v>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</row>
    <row r="37" spans="1:14" x14ac:dyDescent="0.2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spans="1:14" x14ac:dyDescent="0.2">
      <c r="A38" s="1" t="s">
        <v>1</v>
      </c>
      <c r="B38" s="1"/>
      <c r="C38" s="49">
        <f>SUMIFS(C$2:C$36,$B$2:$B$36,"Consultant")</f>
        <v>16</v>
      </c>
      <c r="D38" s="49">
        <f t="shared" ref="D38:N38" si="1">SUMIFS(D$2:D$36,$B$2:$B$36,"Consultant")</f>
        <v>16</v>
      </c>
      <c r="E38" s="49">
        <f t="shared" si="1"/>
        <v>16</v>
      </c>
      <c r="F38" s="49">
        <f t="shared" si="1"/>
        <v>17</v>
      </c>
      <c r="G38" s="49">
        <f t="shared" si="1"/>
        <v>18</v>
      </c>
      <c r="H38" s="49">
        <f t="shared" si="1"/>
        <v>18</v>
      </c>
      <c r="I38" s="49">
        <f t="shared" si="1"/>
        <v>18</v>
      </c>
      <c r="J38" s="49">
        <f t="shared" si="1"/>
        <v>19</v>
      </c>
      <c r="K38" s="49">
        <f t="shared" si="1"/>
        <v>19</v>
      </c>
      <c r="L38" s="49">
        <f t="shared" si="1"/>
        <v>19</v>
      </c>
      <c r="M38" s="49">
        <f t="shared" si="1"/>
        <v>19</v>
      </c>
      <c r="N38" s="49">
        <f t="shared" si="1"/>
        <v>20</v>
      </c>
    </row>
    <row r="39" spans="1:14" x14ac:dyDescent="0.2">
      <c r="A39" s="1" t="s">
        <v>5</v>
      </c>
      <c r="B39" s="1"/>
      <c r="C39" s="49">
        <f>SUMIFS(C$2:C$36,$B$2:$B$36,"Specialist")</f>
        <v>5</v>
      </c>
      <c r="D39" s="49">
        <f t="shared" ref="D39:N39" si="2">SUMIFS(D$2:D$36,$B$2:$B$36,"Specialist")</f>
        <v>5</v>
      </c>
      <c r="E39" s="49">
        <f t="shared" si="2"/>
        <v>5</v>
      </c>
      <c r="F39" s="49">
        <f t="shared" si="2"/>
        <v>6</v>
      </c>
      <c r="G39" s="49">
        <f t="shared" si="2"/>
        <v>6</v>
      </c>
      <c r="H39" s="49">
        <f t="shared" si="2"/>
        <v>6</v>
      </c>
      <c r="I39" s="49">
        <f t="shared" si="2"/>
        <v>6</v>
      </c>
      <c r="J39" s="49">
        <f t="shared" si="2"/>
        <v>6</v>
      </c>
      <c r="K39" s="49">
        <f t="shared" si="2"/>
        <v>6</v>
      </c>
      <c r="L39" s="49">
        <f t="shared" si="2"/>
        <v>7</v>
      </c>
      <c r="M39" s="49">
        <f t="shared" si="2"/>
        <v>7</v>
      </c>
      <c r="N39" s="49">
        <f t="shared" si="2"/>
        <v>7</v>
      </c>
    </row>
    <row r="42" spans="1:14" x14ac:dyDescent="0.2"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2"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</row>
  </sheetData>
  <autoFilter ref="A1:N36" xr:uid="{054DA24B-7A6C-4525-933E-E7C91F5D362B}"/>
  <sortState xmlns:xlrd2="http://schemas.microsoft.com/office/spreadsheetml/2017/richdata2" ref="A6:B24">
    <sortCondition ref="A6:A2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A941-8A9F-4EFB-BCFD-7DE0FC0DE4E9}">
  <dimension ref="B2:T62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14" width="10.7109375" customWidth="1"/>
    <col min="16" max="16" width="10.7109375" style="9" customWidth="1"/>
    <col min="19" max="19" width="8.7109375" style="9" customWidth="1"/>
  </cols>
  <sheetData>
    <row r="2" spans="2:20" x14ac:dyDescent="0.2">
      <c r="C2" s="63" t="s">
        <v>99</v>
      </c>
      <c r="D2" s="63" t="s">
        <v>99</v>
      </c>
      <c r="E2" s="63" t="s">
        <v>99</v>
      </c>
      <c r="F2" s="64" t="s">
        <v>100</v>
      </c>
      <c r="G2" s="64" t="s">
        <v>100</v>
      </c>
      <c r="H2" s="64" t="s">
        <v>100</v>
      </c>
      <c r="I2" s="64" t="s">
        <v>100</v>
      </c>
      <c r="J2" s="64" t="s">
        <v>100</v>
      </c>
      <c r="K2" s="64" t="s">
        <v>100</v>
      </c>
      <c r="L2" s="64" t="s">
        <v>100</v>
      </c>
      <c r="M2" s="64" t="s">
        <v>100</v>
      </c>
      <c r="N2" s="64" t="s">
        <v>100</v>
      </c>
    </row>
    <row r="3" spans="2:20" x14ac:dyDescent="0.2">
      <c r="B3" s="1" t="s">
        <v>0</v>
      </c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7" t="s">
        <v>8</v>
      </c>
      <c r="S3" s="53" t="s">
        <v>91</v>
      </c>
    </row>
    <row r="4" spans="2:20" x14ac:dyDescent="0.2">
      <c r="B4" t="s">
        <v>9</v>
      </c>
      <c r="C4" s="2">
        <f>NETWORKDAYS(C3,EOMONTH(C3,0)+1,$P$4:$P$26)*8</f>
        <v>168</v>
      </c>
      <c r="D4" s="2">
        <f t="shared" ref="D4:N4" si="1">NETWORKDAYS(D3,EOMONTH(D3,0)+1,$P$4:$P$26)*8</f>
        <v>160</v>
      </c>
      <c r="E4" s="2">
        <f t="shared" si="1"/>
        <v>184</v>
      </c>
      <c r="F4" s="2">
        <f t="shared" si="1"/>
        <v>160</v>
      </c>
      <c r="G4" s="2">
        <f t="shared" si="1"/>
        <v>184</v>
      </c>
      <c r="H4" s="2">
        <f t="shared" si="1"/>
        <v>168</v>
      </c>
      <c r="I4" s="2">
        <f t="shared" si="1"/>
        <v>160</v>
      </c>
      <c r="J4" s="2">
        <f t="shared" si="1"/>
        <v>184</v>
      </c>
      <c r="K4" s="2">
        <f t="shared" si="1"/>
        <v>160</v>
      </c>
      <c r="L4" s="2">
        <f t="shared" si="1"/>
        <v>176</v>
      </c>
      <c r="M4" s="2">
        <f t="shared" si="1"/>
        <v>168</v>
      </c>
      <c r="N4" s="2">
        <f t="shared" si="1"/>
        <v>168</v>
      </c>
      <c r="P4" s="8">
        <v>44928</v>
      </c>
      <c r="S4" s="52">
        <v>0.09</v>
      </c>
      <c r="T4" t="s">
        <v>89</v>
      </c>
    </row>
    <row r="5" spans="2:20" x14ac:dyDescent="0.2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8">
        <v>44942</v>
      </c>
      <c r="S5" s="52">
        <v>0.13</v>
      </c>
      <c r="T5" t="s">
        <v>90</v>
      </c>
    </row>
    <row r="6" spans="2:20" x14ac:dyDescent="0.2">
      <c r="B6" t="s">
        <v>1</v>
      </c>
      <c r="C6" s="2">
        <v>16</v>
      </c>
      <c r="D6" s="2">
        <v>16</v>
      </c>
      <c r="E6" s="2">
        <v>16</v>
      </c>
      <c r="F6" s="2">
        <v>17</v>
      </c>
      <c r="G6" s="2">
        <v>18</v>
      </c>
      <c r="H6" s="2">
        <v>18</v>
      </c>
      <c r="I6" s="2">
        <v>18</v>
      </c>
      <c r="J6" s="2">
        <v>19</v>
      </c>
      <c r="K6" s="2">
        <v>19</v>
      </c>
      <c r="L6" s="2">
        <v>19</v>
      </c>
      <c r="M6" s="2">
        <v>19</v>
      </c>
      <c r="N6" s="2">
        <v>20</v>
      </c>
      <c r="P6" s="8">
        <v>44977</v>
      </c>
      <c r="S6" s="52">
        <v>1.2500000000000001E-2</v>
      </c>
      <c r="T6" t="s">
        <v>81</v>
      </c>
    </row>
    <row r="7" spans="2:20" x14ac:dyDescent="0.2">
      <c r="B7" t="s">
        <v>2</v>
      </c>
      <c r="C7" s="5">
        <v>225</v>
      </c>
      <c r="D7" s="5">
        <v>225</v>
      </c>
      <c r="E7" s="5">
        <v>225</v>
      </c>
      <c r="F7" s="5">
        <v>235</v>
      </c>
      <c r="G7" s="5">
        <v>235</v>
      </c>
      <c r="H7" s="5">
        <v>235</v>
      </c>
      <c r="I7" s="5">
        <v>235</v>
      </c>
      <c r="J7" s="5">
        <v>235</v>
      </c>
      <c r="K7" s="5">
        <v>235</v>
      </c>
      <c r="L7" s="5">
        <v>235</v>
      </c>
      <c r="M7" s="5">
        <v>235</v>
      </c>
      <c r="N7" s="5">
        <v>235</v>
      </c>
      <c r="P7" s="8">
        <v>45026</v>
      </c>
      <c r="S7" s="57">
        <f>SUMPRODUCT('Prof Svcs - Plan'!C47:N47,'Prof Svcs - Plan'!C44:N44)/SUM('Prof Svcs - Plan'!C44:N44)</f>
        <v>0.73934289786513852</v>
      </c>
      <c r="T7" s="58" t="s">
        <v>92</v>
      </c>
    </row>
    <row r="8" spans="2:20" x14ac:dyDescent="0.2">
      <c r="B8" t="s">
        <v>3</v>
      </c>
      <c r="C8" s="2">
        <f>C6*8</f>
        <v>128</v>
      </c>
      <c r="D8" s="2">
        <f t="shared" ref="D8:N8" si="2">D6*8</f>
        <v>128</v>
      </c>
      <c r="E8" s="2">
        <f t="shared" si="2"/>
        <v>128</v>
      </c>
      <c r="F8" s="2">
        <f t="shared" si="2"/>
        <v>136</v>
      </c>
      <c r="G8" s="2">
        <f t="shared" si="2"/>
        <v>144</v>
      </c>
      <c r="H8" s="2">
        <f t="shared" si="2"/>
        <v>144</v>
      </c>
      <c r="I8" s="2">
        <f t="shared" si="2"/>
        <v>144</v>
      </c>
      <c r="J8" s="2">
        <f t="shared" si="2"/>
        <v>152</v>
      </c>
      <c r="K8" s="2">
        <f t="shared" si="2"/>
        <v>152</v>
      </c>
      <c r="L8" s="2">
        <f t="shared" si="2"/>
        <v>152</v>
      </c>
      <c r="M8" s="2">
        <f t="shared" si="2"/>
        <v>152</v>
      </c>
      <c r="N8" s="2">
        <f t="shared" si="2"/>
        <v>160</v>
      </c>
      <c r="P8" s="8">
        <v>45075</v>
      </c>
    </row>
    <row r="9" spans="2:20" x14ac:dyDescent="0.2">
      <c r="B9" t="s">
        <v>4</v>
      </c>
      <c r="C9" s="6">
        <f>6/8</f>
        <v>0.75</v>
      </c>
      <c r="D9" s="6">
        <f t="shared" ref="D9:N9" si="3">6/8</f>
        <v>0.75</v>
      </c>
      <c r="E9" s="6">
        <f t="shared" si="3"/>
        <v>0.75</v>
      </c>
      <c r="F9" s="6">
        <f t="shared" si="3"/>
        <v>0.75</v>
      </c>
      <c r="G9" s="6">
        <f t="shared" si="3"/>
        <v>0.75</v>
      </c>
      <c r="H9" s="6">
        <f t="shared" si="3"/>
        <v>0.75</v>
      </c>
      <c r="I9" s="6">
        <f t="shared" si="3"/>
        <v>0.75</v>
      </c>
      <c r="J9" s="6">
        <f t="shared" si="3"/>
        <v>0.75</v>
      </c>
      <c r="K9" s="6">
        <f t="shared" si="3"/>
        <v>0.75</v>
      </c>
      <c r="L9" s="6">
        <f t="shared" si="3"/>
        <v>0.75</v>
      </c>
      <c r="M9" s="6">
        <f t="shared" si="3"/>
        <v>0.75</v>
      </c>
      <c r="N9" s="6">
        <f t="shared" si="3"/>
        <v>0.75</v>
      </c>
      <c r="P9" s="8">
        <v>45096</v>
      </c>
      <c r="S9" s="56">
        <f>0.1625*C7</f>
        <v>36.5625</v>
      </c>
      <c r="T9" t="s">
        <v>85</v>
      </c>
    </row>
    <row r="10" spans="2:20" x14ac:dyDescent="0.2">
      <c r="B10" s="51" t="s">
        <v>7</v>
      </c>
      <c r="C10" s="23">
        <f>5/8</f>
        <v>0.625</v>
      </c>
      <c r="D10" s="23">
        <f t="shared" ref="D10:N10" si="4">5/8</f>
        <v>0.625</v>
      </c>
      <c r="E10" s="23">
        <f t="shared" si="4"/>
        <v>0.625</v>
      </c>
      <c r="F10" s="23">
        <f t="shared" si="4"/>
        <v>0.625</v>
      </c>
      <c r="G10" s="23">
        <f t="shared" si="4"/>
        <v>0.625</v>
      </c>
      <c r="H10" s="23">
        <f t="shared" si="4"/>
        <v>0.625</v>
      </c>
      <c r="I10" s="23">
        <f t="shared" si="4"/>
        <v>0.625</v>
      </c>
      <c r="J10" s="23">
        <f t="shared" si="4"/>
        <v>0.625</v>
      </c>
      <c r="K10" s="23">
        <f t="shared" si="4"/>
        <v>0.625</v>
      </c>
      <c r="L10" s="23">
        <f t="shared" si="4"/>
        <v>0.625</v>
      </c>
      <c r="M10" s="23">
        <f t="shared" si="4"/>
        <v>0.625</v>
      </c>
      <c r="N10" s="23">
        <f t="shared" si="4"/>
        <v>0.625</v>
      </c>
      <c r="P10" s="8">
        <v>45110</v>
      </c>
      <c r="S10" s="56">
        <f>0.1625*C14</f>
        <v>51.1875</v>
      </c>
      <c r="T10" t="s">
        <v>84</v>
      </c>
    </row>
    <row r="11" spans="2:20" x14ac:dyDescent="0.2">
      <c r="B11" s="1" t="s">
        <v>75</v>
      </c>
      <c r="C11" s="14">
        <f>((C4*C6)-C8)*C7*C10</f>
        <v>360000</v>
      </c>
      <c r="D11" s="14">
        <f t="shared" ref="D11:N11" si="5">((D4*D6)-D8)*D7*D10</f>
        <v>342000</v>
      </c>
      <c r="E11" s="14">
        <f t="shared" si="5"/>
        <v>396000</v>
      </c>
      <c r="F11" s="14">
        <f t="shared" si="5"/>
        <v>379525</v>
      </c>
      <c r="G11" s="14">
        <f t="shared" si="5"/>
        <v>465300</v>
      </c>
      <c r="H11" s="14">
        <f t="shared" si="5"/>
        <v>423000</v>
      </c>
      <c r="I11" s="14">
        <f t="shared" si="5"/>
        <v>401850</v>
      </c>
      <c r="J11" s="14">
        <f t="shared" si="5"/>
        <v>491150</v>
      </c>
      <c r="K11" s="14">
        <f t="shared" si="5"/>
        <v>424175</v>
      </c>
      <c r="L11" s="14">
        <f t="shared" si="5"/>
        <v>468825</v>
      </c>
      <c r="M11" s="14">
        <f t="shared" si="5"/>
        <v>446500</v>
      </c>
      <c r="N11" s="14">
        <f t="shared" si="5"/>
        <v>470000</v>
      </c>
      <c r="P11" s="8">
        <v>45111</v>
      </c>
      <c r="S11" s="52">
        <f>1/24</f>
        <v>4.1666666666666664E-2</v>
      </c>
      <c r="T11" t="s">
        <v>86</v>
      </c>
    </row>
    <row r="12" spans="2:20" x14ac:dyDescent="0.2">
      <c r="P12" s="8">
        <v>45149</v>
      </c>
      <c r="S12" s="57">
        <f>SUMPRODUCT('Prof Svcs - Plan'!C55:N55,'Prof Svcs - Plan'!C52:N52)/SUM('Prof Svcs - Plan'!C52:N52)</f>
        <v>0.19820568679190623</v>
      </c>
      <c r="T12" s="58" t="s">
        <v>93</v>
      </c>
    </row>
    <row r="13" spans="2:20" x14ac:dyDescent="0.2">
      <c r="B13" t="s">
        <v>5</v>
      </c>
      <c r="C13" s="2">
        <v>5</v>
      </c>
      <c r="D13" s="2">
        <v>5</v>
      </c>
      <c r="E13" s="2">
        <v>5</v>
      </c>
      <c r="F13" s="2">
        <v>6</v>
      </c>
      <c r="G13" s="2">
        <v>6</v>
      </c>
      <c r="H13" s="2">
        <v>6</v>
      </c>
      <c r="I13" s="2">
        <v>6</v>
      </c>
      <c r="J13" s="2">
        <v>6</v>
      </c>
      <c r="K13" s="2">
        <v>6</v>
      </c>
      <c r="L13" s="2">
        <v>7</v>
      </c>
      <c r="M13" s="2">
        <v>7</v>
      </c>
      <c r="N13" s="2">
        <v>7</v>
      </c>
      <c r="P13" s="8">
        <v>45173</v>
      </c>
    </row>
    <row r="14" spans="2:20" x14ac:dyDescent="0.2">
      <c r="B14" t="s">
        <v>6</v>
      </c>
      <c r="C14" s="5">
        <v>315</v>
      </c>
      <c r="D14" s="5">
        <v>315</v>
      </c>
      <c r="E14" s="5">
        <v>315</v>
      </c>
      <c r="F14" s="5">
        <v>325</v>
      </c>
      <c r="G14" s="5">
        <v>325</v>
      </c>
      <c r="H14" s="5">
        <v>325</v>
      </c>
      <c r="I14" s="5">
        <v>325</v>
      </c>
      <c r="J14" s="5">
        <v>325</v>
      </c>
      <c r="K14" s="5">
        <v>325</v>
      </c>
      <c r="L14" s="5">
        <v>325</v>
      </c>
      <c r="M14" s="5">
        <v>325</v>
      </c>
      <c r="N14" s="5">
        <v>325</v>
      </c>
      <c r="P14" s="8">
        <v>45208</v>
      </c>
    </row>
    <row r="15" spans="2:20" x14ac:dyDescent="0.2">
      <c r="B15" t="s">
        <v>3</v>
      </c>
      <c r="C15" s="2">
        <f>C13*8</f>
        <v>40</v>
      </c>
      <c r="D15" s="2">
        <f t="shared" ref="D15:N15" si="6">D13*8</f>
        <v>40</v>
      </c>
      <c r="E15" s="2">
        <f t="shared" si="6"/>
        <v>40</v>
      </c>
      <c r="F15" s="2">
        <f t="shared" si="6"/>
        <v>48</v>
      </c>
      <c r="G15" s="2">
        <f t="shared" si="6"/>
        <v>48</v>
      </c>
      <c r="H15" s="2">
        <f t="shared" si="6"/>
        <v>48</v>
      </c>
      <c r="I15" s="2">
        <f t="shared" si="6"/>
        <v>48</v>
      </c>
      <c r="J15" s="2">
        <f t="shared" si="6"/>
        <v>48</v>
      </c>
      <c r="K15" s="2">
        <f t="shared" si="6"/>
        <v>48</v>
      </c>
      <c r="L15" s="2">
        <f t="shared" si="6"/>
        <v>56</v>
      </c>
      <c r="M15" s="2">
        <f t="shared" si="6"/>
        <v>56</v>
      </c>
      <c r="N15" s="2">
        <f t="shared" si="6"/>
        <v>56</v>
      </c>
      <c r="P15" s="8">
        <v>45253</v>
      </c>
    </row>
    <row r="16" spans="2:20" x14ac:dyDescent="0.2">
      <c r="B16" s="51" t="s">
        <v>7</v>
      </c>
      <c r="C16" s="23">
        <f>3/8</f>
        <v>0.375</v>
      </c>
      <c r="D16" s="23">
        <f t="shared" ref="D16:N16" si="7">3/8</f>
        <v>0.375</v>
      </c>
      <c r="E16" s="23">
        <f t="shared" si="7"/>
        <v>0.375</v>
      </c>
      <c r="F16" s="23">
        <f t="shared" si="7"/>
        <v>0.375</v>
      </c>
      <c r="G16" s="23">
        <f t="shared" si="7"/>
        <v>0.375</v>
      </c>
      <c r="H16" s="23">
        <f t="shared" si="7"/>
        <v>0.375</v>
      </c>
      <c r="I16" s="23">
        <f t="shared" si="7"/>
        <v>0.375</v>
      </c>
      <c r="J16" s="23">
        <f t="shared" si="7"/>
        <v>0.375</v>
      </c>
      <c r="K16" s="23">
        <f t="shared" si="7"/>
        <v>0.375</v>
      </c>
      <c r="L16" s="23">
        <f t="shared" si="7"/>
        <v>0.375</v>
      </c>
      <c r="M16" s="23">
        <f t="shared" si="7"/>
        <v>0.375</v>
      </c>
      <c r="N16" s="23">
        <f t="shared" si="7"/>
        <v>0.375</v>
      </c>
      <c r="P16" s="8">
        <v>45254</v>
      </c>
    </row>
    <row r="17" spans="2:19" x14ac:dyDescent="0.2">
      <c r="B17" s="1" t="s">
        <v>75</v>
      </c>
      <c r="C17" s="14">
        <f>((C4*C13)-C15)*C14*C16</f>
        <v>94500</v>
      </c>
      <c r="D17" s="14">
        <f t="shared" ref="D17:N17" si="8">((D4*D13)-D15)*D14*D16</f>
        <v>89775</v>
      </c>
      <c r="E17" s="14">
        <f t="shared" si="8"/>
        <v>103950</v>
      </c>
      <c r="F17" s="14">
        <f t="shared" si="8"/>
        <v>111150</v>
      </c>
      <c r="G17" s="14">
        <f t="shared" si="8"/>
        <v>128700</v>
      </c>
      <c r="H17" s="14">
        <f t="shared" si="8"/>
        <v>117000</v>
      </c>
      <c r="I17" s="14">
        <f t="shared" si="8"/>
        <v>111150</v>
      </c>
      <c r="J17" s="14">
        <f t="shared" si="8"/>
        <v>128700</v>
      </c>
      <c r="K17" s="14">
        <f t="shared" si="8"/>
        <v>111150</v>
      </c>
      <c r="L17" s="14">
        <f t="shared" si="8"/>
        <v>143325</v>
      </c>
      <c r="M17" s="14">
        <f t="shared" si="8"/>
        <v>136500</v>
      </c>
      <c r="N17" s="14">
        <f t="shared" si="8"/>
        <v>136500</v>
      </c>
      <c r="P17" s="8">
        <v>45285</v>
      </c>
    </row>
    <row r="19" spans="2:19" x14ac:dyDescent="0.2">
      <c r="B19" s="1" t="s">
        <v>17</v>
      </c>
    </row>
    <row r="20" spans="2:19" x14ac:dyDescent="0.2">
      <c r="B20" t="s">
        <v>10</v>
      </c>
      <c r="C20" s="4">
        <f>SUM(C21:C22)</f>
        <v>918241.81085671578</v>
      </c>
      <c r="D20" s="4">
        <f t="shared" ref="D20:N20" si="9">SUM(D21:D22)</f>
        <v>1098822.1071652398</v>
      </c>
      <c r="E20" s="4">
        <f t="shared" si="9"/>
        <v>1389108.8186953156</v>
      </c>
      <c r="F20" s="4">
        <f t="shared" si="9"/>
        <v>1060457.1162919106</v>
      </c>
      <c r="G20" s="4">
        <f t="shared" si="9"/>
        <v>1080187.977512805</v>
      </c>
      <c r="H20" s="4">
        <f t="shared" si="9"/>
        <v>1449758.253748731</v>
      </c>
      <c r="I20" s="4">
        <f t="shared" si="9"/>
        <v>1270033.6214879407</v>
      </c>
      <c r="J20" s="4">
        <f t="shared" si="9"/>
        <v>1137642.609668985</v>
      </c>
      <c r="K20" s="4">
        <f t="shared" si="9"/>
        <v>1505986.0966062024</v>
      </c>
      <c r="L20" s="4">
        <f t="shared" si="9"/>
        <v>825220.26826456212</v>
      </c>
      <c r="M20" s="4">
        <f t="shared" si="9"/>
        <v>1232003.1532279779</v>
      </c>
      <c r="N20" s="4">
        <f t="shared" si="9"/>
        <v>1753899.7673868714</v>
      </c>
    </row>
    <row r="21" spans="2:19" s="12" customFormat="1" ht="11.25" x14ac:dyDescent="0.2">
      <c r="B21" s="10" t="s">
        <v>11</v>
      </c>
      <c r="C21" s="11">
        <v>622514.35130164481</v>
      </c>
      <c r="D21" s="11">
        <v>935097.23442405579</v>
      </c>
      <c r="E21" s="11">
        <v>1179236.180272124</v>
      </c>
      <c r="F21" s="11">
        <v>777579.95049804996</v>
      </c>
      <c r="G21" s="11">
        <v>753453.09429011669</v>
      </c>
      <c r="H21" s="11">
        <v>1159929.2819288557</v>
      </c>
      <c r="I21" s="11">
        <v>1011896.7065513673</v>
      </c>
      <c r="J21" s="11">
        <v>874189.60777134181</v>
      </c>
      <c r="K21" s="11">
        <v>1000548.9055383139</v>
      </c>
      <c r="L21" s="11">
        <v>766538.84680967382</v>
      </c>
      <c r="M21" s="11">
        <v>1069760.2684737833</v>
      </c>
      <c r="N21" s="11">
        <v>1248360.343877424</v>
      </c>
      <c r="P21" s="13"/>
      <c r="S21" s="60"/>
    </row>
    <row r="22" spans="2:19" s="12" customFormat="1" ht="11.25" x14ac:dyDescent="0.2">
      <c r="B22" s="10" t="s">
        <v>12</v>
      </c>
      <c r="C22" s="11">
        <v>295727.45955507096</v>
      </c>
      <c r="D22" s="11">
        <v>163724.87274118402</v>
      </c>
      <c r="E22" s="11">
        <v>209872.6384231917</v>
      </c>
      <c r="F22" s="11">
        <v>282877.16579386062</v>
      </c>
      <c r="G22" s="11">
        <v>326734.8832226884</v>
      </c>
      <c r="H22" s="11">
        <v>289828.97181987535</v>
      </c>
      <c r="I22" s="11">
        <v>258136.91493657327</v>
      </c>
      <c r="J22" s="11">
        <v>263453.00189764332</v>
      </c>
      <c r="K22" s="11">
        <v>505437.1910678884</v>
      </c>
      <c r="L22" s="11">
        <v>58681.421454888339</v>
      </c>
      <c r="M22" s="11">
        <v>162242.88475419473</v>
      </c>
      <c r="N22" s="11">
        <v>505539.42350944749</v>
      </c>
      <c r="P22" s="13"/>
      <c r="S22" s="13"/>
    </row>
    <row r="23" spans="2:19" x14ac:dyDescent="0.2">
      <c r="B23" t="s">
        <v>13</v>
      </c>
      <c r="C23" s="4">
        <f>SUM(C24:C25)</f>
        <v>721374.25132581848</v>
      </c>
      <c r="D23" s="4">
        <f t="shared" ref="D23:N23" si="10">SUM(D24:D25)</f>
        <v>595242.65474325209</v>
      </c>
      <c r="E23" s="4">
        <f t="shared" si="10"/>
        <v>1249710.3438458135</v>
      </c>
      <c r="F23" s="4">
        <f t="shared" si="10"/>
        <v>708675.28488725773</v>
      </c>
      <c r="G23" s="4">
        <f t="shared" si="10"/>
        <v>903837.01582346321</v>
      </c>
      <c r="H23" s="4">
        <f t="shared" si="10"/>
        <v>1378195.5446574034</v>
      </c>
      <c r="I23" s="4">
        <f t="shared" si="10"/>
        <v>1037250.3520580088</v>
      </c>
      <c r="J23" s="4">
        <f t="shared" si="10"/>
        <v>767663.40366682317</v>
      </c>
      <c r="K23" s="4">
        <f t="shared" si="10"/>
        <v>1064955.3437205083</v>
      </c>
      <c r="L23" s="4">
        <f t="shared" si="10"/>
        <v>978466.69816156151</v>
      </c>
      <c r="M23" s="4">
        <f t="shared" si="10"/>
        <v>1432889.9008914893</v>
      </c>
      <c r="N23" s="4">
        <f t="shared" si="10"/>
        <v>944729.99244707869</v>
      </c>
    </row>
    <row r="24" spans="2:19" s="12" customFormat="1" ht="11.25" x14ac:dyDescent="0.2">
      <c r="B24" s="10" t="s">
        <v>11</v>
      </c>
      <c r="C24" s="11">
        <v>280387.13024097512</v>
      </c>
      <c r="D24" s="11">
        <v>371671.55899892846</v>
      </c>
      <c r="E24" s="11">
        <v>506998.66365879396</v>
      </c>
      <c r="F24" s="11">
        <v>513002.39174325723</v>
      </c>
      <c r="G24" s="11">
        <v>588858.86338006426</v>
      </c>
      <c r="H24" s="11">
        <v>1062092.8353568551</v>
      </c>
      <c r="I24" s="11">
        <v>792710.35184878763</v>
      </c>
      <c r="J24" s="11">
        <v>683730.56914685224</v>
      </c>
      <c r="K24" s="11">
        <v>798742.06590077106</v>
      </c>
      <c r="L24" s="11">
        <v>699678.83003006235</v>
      </c>
      <c r="M24" s="11">
        <v>1139585.0260586068</v>
      </c>
      <c r="N24" s="11">
        <v>650505.02564016473</v>
      </c>
      <c r="P24" s="13"/>
      <c r="S24" s="13"/>
    </row>
    <row r="25" spans="2:19" s="12" customFormat="1" ht="11.25" x14ac:dyDescent="0.2">
      <c r="B25" s="10" t="s">
        <v>12</v>
      </c>
      <c r="C25" s="11">
        <v>440987.1210848433</v>
      </c>
      <c r="D25" s="11">
        <v>223571.0957443236</v>
      </c>
      <c r="E25" s="11">
        <v>742711.68018701964</v>
      </c>
      <c r="F25" s="11">
        <v>195672.89314400047</v>
      </c>
      <c r="G25" s="11">
        <v>314978.1524433989</v>
      </c>
      <c r="H25" s="11">
        <v>316102.7093005483</v>
      </c>
      <c r="I25" s="11">
        <v>244540.00020922109</v>
      </c>
      <c r="J25" s="11">
        <v>83932.834519970944</v>
      </c>
      <c r="K25" s="11">
        <v>266213.27781973733</v>
      </c>
      <c r="L25" s="11">
        <v>278787.8681314991</v>
      </c>
      <c r="M25" s="11">
        <v>293304.87483288266</v>
      </c>
      <c r="N25" s="11">
        <v>294224.96680691402</v>
      </c>
      <c r="P25" s="13"/>
      <c r="S25" s="13"/>
    </row>
    <row r="26" spans="2:19" x14ac:dyDescent="0.2">
      <c r="B26" s="16" t="s">
        <v>14</v>
      </c>
      <c r="C26" s="15">
        <v>198666.7339566247</v>
      </c>
      <c r="D26" s="15">
        <v>335025.21674858825</v>
      </c>
      <c r="E26" s="15">
        <v>544202.91708709358</v>
      </c>
      <c r="F26" s="15">
        <v>191992.52524787508</v>
      </c>
      <c r="G26" s="15">
        <v>275618.66244316887</v>
      </c>
      <c r="H26" s="15">
        <v>502574.68270423537</v>
      </c>
      <c r="I26" s="15">
        <v>521998.84660045261</v>
      </c>
      <c r="J26" s="15">
        <v>551237.32488633774</v>
      </c>
      <c r="K26" s="15">
        <v>705812.77652360452</v>
      </c>
      <c r="L26" s="15">
        <v>533039.95028882893</v>
      </c>
      <c r="M26" s="15">
        <v>230840.85304030988</v>
      </c>
      <c r="N26" s="15">
        <v>401875.72776858194</v>
      </c>
    </row>
    <row r="27" spans="2:19" x14ac:dyDescent="0.2">
      <c r="B27" s="1" t="s">
        <v>15</v>
      </c>
      <c r="C27" s="14">
        <f>C20+C23+C26</f>
        <v>1838282.796139159</v>
      </c>
      <c r="D27" s="14">
        <f t="shared" ref="D27:N27" si="11">D20+D23+D26</f>
        <v>2029089.9786570801</v>
      </c>
      <c r="E27" s="14">
        <f t="shared" si="11"/>
        <v>3183022.0796282226</v>
      </c>
      <c r="F27" s="14">
        <f t="shared" si="11"/>
        <v>1961124.9264270435</v>
      </c>
      <c r="G27" s="14">
        <f t="shared" si="11"/>
        <v>2259643.6557794372</v>
      </c>
      <c r="H27" s="14">
        <f t="shared" si="11"/>
        <v>3330528.4811103698</v>
      </c>
      <c r="I27" s="14">
        <f t="shared" si="11"/>
        <v>2829282.8201464019</v>
      </c>
      <c r="J27" s="14">
        <f t="shared" si="11"/>
        <v>2456543.338222146</v>
      </c>
      <c r="K27" s="14">
        <f t="shared" si="11"/>
        <v>3276754.2168503152</v>
      </c>
      <c r="L27" s="14">
        <f t="shared" si="11"/>
        <v>2336726.9167149523</v>
      </c>
      <c r="M27" s="14">
        <f t="shared" si="11"/>
        <v>2895733.9071597774</v>
      </c>
      <c r="N27" s="14">
        <f t="shared" si="11"/>
        <v>3100505.4876025319</v>
      </c>
    </row>
    <row r="29" spans="2:19" x14ac:dyDescent="0.2">
      <c r="B29" s="1" t="s">
        <v>16</v>
      </c>
    </row>
    <row r="30" spans="2:19" x14ac:dyDescent="0.2">
      <c r="B30" s="17" t="s">
        <v>10</v>
      </c>
      <c r="C30" s="6">
        <v>6.7393931455971043E-2</v>
      </c>
      <c r="D30" s="6">
        <v>0.14484668328968767</v>
      </c>
      <c r="E30" s="6">
        <v>0.11567215284129743</v>
      </c>
      <c r="F30" s="6">
        <v>0.1462793629016185</v>
      </c>
      <c r="G30" s="6">
        <v>0.11740251602634331</v>
      </c>
      <c r="H30" s="6">
        <v>0.20384898186803421</v>
      </c>
      <c r="I30" s="6">
        <v>0.12675550059165933</v>
      </c>
      <c r="J30" s="6">
        <v>0.17077228679600875</v>
      </c>
      <c r="K30" s="6">
        <v>0.19781124572277028</v>
      </c>
      <c r="L30" s="6">
        <v>0.33258751868872005</v>
      </c>
      <c r="M30" s="6">
        <v>0.17732830917255957</v>
      </c>
      <c r="N30" s="6">
        <v>0.20561240301531233</v>
      </c>
    </row>
    <row r="31" spans="2:19" x14ac:dyDescent="0.2">
      <c r="B31" s="18" t="s">
        <v>11</v>
      </c>
      <c r="C31" s="22">
        <v>8.269779157262673E-2</v>
      </c>
      <c r="D31" s="22">
        <v>0.14520413222718045</v>
      </c>
      <c r="E31" s="22">
        <v>0.13561154879632886</v>
      </c>
      <c r="F31" s="22">
        <v>0.17832635139258812</v>
      </c>
      <c r="G31" s="22">
        <v>0.13885500252245264</v>
      </c>
      <c r="H31" s="22">
        <v>0.18952940132167459</v>
      </c>
      <c r="I31" s="22">
        <v>0.13185705933438946</v>
      </c>
      <c r="J31" s="22">
        <v>0.17459490622063628</v>
      </c>
      <c r="K31" s="22">
        <v>0.25025408643068464</v>
      </c>
      <c r="L31" s="22">
        <v>0.25312276989029103</v>
      </c>
      <c r="M31" s="22">
        <v>0.17053504999123692</v>
      </c>
      <c r="N31" s="22">
        <v>0.23583693040225787</v>
      </c>
    </row>
    <row r="32" spans="2:19" x14ac:dyDescent="0.2">
      <c r="B32" s="18" t="s">
        <v>12</v>
      </c>
      <c r="C32" s="22">
        <v>3.5178889378835419E-2</v>
      </c>
      <c r="D32" s="22">
        <v>0.14280515161950749</v>
      </c>
      <c r="E32" s="22">
        <v>4.5604790246004716E-2</v>
      </c>
      <c r="F32" s="22">
        <v>5.8187785575158441E-2</v>
      </c>
      <c r="G32" s="22">
        <v>6.7932921071297683E-2</v>
      </c>
      <c r="H32" s="22">
        <v>0.26115761004404708</v>
      </c>
      <c r="I32" s="22">
        <v>0.10675739032015726</v>
      </c>
      <c r="J32" s="22">
        <v>0.15808807309791389</v>
      </c>
      <c r="K32" s="22">
        <v>9.3996908746969934E-2</v>
      </c>
      <c r="L32" s="22">
        <v>1.3706131049093142</v>
      </c>
      <c r="M32" s="22">
        <v>0.22212015799005139</v>
      </c>
      <c r="N32" s="22">
        <v>0.13097707360742727</v>
      </c>
    </row>
    <row r="33" spans="2:14" x14ac:dyDescent="0.2">
      <c r="B33" s="17" t="s">
        <v>13</v>
      </c>
      <c r="C33" s="6">
        <v>0.17841142091049092</v>
      </c>
      <c r="D33" s="6">
        <v>0.16576614011777902</v>
      </c>
      <c r="E33" s="6">
        <v>8.7735600019642646E-2</v>
      </c>
      <c r="F33" s="6">
        <v>0.19496123355955849</v>
      </c>
      <c r="G33" s="6">
        <v>0.12927223517600184</v>
      </c>
      <c r="H33" s="6">
        <v>0.12033628224965125</v>
      </c>
      <c r="I33" s="6">
        <v>0.12118049769423624</v>
      </c>
      <c r="J33" s="6">
        <v>9.4538332549951906E-2</v>
      </c>
      <c r="K33" s="6">
        <v>0.16041499448777996</v>
      </c>
      <c r="L33" s="6">
        <v>0.11049149223598738</v>
      </c>
      <c r="M33" s="6">
        <v>9.8512058859721238E-2</v>
      </c>
      <c r="N33" s="6">
        <v>0.16380225226010331</v>
      </c>
    </row>
    <row r="34" spans="2:14" x14ac:dyDescent="0.2">
      <c r="B34" s="18" t="s">
        <v>11</v>
      </c>
      <c r="C34" s="22">
        <v>0.25513485939404251</v>
      </c>
      <c r="D34" s="22">
        <v>0.13216248357945287</v>
      </c>
      <c r="E34" s="22">
        <v>0.1076882767868082</v>
      </c>
      <c r="F34" s="22">
        <v>0.15435124114687773</v>
      </c>
      <c r="G34" s="22">
        <v>0.11540937166472348</v>
      </c>
      <c r="H34" s="22">
        <v>9.0990282613901921E-2</v>
      </c>
      <c r="I34" s="22">
        <v>0.10240525647455437</v>
      </c>
      <c r="J34" s="22">
        <v>4.614145810641769E-2</v>
      </c>
      <c r="K34" s="22">
        <v>0.1553360702956525</v>
      </c>
      <c r="L34" s="22">
        <v>0.10728859254871663</v>
      </c>
      <c r="M34" s="22">
        <v>9.4760413813254091E-2</v>
      </c>
      <c r="N34" s="22">
        <v>0.16792263506510405</v>
      </c>
    </row>
    <row r="35" spans="2:14" x14ac:dyDescent="0.2">
      <c r="B35" s="18" t="s">
        <v>12</v>
      </c>
      <c r="C35" s="22">
        <v>0.12962935061850114</v>
      </c>
      <c r="D35" s="22">
        <v>0.22162990628166296</v>
      </c>
      <c r="E35" s="22">
        <v>7.1151099980620497E-2</v>
      </c>
      <c r="F35" s="22">
        <v>0.30142985525591814</v>
      </c>
      <c r="G35" s="22">
        <v>0.15518917572289023</v>
      </c>
      <c r="H35" s="22">
        <v>0.21893770211245839</v>
      </c>
      <c r="I35" s="22">
        <v>0.18204304803596411</v>
      </c>
      <c r="J35" s="22">
        <v>0.48878717089143386</v>
      </c>
      <c r="K35" s="22">
        <v>0.17565371749587982</v>
      </c>
      <c r="L35" s="22">
        <v>0.11852986607525422</v>
      </c>
      <c r="M35" s="22">
        <v>0.11308842251708248</v>
      </c>
      <c r="N35" s="22">
        <v>0.15469245525238268</v>
      </c>
    </row>
    <row r="36" spans="2:14" x14ac:dyDescent="0.2">
      <c r="B36" s="20" t="s">
        <v>14</v>
      </c>
      <c r="C36" s="23">
        <v>0.15169917201438265</v>
      </c>
      <c r="D36" s="23">
        <v>3.1052479234059648E-2</v>
      </c>
      <c r="E36" s="23">
        <v>0.13756140402794095</v>
      </c>
      <c r="F36" s="23">
        <v>0.19289808628569899</v>
      </c>
      <c r="G36" s="23">
        <v>0.29362421360352814</v>
      </c>
      <c r="H36" s="23">
        <v>0.20370342944125933</v>
      </c>
      <c r="I36" s="23">
        <v>6.3543024716316024E-2</v>
      </c>
      <c r="J36" s="23">
        <v>0.11695201728276121</v>
      </c>
      <c r="K36" s="23">
        <v>0.10441280328015808</v>
      </c>
      <c r="L36" s="23">
        <v>0.1948682263338565</v>
      </c>
      <c r="M36" s="23">
        <v>0.23822191395150702</v>
      </c>
      <c r="N36" s="23">
        <v>0.15173049442597039</v>
      </c>
    </row>
    <row r="37" spans="2:14" x14ac:dyDescent="0.2">
      <c r="B37" s="19" t="s">
        <v>15</v>
      </c>
      <c r="C37" s="21">
        <v>9.9549306149495281E-2</v>
      </c>
      <c r="D37" s="21">
        <v>0.10960177195157539</v>
      </c>
      <c r="E37" s="21">
        <v>8.7049858779637571E-2</v>
      </c>
      <c r="F37" s="21">
        <v>0.13964829458312192</v>
      </c>
      <c r="G37" s="21">
        <v>0.11909489594017039</v>
      </c>
      <c r="H37" s="21">
        <v>0.1403396189289258</v>
      </c>
      <c r="I37" s="21">
        <v>9.3728128359109347E-2</v>
      </c>
      <c r="J37" s="21">
        <v>0.11182169263736468</v>
      </c>
      <c r="K37" s="21">
        <v>0.13724746376650401</v>
      </c>
      <c r="L37" s="21">
        <v>0.17259448997409876</v>
      </c>
      <c r="M37" s="21">
        <v>0.11871126583876601</v>
      </c>
      <c r="N37" s="21">
        <v>0.15411906819048526</v>
      </c>
    </row>
    <row r="39" spans="2:14" x14ac:dyDescent="0.2">
      <c r="B39" s="1" t="s">
        <v>18</v>
      </c>
    </row>
    <row r="40" spans="2:14" x14ac:dyDescent="0.2">
      <c r="B40" t="s">
        <v>10</v>
      </c>
      <c r="C40" s="4">
        <f>SUM(C41:C42)</f>
        <v>61883.925660884226</v>
      </c>
      <c r="D40" s="4">
        <f t="shared" ref="D40:N40" si="12">SUM(D41:D42)</f>
        <v>159160.73774827071</v>
      </c>
      <c r="E40" s="4">
        <f t="shared" si="12"/>
        <v>169489.24245703485</v>
      </c>
      <c r="F40" s="4">
        <f t="shared" si="12"/>
        <v>155122.99135566823</v>
      </c>
      <c r="G40" s="4">
        <f t="shared" si="12"/>
        <v>126816.78634141046</v>
      </c>
      <c r="H40" s="4">
        <f t="shared" si="12"/>
        <v>295531.74398145801</v>
      </c>
      <c r="I40" s="4">
        <f t="shared" si="12"/>
        <v>160983.74745994189</v>
      </c>
      <c r="J40" s="4">
        <f t="shared" si="12"/>
        <v>194277.83000975172</v>
      </c>
      <c r="K40" s="4">
        <f t="shared" si="12"/>
        <v>297900.98581084528</v>
      </c>
      <c r="L40" s="4">
        <f t="shared" si="12"/>
        <v>274457.96139375068</v>
      </c>
      <c r="M40" s="4">
        <f t="shared" si="12"/>
        <v>218469.0360571791</v>
      </c>
      <c r="N40" s="4">
        <f t="shared" si="12"/>
        <v>360623.54582041199</v>
      </c>
    </row>
    <row r="41" spans="2:14" x14ac:dyDescent="0.2">
      <c r="B41" s="10" t="s">
        <v>11</v>
      </c>
      <c r="C41" s="11">
        <f>C21*C31</f>
        <v>51480.562074912355</v>
      </c>
      <c r="D41" s="11">
        <f t="shared" ref="D41:N41" si="13">D21*D31</f>
        <v>135779.98247258135</v>
      </c>
      <c r="E41" s="11">
        <f t="shared" si="13"/>
        <v>159918.04480336962</v>
      </c>
      <c r="F41" s="11">
        <f t="shared" si="13"/>
        <v>138662.99548834653</v>
      </c>
      <c r="G41" s="11">
        <f t="shared" si="13"/>
        <v>104620.7313082039</v>
      </c>
      <c r="H41" s="11">
        <f t="shared" si="13"/>
        <v>219840.70237945591</v>
      </c>
      <c r="I41" s="11">
        <f t="shared" si="13"/>
        <v>133425.72407601692</v>
      </c>
      <c r="J41" s="11">
        <f t="shared" si="13"/>
        <v>152629.05258789225</v>
      </c>
      <c r="K41" s="11">
        <f t="shared" si="13"/>
        <v>250391.45228471214</v>
      </c>
      <c r="L41" s="11">
        <f t="shared" si="13"/>
        <v>194028.43613297411</v>
      </c>
      <c r="M41" s="11">
        <f t="shared" si="13"/>
        <v>182431.62086281565</v>
      </c>
      <c r="N41" s="11">
        <f t="shared" si="13"/>
        <v>294409.47153595876</v>
      </c>
    </row>
    <row r="42" spans="2:14" x14ac:dyDescent="0.2">
      <c r="B42" s="10" t="s">
        <v>12</v>
      </c>
      <c r="C42" s="11">
        <f>C22*C32</f>
        <v>10403.363585971867</v>
      </c>
      <c r="D42" s="11">
        <f t="shared" ref="D42:N42" si="14">D22*D32</f>
        <v>23380.755275689353</v>
      </c>
      <c r="E42" s="11">
        <f t="shared" si="14"/>
        <v>9571.1976536652473</v>
      </c>
      <c r="F42" s="11">
        <f t="shared" si="14"/>
        <v>16459.995867321704</v>
      </c>
      <c r="G42" s="11">
        <f t="shared" si="14"/>
        <v>22196.055033206558</v>
      </c>
      <c r="H42" s="11">
        <f t="shared" si="14"/>
        <v>75691.041602002122</v>
      </c>
      <c r="I42" s="11">
        <f t="shared" si="14"/>
        <v>27558.023383924985</v>
      </c>
      <c r="J42" s="11">
        <f t="shared" si="14"/>
        <v>41648.777421859486</v>
      </c>
      <c r="K42" s="11">
        <f t="shared" si="14"/>
        <v>47509.533526133113</v>
      </c>
      <c r="L42" s="11">
        <f t="shared" si="14"/>
        <v>80429.525260776558</v>
      </c>
      <c r="M42" s="11">
        <f t="shared" si="14"/>
        <v>36037.415194363435</v>
      </c>
      <c r="N42" s="11">
        <f t="shared" si="14"/>
        <v>66214.074284453251</v>
      </c>
    </row>
    <row r="43" spans="2:14" x14ac:dyDescent="0.2">
      <c r="B43" t="s">
        <v>13</v>
      </c>
      <c r="C43" s="4">
        <f>SUM(C44:C45)</f>
        <v>128701.40518728085</v>
      </c>
      <c r="D43" s="4">
        <f t="shared" ref="D43:N43" si="15">SUM(D44:D45)</f>
        <v>98671.077310248656</v>
      </c>
      <c r="E43" s="4">
        <f t="shared" si="15"/>
        <v>107442.56543639135</v>
      </c>
      <c r="F43" s="4">
        <f t="shared" si="15"/>
        <v>138164.20773479133</v>
      </c>
      <c r="G43" s="4">
        <f t="shared" si="15"/>
        <v>116841.03127030641</v>
      </c>
      <c r="H43" s="4">
        <f t="shared" si="15"/>
        <v>165846.92805710511</v>
      </c>
      <c r="I43" s="4">
        <f t="shared" si="15"/>
        <v>125694.51389591125</v>
      </c>
      <c r="J43" s="4">
        <f t="shared" si="15"/>
        <v>72573.618142282081</v>
      </c>
      <c r="K43" s="4">
        <f t="shared" si="15"/>
        <v>170834.80559265718</v>
      </c>
      <c r="L43" s="4">
        <f t="shared" si="15"/>
        <v>108112.24558309035</v>
      </c>
      <c r="M43" s="4">
        <f t="shared" si="15"/>
        <v>141156.93425612256</v>
      </c>
      <c r="N43" s="4">
        <f t="shared" si="15"/>
        <v>154748.90054050187</v>
      </c>
    </row>
    <row r="44" spans="2:14" x14ac:dyDescent="0.2">
      <c r="B44" s="10" t="s">
        <v>11</v>
      </c>
      <c r="C44" s="11">
        <f t="shared" ref="C44:N46" si="16">C24*C34</f>
        <v>71536.531049930272</v>
      </c>
      <c r="D44" s="11">
        <f t="shared" si="16"/>
        <v>49121.036313145531</v>
      </c>
      <c r="E44" s="11">
        <f t="shared" si="16"/>
        <v>54597.812422630079</v>
      </c>
      <c r="F44" s="11">
        <f t="shared" si="16"/>
        <v>79182.555876888538</v>
      </c>
      <c r="G44" s="11">
        <f t="shared" si="16"/>
        <v>67959.831421896466</v>
      </c>
      <c r="H44" s="11">
        <f t="shared" si="16"/>
        <v>96640.12725132065</v>
      </c>
      <c r="I44" s="11">
        <f t="shared" si="16"/>
        <v>81177.706891109337</v>
      </c>
      <c r="J44" s="11">
        <f t="shared" si="16"/>
        <v>31548.325412366608</v>
      </c>
      <c r="K44" s="11">
        <f t="shared" si="16"/>
        <v>124073.45369685687</v>
      </c>
      <c r="L44" s="11">
        <f t="shared" si="16"/>
        <v>75067.55691005812</v>
      </c>
      <c r="M44" s="11">
        <f t="shared" si="16"/>
        <v>107987.54864470153</v>
      </c>
      <c r="N44" s="11">
        <f t="shared" si="16"/>
        <v>109234.51802858953</v>
      </c>
    </row>
    <row r="45" spans="2:14" x14ac:dyDescent="0.2">
      <c r="B45" s="10" t="s">
        <v>12</v>
      </c>
      <c r="C45" s="11">
        <f t="shared" si="16"/>
        <v>57164.874137350569</v>
      </c>
      <c r="D45" s="11">
        <f t="shared" si="16"/>
        <v>49550.040997103133</v>
      </c>
      <c r="E45" s="11">
        <f t="shared" si="16"/>
        <v>52844.75301376127</v>
      </c>
      <c r="F45" s="11">
        <f t="shared" si="16"/>
        <v>58981.651857902798</v>
      </c>
      <c r="G45" s="11">
        <f t="shared" si="16"/>
        <v>48881.199848409939</v>
      </c>
      <c r="H45" s="11">
        <f t="shared" si="16"/>
        <v>69206.800805784471</v>
      </c>
      <c r="I45" s="11">
        <f t="shared" si="16"/>
        <v>44516.807004801907</v>
      </c>
      <c r="J45" s="11">
        <f t="shared" si="16"/>
        <v>41025.292729915476</v>
      </c>
      <c r="K45" s="11">
        <f t="shared" si="16"/>
        <v>46761.351895800311</v>
      </c>
      <c r="L45" s="11">
        <f t="shared" si="16"/>
        <v>33044.688673032222</v>
      </c>
      <c r="M45" s="11">
        <f t="shared" si="16"/>
        <v>33169.385611421028</v>
      </c>
      <c r="N45" s="11">
        <f t="shared" si="16"/>
        <v>45514.382511912328</v>
      </c>
    </row>
    <row r="46" spans="2:14" x14ac:dyDescent="0.2">
      <c r="B46" s="16" t="s">
        <v>14</v>
      </c>
      <c r="C46" s="15">
        <f t="shared" si="16"/>
        <v>30137.579048021606</v>
      </c>
      <c r="D46" s="15">
        <f t="shared" si="16"/>
        <v>10403.363585971869</v>
      </c>
      <c r="E46" s="15">
        <f t="shared" si="16"/>
        <v>74861.317350601734</v>
      </c>
      <c r="F46" s="15">
        <f t="shared" si="16"/>
        <v>37034.990701473849</v>
      </c>
      <c r="G46" s="15">
        <f t="shared" si="16"/>
        <v>80928.313014331739</v>
      </c>
      <c r="H46" s="15">
        <f t="shared" si="16"/>
        <v>102376.18641720551</v>
      </c>
      <c r="I46" s="15">
        <f t="shared" si="16"/>
        <v>33169.385611421014</v>
      </c>
      <c r="J46" s="15">
        <f t="shared" si="16"/>
        <v>64468.317147010028</v>
      </c>
      <c r="K46" s="15">
        <f t="shared" si="16"/>
        <v>73695.890587781294</v>
      </c>
      <c r="L46" s="15">
        <f t="shared" si="16"/>
        <v>103872.54967787114</v>
      </c>
      <c r="M46" s="15">
        <f t="shared" si="16"/>
        <v>54991.349829461178</v>
      </c>
      <c r="N46" s="15">
        <f t="shared" si="16"/>
        <v>60976.802872123619</v>
      </c>
    </row>
    <row r="47" spans="2:14" x14ac:dyDescent="0.2">
      <c r="B47" s="1" t="s">
        <v>15</v>
      </c>
      <c r="C47" s="14">
        <f>C40+C43+C46</f>
        <v>220722.9098961867</v>
      </c>
      <c r="D47" s="14">
        <f t="shared" ref="D47:N47" si="17">D40+D43+D46</f>
        <v>268235.17864449124</v>
      </c>
      <c r="E47" s="14">
        <f t="shared" si="17"/>
        <v>351793.12524402793</v>
      </c>
      <c r="F47" s="14">
        <f t="shared" si="17"/>
        <v>330322.1897919334</v>
      </c>
      <c r="G47" s="14">
        <f t="shared" si="17"/>
        <v>324586.1306260486</v>
      </c>
      <c r="H47" s="14">
        <f t="shared" si="17"/>
        <v>563754.85845576867</v>
      </c>
      <c r="I47" s="14">
        <f t="shared" si="17"/>
        <v>319847.6469672742</v>
      </c>
      <c r="J47" s="14">
        <f t="shared" si="17"/>
        <v>331319.76529904379</v>
      </c>
      <c r="K47" s="14">
        <f t="shared" si="17"/>
        <v>542431.68199128378</v>
      </c>
      <c r="L47" s="14">
        <f t="shared" si="17"/>
        <v>486442.75665471214</v>
      </c>
      <c r="M47" s="14">
        <f t="shared" si="17"/>
        <v>414617.32014276285</v>
      </c>
      <c r="N47" s="14">
        <f t="shared" si="17"/>
        <v>576349.24923303747</v>
      </c>
    </row>
    <row r="61" spans="19:19" customFormat="1" x14ac:dyDescent="0.2">
      <c r="S61" s="9"/>
    </row>
    <row r="62" spans="19:19" customFormat="1" x14ac:dyDescent="0.2">
      <c r="S62" s="9"/>
    </row>
  </sheetData>
  <pageMargins left="0.7" right="0.7" top="0.75" bottom="0.75" header="0.3" footer="0.3"/>
  <pageSetup orientation="portrait" r:id="rId1"/>
  <ignoredErrors>
    <ignoredError sqref="C23:N23" formulaRange="1"/>
    <ignoredError sqref="C43:N4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F8D16-9337-49FD-9B9C-7E95EBA4FB7F}">
  <dimension ref="A1:K287"/>
  <sheetViews>
    <sheetView zoomScaleNormal="100" workbookViewId="0">
      <pane ySplit="1" topLeftCell="A2" activePane="bottomLeft" state="frozen"/>
      <selection pane="bottomLeft" activeCell="P16" sqref="P16"/>
    </sheetView>
  </sheetViews>
  <sheetFormatPr defaultRowHeight="12.75" x14ac:dyDescent="0.2"/>
  <cols>
    <col min="1" max="1" width="16.7109375" customWidth="1"/>
    <col min="2" max="2" width="20.140625" bestFit="1" customWidth="1"/>
    <col min="3" max="4" width="12.7109375" style="8" customWidth="1"/>
    <col min="5" max="8" width="11.7109375" customWidth="1"/>
  </cols>
  <sheetData>
    <row r="1" spans="1:11" x14ac:dyDescent="0.2">
      <c r="A1" t="s">
        <v>102</v>
      </c>
      <c r="B1" t="s">
        <v>49</v>
      </c>
      <c r="C1" s="8" t="s">
        <v>51</v>
      </c>
      <c r="D1" s="8" t="s">
        <v>103</v>
      </c>
      <c r="E1" s="45" t="s">
        <v>104</v>
      </c>
      <c r="F1" s="45" t="s">
        <v>105</v>
      </c>
      <c r="G1" s="45" t="s">
        <v>106</v>
      </c>
      <c r="H1" s="45" t="s">
        <v>107</v>
      </c>
    </row>
    <row r="2" spans="1:11" x14ac:dyDescent="0.2">
      <c r="A2" t="s">
        <v>48</v>
      </c>
      <c r="B2" t="s">
        <v>42</v>
      </c>
      <c r="C2" s="8">
        <v>45017</v>
      </c>
      <c r="D2" s="8">
        <v>45019</v>
      </c>
      <c r="E2" s="66">
        <v>0</v>
      </c>
      <c r="F2" s="66">
        <v>0</v>
      </c>
      <c r="G2" s="66">
        <v>0</v>
      </c>
      <c r="H2" s="66">
        <v>8</v>
      </c>
      <c r="K2" s="66"/>
    </row>
    <row r="3" spans="1:11" x14ac:dyDescent="0.2">
      <c r="A3" t="s">
        <v>48</v>
      </c>
      <c r="B3" t="s">
        <v>43</v>
      </c>
      <c r="C3" s="8">
        <v>45017</v>
      </c>
      <c r="D3" s="8">
        <v>45019</v>
      </c>
      <c r="E3" s="66">
        <v>4</v>
      </c>
      <c r="F3" s="66">
        <v>0</v>
      </c>
      <c r="G3" s="66">
        <v>0</v>
      </c>
      <c r="H3" s="66">
        <v>8</v>
      </c>
      <c r="K3" s="66"/>
    </row>
    <row r="4" spans="1:11" x14ac:dyDescent="0.2">
      <c r="A4" t="s">
        <v>48</v>
      </c>
      <c r="B4" t="s">
        <v>37</v>
      </c>
      <c r="C4" s="8">
        <v>45017</v>
      </c>
      <c r="D4" s="8">
        <v>45019</v>
      </c>
      <c r="E4" s="66">
        <v>0</v>
      </c>
      <c r="F4" s="66">
        <v>6</v>
      </c>
      <c r="G4" s="66">
        <v>0</v>
      </c>
      <c r="H4" s="66">
        <v>8</v>
      </c>
      <c r="K4" s="66"/>
    </row>
    <row r="5" spans="1:11" x14ac:dyDescent="0.2">
      <c r="A5" t="s">
        <v>48</v>
      </c>
      <c r="B5" t="s">
        <v>41</v>
      </c>
      <c r="C5" s="8">
        <v>45017</v>
      </c>
      <c r="D5" s="8">
        <v>45019</v>
      </c>
      <c r="E5" s="66">
        <v>5</v>
      </c>
      <c r="F5" s="66">
        <v>0</v>
      </c>
      <c r="G5" s="66">
        <v>0</v>
      </c>
      <c r="H5" s="66">
        <v>8</v>
      </c>
      <c r="K5" s="66"/>
    </row>
    <row r="6" spans="1:11" x14ac:dyDescent="0.2">
      <c r="A6" t="s">
        <v>48</v>
      </c>
      <c r="B6" t="s">
        <v>58</v>
      </c>
      <c r="C6" s="8">
        <v>45017</v>
      </c>
      <c r="D6" s="8">
        <v>45019</v>
      </c>
      <c r="E6" s="66">
        <v>5.59</v>
      </c>
      <c r="F6" s="66">
        <v>0</v>
      </c>
      <c r="G6" s="66">
        <v>0</v>
      </c>
      <c r="H6" s="66">
        <v>8</v>
      </c>
      <c r="K6" s="66"/>
    </row>
    <row r="7" spans="1:11" x14ac:dyDescent="0.2">
      <c r="A7" t="s">
        <v>48</v>
      </c>
      <c r="B7" t="s">
        <v>55</v>
      </c>
      <c r="C7" s="8">
        <v>45017</v>
      </c>
      <c r="D7" s="8">
        <v>45019</v>
      </c>
      <c r="E7" s="66">
        <v>6.75</v>
      </c>
      <c r="F7" s="66">
        <v>0</v>
      </c>
      <c r="G7" s="66">
        <v>0</v>
      </c>
      <c r="H7" s="66">
        <v>8</v>
      </c>
      <c r="K7" s="66"/>
    </row>
    <row r="8" spans="1:11" x14ac:dyDescent="0.2">
      <c r="A8" t="s">
        <v>48</v>
      </c>
      <c r="B8" t="s">
        <v>70</v>
      </c>
      <c r="C8" s="8">
        <v>45017</v>
      </c>
      <c r="D8" s="8">
        <v>45019</v>
      </c>
      <c r="E8" s="66">
        <v>4.25</v>
      </c>
      <c r="F8" s="66">
        <v>0</v>
      </c>
      <c r="G8" s="66">
        <v>0</v>
      </c>
      <c r="H8" s="66">
        <v>8</v>
      </c>
      <c r="K8" s="66"/>
    </row>
    <row r="9" spans="1:11" x14ac:dyDescent="0.2">
      <c r="A9" t="s">
        <v>48</v>
      </c>
      <c r="B9" t="s">
        <v>38</v>
      </c>
      <c r="C9" s="8">
        <v>45017</v>
      </c>
      <c r="D9" s="8">
        <v>45019</v>
      </c>
      <c r="E9" s="66">
        <v>0</v>
      </c>
      <c r="F9" s="66">
        <v>0</v>
      </c>
      <c r="G9" s="66">
        <v>0</v>
      </c>
      <c r="H9" s="66">
        <v>8</v>
      </c>
      <c r="K9" s="66"/>
    </row>
    <row r="10" spans="1:11" x14ac:dyDescent="0.2">
      <c r="A10" t="s">
        <v>57</v>
      </c>
      <c r="B10" t="s">
        <v>61</v>
      </c>
      <c r="C10" s="8">
        <v>45017</v>
      </c>
      <c r="D10" s="8">
        <v>45019</v>
      </c>
      <c r="E10" s="66">
        <v>3</v>
      </c>
      <c r="F10" s="66">
        <v>0.25</v>
      </c>
      <c r="G10" s="66">
        <v>0</v>
      </c>
      <c r="H10" s="66">
        <v>8</v>
      </c>
      <c r="K10" s="66"/>
    </row>
    <row r="11" spans="1:11" x14ac:dyDescent="0.2">
      <c r="A11" t="s">
        <v>57</v>
      </c>
      <c r="B11" t="s">
        <v>62</v>
      </c>
      <c r="C11" s="8">
        <v>45017</v>
      </c>
      <c r="D11" s="8">
        <v>45019</v>
      </c>
      <c r="E11" s="66">
        <v>3.75</v>
      </c>
      <c r="F11" s="66">
        <v>0.25</v>
      </c>
      <c r="G11" s="66">
        <v>0</v>
      </c>
      <c r="H11" s="66">
        <v>8</v>
      </c>
      <c r="K11" s="66"/>
    </row>
    <row r="12" spans="1:11" x14ac:dyDescent="0.2">
      <c r="A12" t="s">
        <v>57</v>
      </c>
      <c r="B12" t="s">
        <v>60</v>
      </c>
      <c r="C12" s="8">
        <v>45017</v>
      </c>
      <c r="D12" s="8">
        <v>45019</v>
      </c>
      <c r="E12" s="66">
        <v>1.25</v>
      </c>
      <c r="F12" s="66">
        <v>0</v>
      </c>
      <c r="G12" s="66">
        <v>0</v>
      </c>
      <c r="H12" s="66">
        <v>8</v>
      </c>
      <c r="K12" s="66"/>
    </row>
    <row r="13" spans="1:11" x14ac:dyDescent="0.2">
      <c r="A13" t="s">
        <v>48</v>
      </c>
      <c r="B13" t="s">
        <v>46</v>
      </c>
      <c r="C13" s="8">
        <v>45017</v>
      </c>
      <c r="D13" s="8">
        <v>45019</v>
      </c>
      <c r="E13" s="66">
        <v>0</v>
      </c>
      <c r="F13" s="66">
        <v>0</v>
      </c>
      <c r="G13" s="66">
        <v>0</v>
      </c>
      <c r="H13" s="66">
        <v>8</v>
      </c>
      <c r="K13" s="66"/>
    </row>
    <row r="14" spans="1:11" x14ac:dyDescent="0.2">
      <c r="A14" t="s">
        <v>48</v>
      </c>
      <c r="B14" t="s">
        <v>64</v>
      </c>
      <c r="C14" s="8">
        <v>45017</v>
      </c>
      <c r="D14" s="8">
        <v>45019</v>
      </c>
      <c r="E14" s="66">
        <v>4</v>
      </c>
      <c r="F14" s="66">
        <v>0</v>
      </c>
      <c r="G14" s="66">
        <v>0</v>
      </c>
      <c r="H14" s="66">
        <v>8</v>
      </c>
      <c r="K14" s="66"/>
    </row>
    <row r="15" spans="1:11" x14ac:dyDescent="0.2">
      <c r="A15" t="s">
        <v>48</v>
      </c>
      <c r="B15" t="s">
        <v>56</v>
      </c>
      <c r="C15" s="8">
        <v>45017</v>
      </c>
      <c r="D15" s="8">
        <v>45019</v>
      </c>
      <c r="E15" s="66">
        <v>0</v>
      </c>
      <c r="F15" s="66">
        <v>6</v>
      </c>
      <c r="G15" s="66">
        <v>0</v>
      </c>
      <c r="H15" s="66">
        <v>8</v>
      </c>
      <c r="K15" s="66"/>
    </row>
    <row r="16" spans="1:11" x14ac:dyDescent="0.2">
      <c r="A16" t="s">
        <v>48</v>
      </c>
      <c r="B16" t="s">
        <v>54</v>
      </c>
      <c r="C16" s="8">
        <v>45017</v>
      </c>
      <c r="D16" s="8">
        <v>45019</v>
      </c>
      <c r="E16" s="66">
        <v>5</v>
      </c>
      <c r="F16" s="66">
        <v>0</v>
      </c>
      <c r="G16" s="66">
        <v>0</v>
      </c>
      <c r="H16" s="66">
        <v>8</v>
      </c>
      <c r="K16" s="66"/>
    </row>
    <row r="17" spans="1:11" x14ac:dyDescent="0.2">
      <c r="A17" t="s">
        <v>48</v>
      </c>
      <c r="B17" t="s">
        <v>36</v>
      </c>
      <c r="C17" s="8">
        <v>45017</v>
      </c>
      <c r="D17" s="8">
        <v>45019</v>
      </c>
      <c r="E17" s="66">
        <v>5.59</v>
      </c>
      <c r="F17" s="66">
        <v>0</v>
      </c>
      <c r="G17" s="66">
        <v>0</v>
      </c>
      <c r="H17" s="66">
        <v>8</v>
      </c>
      <c r="K17" s="66"/>
    </row>
    <row r="18" spans="1:11" x14ac:dyDescent="0.2">
      <c r="A18" t="s">
        <v>48</v>
      </c>
      <c r="B18" t="s">
        <v>65</v>
      </c>
      <c r="C18" s="8">
        <v>45017</v>
      </c>
      <c r="D18" s="8">
        <v>45019</v>
      </c>
      <c r="E18" s="66">
        <v>6.75</v>
      </c>
      <c r="F18" s="66">
        <v>0</v>
      </c>
      <c r="G18" s="66">
        <v>0</v>
      </c>
      <c r="H18" s="66">
        <v>8</v>
      </c>
      <c r="K18" s="66"/>
    </row>
    <row r="19" spans="1:11" x14ac:dyDescent="0.2">
      <c r="A19" t="s">
        <v>48</v>
      </c>
      <c r="B19" t="s">
        <v>66</v>
      </c>
      <c r="C19" s="8">
        <v>45017</v>
      </c>
      <c r="D19" s="8">
        <v>45019</v>
      </c>
      <c r="E19" s="66">
        <v>4.25</v>
      </c>
      <c r="F19" s="66">
        <v>0</v>
      </c>
      <c r="G19" s="66">
        <v>0</v>
      </c>
      <c r="H19" s="66">
        <v>8</v>
      </c>
      <c r="K19" s="66"/>
    </row>
    <row r="20" spans="1:11" x14ac:dyDescent="0.2">
      <c r="A20" t="s">
        <v>48</v>
      </c>
      <c r="B20" t="s">
        <v>40</v>
      </c>
      <c r="C20" s="8">
        <v>45017</v>
      </c>
      <c r="D20" s="8">
        <v>45019</v>
      </c>
      <c r="E20" s="66">
        <v>0</v>
      </c>
      <c r="F20" s="66">
        <v>0</v>
      </c>
      <c r="G20" s="66">
        <v>0</v>
      </c>
      <c r="H20" s="66">
        <v>8</v>
      </c>
      <c r="K20" s="66"/>
    </row>
    <row r="21" spans="1:11" x14ac:dyDescent="0.2">
      <c r="A21" t="s">
        <v>57</v>
      </c>
      <c r="B21" t="s">
        <v>53</v>
      </c>
      <c r="C21" s="8">
        <v>45017</v>
      </c>
      <c r="D21" s="8">
        <v>45019</v>
      </c>
      <c r="E21" s="66">
        <v>3</v>
      </c>
      <c r="F21" s="66">
        <v>0.25</v>
      </c>
      <c r="G21" s="66">
        <v>0</v>
      </c>
      <c r="H21" s="66">
        <v>8</v>
      </c>
      <c r="K21" s="66"/>
    </row>
    <row r="22" spans="1:11" x14ac:dyDescent="0.2">
      <c r="A22" t="s">
        <v>57</v>
      </c>
      <c r="B22" t="s">
        <v>33</v>
      </c>
      <c r="C22" s="8">
        <v>45017</v>
      </c>
      <c r="D22" s="8">
        <v>45019</v>
      </c>
      <c r="E22" s="66">
        <v>3.75</v>
      </c>
      <c r="F22" s="66">
        <v>0.25</v>
      </c>
      <c r="G22" s="66">
        <v>0</v>
      </c>
      <c r="H22" s="66">
        <v>8</v>
      </c>
      <c r="K22" s="66"/>
    </row>
    <row r="23" spans="1:11" x14ac:dyDescent="0.2">
      <c r="A23" t="s">
        <v>57</v>
      </c>
      <c r="B23" t="s">
        <v>63</v>
      </c>
      <c r="C23" s="8">
        <v>45017</v>
      </c>
      <c r="D23" s="8">
        <v>45019</v>
      </c>
      <c r="E23" s="66">
        <v>1.25</v>
      </c>
      <c r="F23" s="66">
        <v>0</v>
      </c>
      <c r="G23" s="66">
        <v>0</v>
      </c>
      <c r="H23" s="66">
        <v>8</v>
      </c>
      <c r="K23" s="66"/>
    </row>
    <row r="24" spans="1:11" x14ac:dyDescent="0.2">
      <c r="A24" t="s">
        <v>48</v>
      </c>
      <c r="B24" t="s">
        <v>42</v>
      </c>
      <c r="C24" s="8">
        <v>45020</v>
      </c>
      <c r="D24" s="8">
        <v>45026</v>
      </c>
      <c r="E24" s="66">
        <v>15.5</v>
      </c>
      <c r="F24" s="66">
        <v>0</v>
      </c>
      <c r="G24" s="66">
        <v>0</v>
      </c>
      <c r="H24" s="66">
        <v>40</v>
      </c>
      <c r="K24" s="66"/>
    </row>
    <row r="25" spans="1:11" x14ac:dyDescent="0.2">
      <c r="A25" t="s">
        <v>48</v>
      </c>
      <c r="B25" t="s">
        <v>43</v>
      </c>
      <c r="C25" s="8">
        <v>45020</v>
      </c>
      <c r="D25" s="8">
        <v>45026</v>
      </c>
      <c r="E25" s="66">
        <v>33</v>
      </c>
      <c r="F25" s="66">
        <v>0</v>
      </c>
      <c r="G25" s="66">
        <v>0</v>
      </c>
      <c r="H25" s="66">
        <v>40</v>
      </c>
      <c r="K25" s="66"/>
    </row>
    <row r="26" spans="1:11" x14ac:dyDescent="0.2">
      <c r="A26" t="s">
        <v>48</v>
      </c>
      <c r="B26" t="s">
        <v>52</v>
      </c>
      <c r="C26" s="8">
        <v>45020</v>
      </c>
      <c r="D26" s="8">
        <v>45026</v>
      </c>
      <c r="E26" s="66">
        <v>19.5</v>
      </c>
      <c r="F26" s="66">
        <v>13.25</v>
      </c>
      <c r="G26" s="66">
        <v>0</v>
      </c>
      <c r="H26" s="66">
        <v>40</v>
      </c>
      <c r="K26" s="66"/>
    </row>
    <row r="27" spans="1:11" x14ac:dyDescent="0.2">
      <c r="A27" t="s">
        <v>48</v>
      </c>
      <c r="B27" t="s">
        <v>41</v>
      </c>
      <c r="C27" s="8">
        <v>45020</v>
      </c>
      <c r="D27" s="8">
        <v>45026</v>
      </c>
      <c r="E27" s="66">
        <v>26.5</v>
      </c>
      <c r="F27" s="66">
        <v>1</v>
      </c>
      <c r="G27" s="66">
        <v>0</v>
      </c>
      <c r="H27" s="66">
        <v>40</v>
      </c>
      <c r="K27" s="66"/>
    </row>
    <row r="28" spans="1:11" x14ac:dyDescent="0.2">
      <c r="A28" t="s">
        <v>48</v>
      </c>
      <c r="B28" t="s">
        <v>58</v>
      </c>
      <c r="C28" s="8">
        <v>45020</v>
      </c>
      <c r="D28" s="8">
        <v>45026</v>
      </c>
      <c r="E28" s="66">
        <v>30.52</v>
      </c>
      <c r="F28" s="66">
        <v>0</v>
      </c>
      <c r="G28" s="66">
        <v>0</v>
      </c>
      <c r="H28" s="66">
        <v>40</v>
      </c>
      <c r="K28" s="66"/>
    </row>
    <row r="29" spans="1:11" x14ac:dyDescent="0.2">
      <c r="A29" t="s">
        <v>48</v>
      </c>
      <c r="B29" t="s">
        <v>55</v>
      </c>
      <c r="C29" s="8">
        <v>45020</v>
      </c>
      <c r="D29" s="8">
        <v>45026</v>
      </c>
      <c r="E29" s="66">
        <v>23.5</v>
      </c>
      <c r="F29" s="66">
        <v>0</v>
      </c>
      <c r="G29" s="66">
        <v>0</v>
      </c>
      <c r="H29" s="66">
        <v>40</v>
      </c>
      <c r="K29" s="66"/>
    </row>
    <row r="30" spans="1:11" x14ac:dyDescent="0.2">
      <c r="A30" t="s">
        <v>48</v>
      </c>
      <c r="B30" t="s">
        <v>70</v>
      </c>
      <c r="C30" s="8">
        <v>45020</v>
      </c>
      <c r="D30" s="8">
        <v>45026</v>
      </c>
      <c r="E30" s="66">
        <v>24.25</v>
      </c>
      <c r="F30" s="66">
        <v>0</v>
      </c>
      <c r="G30" s="66">
        <v>0</v>
      </c>
      <c r="H30" s="66">
        <v>40</v>
      </c>
      <c r="K30" s="66"/>
    </row>
    <row r="31" spans="1:11" x14ac:dyDescent="0.2">
      <c r="A31" t="s">
        <v>48</v>
      </c>
      <c r="B31" t="s">
        <v>38</v>
      </c>
      <c r="C31" s="8">
        <v>45020</v>
      </c>
      <c r="D31" s="8">
        <v>45026</v>
      </c>
      <c r="E31" s="66">
        <v>20.75</v>
      </c>
      <c r="F31" s="66">
        <v>0</v>
      </c>
      <c r="G31" s="66">
        <v>0</v>
      </c>
      <c r="H31" s="66">
        <v>40</v>
      </c>
      <c r="K31" s="66"/>
    </row>
    <row r="32" spans="1:11" x14ac:dyDescent="0.2">
      <c r="A32" t="s">
        <v>57</v>
      </c>
      <c r="B32" t="s">
        <v>61</v>
      </c>
      <c r="C32" s="8">
        <v>45020</v>
      </c>
      <c r="D32" s="8">
        <v>45026</v>
      </c>
      <c r="E32" s="66">
        <v>15.9</v>
      </c>
      <c r="F32" s="66">
        <v>2.75</v>
      </c>
      <c r="G32" s="66">
        <v>0</v>
      </c>
      <c r="H32" s="66">
        <v>40</v>
      </c>
      <c r="K32" s="66"/>
    </row>
    <row r="33" spans="1:11" x14ac:dyDescent="0.2">
      <c r="A33" t="s">
        <v>57</v>
      </c>
      <c r="B33" t="s">
        <v>62</v>
      </c>
      <c r="C33" s="8">
        <v>45020</v>
      </c>
      <c r="D33" s="8">
        <v>45026</v>
      </c>
      <c r="E33" s="66">
        <v>13.9</v>
      </c>
      <c r="F33" s="66">
        <v>1.25</v>
      </c>
      <c r="G33" s="66">
        <v>0</v>
      </c>
      <c r="H33" s="66">
        <v>40</v>
      </c>
      <c r="K33" s="66"/>
    </row>
    <row r="34" spans="1:11" x14ac:dyDescent="0.2">
      <c r="A34" t="s">
        <v>57</v>
      </c>
      <c r="B34" t="s">
        <v>60</v>
      </c>
      <c r="C34" s="8">
        <v>45020</v>
      </c>
      <c r="D34" s="8">
        <v>45026</v>
      </c>
      <c r="E34" s="66">
        <v>10</v>
      </c>
      <c r="F34" s="66">
        <v>1</v>
      </c>
      <c r="G34" s="66">
        <v>0</v>
      </c>
      <c r="H34" s="66">
        <v>40</v>
      </c>
      <c r="K34" s="66"/>
    </row>
    <row r="35" spans="1:11" x14ac:dyDescent="0.2">
      <c r="A35" t="s">
        <v>48</v>
      </c>
      <c r="B35" t="s">
        <v>46</v>
      </c>
      <c r="C35" s="8">
        <v>45020</v>
      </c>
      <c r="D35" s="8">
        <v>45026</v>
      </c>
      <c r="E35" s="66">
        <v>15.5</v>
      </c>
      <c r="F35" s="66">
        <v>0</v>
      </c>
      <c r="G35" s="66">
        <v>0</v>
      </c>
      <c r="H35" s="66">
        <v>40</v>
      </c>
      <c r="K35" s="66"/>
    </row>
    <row r="36" spans="1:11" x14ac:dyDescent="0.2">
      <c r="A36" t="s">
        <v>48</v>
      </c>
      <c r="B36" t="s">
        <v>64</v>
      </c>
      <c r="C36" s="8">
        <v>45020</v>
      </c>
      <c r="D36" s="8">
        <v>45026</v>
      </c>
      <c r="E36" s="66">
        <v>33</v>
      </c>
      <c r="F36" s="66">
        <v>0</v>
      </c>
      <c r="G36" s="66">
        <v>0</v>
      </c>
      <c r="H36" s="66">
        <v>40</v>
      </c>
      <c r="K36" s="66"/>
    </row>
    <row r="37" spans="1:11" x14ac:dyDescent="0.2">
      <c r="A37" t="s">
        <v>48</v>
      </c>
      <c r="B37" t="s">
        <v>56</v>
      </c>
      <c r="C37" s="8">
        <v>45020</v>
      </c>
      <c r="D37" s="8">
        <v>45026</v>
      </c>
      <c r="E37" s="66">
        <v>19.5</v>
      </c>
      <c r="F37" s="66">
        <v>13.25</v>
      </c>
      <c r="G37" s="66">
        <v>0</v>
      </c>
      <c r="H37" s="66">
        <v>40</v>
      </c>
      <c r="K37" s="66"/>
    </row>
    <row r="38" spans="1:11" x14ac:dyDescent="0.2">
      <c r="A38" t="s">
        <v>48</v>
      </c>
      <c r="B38" t="s">
        <v>44</v>
      </c>
      <c r="C38" s="8">
        <v>45020</v>
      </c>
      <c r="D38" s="8">
        <v>45026</v>
      </c>
      <c r="E38" s="66">
        <v>26.5</v>
      </c>
      <c r="F38" s="66">
        <v>1</v>
      </c>
      <c r="G38" s="66">
        <v>0</v>
      </c>
      <c r="H38" s="66">
        <v>40</v>
      </c>
      <c r="K38" s="66"/>
    </row>
    <row r="39" spans="1:11" x14ac:dyDescent="0.2">
      <c r="A39" t="s">
        <v>48</v>
      </c>
      <c r="B39" t="s">
        <v>36</v>
      </c>
      <c r="C39" s="8">
        <v>45020</v>
      </c>
      <c r="D39" s="8">
        <v>45026</v>
      </c>
      <c r="E39" s="66">
        <v>30.52</v>
      </c>
      <c r="F39" s="66">
        <v>0</v>
      </c>
      <c r="G39" s="66">
        <v>0</v>
      </c>
      <c r="H39" s="66">
        <v>40</v>
      </c>
      <c r="K39" s="66"/>
    </row>
    <row r="40" spans="1:11" x14ac:dyDescent="0.2">
      <c r="A40" t="s">
        <v>48</v>
      </c>
      <c r="B40" t="s">
        <v>65</v>
      </c>
      <c r="C40" s="8">
        <v>45020</v>
      </c>
      <c r="D40" s="8">
        <v>45026</v>
      </c>
      <c r="E40" s="66">
        <v>23.5</v>
      </c>
      <c r="F40" s="66">
        <v>0</v>
      </c>
      <c r="G40" s="66">
        <v>0</v>
      </c>
      <c r="H40" s="66">
        <v>40</v>
      </c>
      <c r="K40" s="66"/>
    </row>
    <row r="41" spans="1:11" x14ac:dyDescent="0.2">
      <c r="A41" t="s">
        <v>48</v>
      </c>
      <c r="B41" t="s">
        <v>66</v>
      </c>
      <c r="C41" s="8">
        <v>45020</v>
      </c>
      <c r="D41" s="8">
        <v>45026</v>
      </c>
      <c r="E41" s="66">
        <v>24.25</v>
      </c>
      <c r="F41" s="66">
        <v>0</v>
      </c>
      <c r="G41" s="66">
        <v>0</v>
      </c>
      <c r="H41" s="66">
        <v>40</v>
      </c>
      <c r="K41" s="66"/>
    </row>
    <row r="42" spans="1:11" x14ac:dyDescent="0.2">
      <c r="A42" t="s">
        <v>48</v>
      </c>
      <c r="B42" t="s">
        <v>40</v>
      </c>
      <c r="C42" s="8">
        <v>45020</v>
      </c>
      <c r="D42" s="8">
        <v>45026</v>
      </c>
      <c r="E42" s="66">
        <v>20.75</v>
      </c>
      <c r="F42" s="66">
        <v>0</v>
      </c>
      <c r="G42" s="66">
        <v>0</v>
      </c>
      <c r="H42" s="66">
        <v>40</v>
      </c>
      <c r="K42" s="66"/>
    </row>
    <row r="43" spans="1:11" x14ac:dyDescent="0.2">
      <c r="A43" t="s">
        <v>57</v>
      </c>
      <c r="B43" t="s">
        <v>53</v>
      </c>
      <c r="C43" s="8">
        <v>45020</v>
      </c>
      <c r="D43" s="8">
        <v>45026</v>
      </c>
      <c r="E43" s="66">
        <v>15.9</v>
      </c>
      <c r="F43" s="66">
        <v>2.75</v>
      </c>
      <c r="G43" s="66">
        <v>0</v>
      </c>
      <c r="H43" s="66">
        <v>40</v>
      </c>
      <c r="K43" s="66"/>
    </row>
    <row r="44" spans="1:11" x14ac:dyDescent="0.2">
      <c r="A44" t="s">
        <v>57</v>
      </c>
      <c r="B44" t="s">
        <v>33</v>
      </c>
      <c r="C44" s="8">
        <v>45020</v>
      </c>
      <c r="D44" s="8">
        <v>45026</v>
      </c>
      <c r="E44" s="66">
        <v>13.9</v>
      </c>
      <c r="F44" s="66">
        <v>1.25</v>
      </c>
      <c r="G44" s="66">
        <v>0</v>
      </c>
      <c r="H44" s="66">
        <v>40</v>
      </c>
      <c r="K44" s="66"/>
    </row>
    <row r="45" spans="1:11" x14ac:dyDescent="0.2">
      <c r="A45" t="s">
        <v>57</v>
      </c>
      <c r="B45" t="s">
        <v>63</v>
      </c>
      <c r="C45" s="8">
        <v>45020</v>
      </c>
      <c r="D45" s="8">
        <v>45026</v>
      </c>
      <c r="E45" s="66">
        <v>10</v>
      </c>
      <c r="F45" s="66">
        <v>1</v>
      </c>
      <c r="G45" s="66">
        <v>0</v>
      </c>
      <c r="H45" s="66">
        <v>40</v>
      </c>
      <c r="K45" s="66"/>
    </row>
    <row r="46" spans="1:11" x14ac:dyDescent="0.2">
      <c r="A46" t="s">
        <v>48</v>
      </c>
      <c r="B46" t="s">
        <v>42</v>
      </c>
      <c r="C46" s="8">
        <v>45027</v>
      </c>
      <c r="D46" s="8">
        <v>45033</v>
      </c>
      <c r="E46" s="66">
        <v>22</v>
      </c>
      <c r="F46" s="66">
        <v>0</v>
      </c>
      <c r="G46" s="66">
        <v>0</v>
      </c>
      <c r="H46" s="66">
        <v>40</v>
      </c>
      <c r="K46" s="66"/>
    </row>
    <row r="47" spans="1:11" x14ac:dyDescent="0.2">
      <c r="A47" t="s">
        <v>48</v>
      </c>
      <c r="B47" t="s">
        <v>43</v>
      </c>
      <c r="C47" s="8">
        <v>45027</v>
      </c>
      <c r="D47" s="8">
        <v>45033</v>
      </c>
      <c r="E47" s="66">
        <v>26.25</v>
      </c>
      <c r="F47" s="66">
        <v>0</v>
      </c>
      <c r="G47" s="66">
        <v>0</v>
      </c>
      <c r="H47" s="66">
        <v>40</v>
      </c>
      <c r="K47" s="66"/>
    </row>
    <row r="48" spans="1:11" x14ac:dyDescent="0.2">
      <c r="A48" t="s">
        <v>48</v>
      </c>
      <c r="B48" t="s">
        <v>52</v>
      </c>
      <c r="C48" s="8">
        <v>45027</v>
      </c>
      <c r="D48" s="8">
        <v>45033</v>
      </c>
      <c r="E48" s="66">
        <v>18.25</v>
      </c>
      <c r="F48" s="66">
        <v>16.25</v>
      </c>
      <c r="G48" s="66">
        <v>0</v>
      </c>
      <c r="H48" s="66">
        <v>40</v>
      </c>
      <c r="K48" s="66"/>
    </row>
    <row r="49" spans="1:11" x14ac:dyDescent="0.2">
      <c r="A49" t="s">
        <v>48</v>
      </c>
      <c r="B49" t="s">
        <v>41</v>
      </c>
      <c r="C49" s="8">
        <v>45027</v>
      </c>
      <c r="D49" s="8">
        <v>45033</v>
      </c>
      <c r="E49" s="66">
        <v>26.5</v>
      </c>
      <c r="F49" s="66">
        <v>0.5</v>
      </c>
      <c r="G49" s="66">
        <v>0</v>
      </c>
      <c r="H49" s="66">
        <v>40</v>
      </c>
      <c r="K49" s="66"/>
    </row>
    <row r="50" spans="1:11" x14ac:dyDescent="0.2">
      <c r="A50" t="s">
        <v>48</v>
      </c>
      <c r="B50" t="s">
        <v>35</v>
      </c>
      <c r="C50" s="8">
        <v>45027</v>
      </c>
      <c r="D50" s="8">
        <v>45033</v>
      </c>
      <c r="E50" s="66">
        <v>28.91</v>
      </c>
      <c r="F50" s="66">
        <v>1</v>
      </c>
      <c r="G50" s="66">
        <v>0</v>
      </c>
      <c r="H50" s="66">
        <v>40</v>
      </c>
      <c r="K50" s="66"/>
    </row>
    <row r="51" spans="1:11" x14ac:dyDescent="0.2">
      <c r="A51" t="s">
        <v>48</v>
      </c>
      <c r="B51" t="s">
        <v>55</v>
      </c>
      <c r="C51" s="8">
        <v>45027</v>
      </c>
      <c r="D51" s="8">
        <v>45033</v>
      </c>
      <c r="E51" s="66">
        <v>19.5</v>
      </c>
      <c r="F51" s="66">
        <v>0</v>
      </c>
      <c r="G51" s="66">
        <v>0</v>
      </c>
      <c r="H51" s="66">
        <v>40</v>
      </c>
      <c r="K51" s="66"/>
    </row>
    <row r="52" spans="1:11" x14ac:dyDescent="0.2">
      <c r="A52" t="s">
        <v>48</v>
      </c>
      <c r="B52" t="s">
        <v>70</v>
      </c>
      <c r="C52" s="8">
        <v>45027</v>
      </c>
      <c r="D52" s="8">
        <v>45033</v>
      </c>
      <c r="E52" s="66">
        <v>26.5</v>
      </c>
      <c r="F52" s="66">
        <v>0</v>
      </c>
      <c r="G52" s="66">
        <v>0</v>
      </c>
      <c r="H52" s="66">
        <v>40</v>
      </c>
      <c r="K52" s="66"/>
    </row>
    <row r="53" spans="1:11" x14ac:dyDescent="0.2">
      <c r="A53" t="s">
        <v>48</v>
      </c>
      <c r="B53" t="s">
        <v>38</v>
      </c>
      <c r="C53" s="8">
        <v>45027</v>
      </c>
      <c r="D53" s="8">
        <v>45033</v>
      </c>
      <c r="E53" s="66">
        <v>26</v>
      </c>
      <c r="F53" s="66">
        <v>1</v>
      </c>
      <c r="G53" s="66">
        <v>0</v>
      </c>
      <c r="H53" s="66">
        <v>40</v>
      </c>
      <c r="K53" s="66"/>
    </row>
    <row r="54" spans="1:11" x14ac:dyDescent="0.2">
      <c r="A54" t="s">
        <v>57</v>
      </c>
      <c r="B54" t="s">
        <v>61</v>
      </c>
      <c r="C54" s="8">
        <v>45027</v>
      </c>
      <c r="D54" s="8">
        <v>45033</v>
      </c>
      <c r="E54" s="66">
        <v>16.25</v>
      </c>
      <c r="F54" s="66">
        <v>3.1</v>
      </c>
      <c r="G54" s="66">
        <v>0</v>
      </c>
      <c r="H54" s="66">
        <v>40</v>
      </c>
      <c r="K54" s="66"/>
    </row>
    <row r="55" spans="1:11" x14ac:dyDescent="0.2">
      <c r="A55" t="s">
        <v>57</v>
      </c>
      <c r="B55" t="s">
        <v>62</v>
      </c>
      <c r="C55" s="8">
        <v>45027</v>
      </c>
      <c r="D55" s="8">
        <v>45033</v>
      </c>
      <c r="E55" s="66">
        <v>15.39</v>
      </c>
      <c r="F55" s="66">
        <v>0</v>
      </c>
      <c r="G55" s="66">
        <v>0</v>
      </c>
      <c r="H55" s="66">
        <v>40</v>
      </c>
      <c r="K55" s="66"/>
    </row>
    <row r="56" spans="1:11" x14ac:dyDescent="0.2">
      <c r="A56" t="s">
        <v>57</v>
      </c>
      <c r="B56" t="s">
        <v>60</v>
      </c>
      <c r="C56" s="8">
        <v>45027</v>
      </c>
      <c r="D56" s="8">
        <v>45033</v>
      </c>
      <c r="E56" s="66">
        <v>13.5</v>
      </c>
      <c r="F56" s="66">
        <v>0.75</v>
      </c>
      <c r="G56" s="66">
        <v>0</v>
      </c>
      <c r="H56" s="66">
        <v>40</v>
      </c>
      <c r="K56" s="66"/>
    </row>
    <row r="57" spans="1:11" x14ac:dyDescent="0.2">
      <c r="A57" t="s">
        <v>48</v>
      </c>
      <c r="B57" t="s">
        <v>46</v>
      </c>
      <c r="C57" s="8">
        <v>45027</v>
      </c>
      <c r="D57" s="8">
        <v>45033</v>
      </c>
      <c r="E57" s="66">
        <v>22</v>
      </c>
      <c r="F57" s="66">
        <v>0</v>
      </c>
      <c r="G57" s="66">
        <v>0</v>
      </c>
      <c r="H57" s="66">
        <v>40</v>
      </c>
      <c r="K57" s="66"/>
    </row>
    <row r="58" spans="1:11" x14ac:dyDescent="0.2">
      <c r="A58" t="s">
        <v>48</v>
      </c>
      <c r="B58" t="s">
        <v>64</v>
      </c>
      <c r="C58" s="8">
        <v>45027</v>
      </c>
      <c r="D58" s="8">
        <v>45033</v>
      </c>
      <c r="E58" s="66">
        <v>26.25</v>
      </c>
      <c r="F58" s="66">
        <v>0</v>
      </c>
      <c r="G58" s="66">
        <v>0</v>
      </c>
      <c r="H58" s="66">
        <v>40</v>
      </c>
      <c r="K58" s="66"/>
    </row>
    <row r="59" spans="1:11" x14ac:dyDescent="0.2">
      <c r="A59" t="s">
        <v>48</v>
      </c>
      <c r="B59" t="s">
        <v>56</v>
      </c>
      <c r="C59" s="8">
        <v>45027</v>
      </c>
      <c r="D59" s="8">
        <v>45033</v>
      </c>
      <c r="E59" s="66">
        <v>18.25</v>
      </c>
      <c r="F59" s="66">
        <v>16.25</v>
      </c>
      <c r="G59" s="66">
        <v>0</v>
      </c>
      <c r="H59" s="66">
        <v>40</v>
      </c>
      <c r="K59" s="66"/>
    </row>
    <row r="60" spans="1:11" x14ac:dyDescent="0.2">
      <c r="A60" t="s">
        <v>48</v>
      </c>
      <c r="B60" t="s">
        <v>44</v>
      </c>
      <c r="C60" s="8">
        <v>45027</v>
      </c>
      <c r="D60" s="8">
        <v>45033</v>
      </c>
      <c r="E60" s="66">
        <v>26.5</v>
      </c>
      <c r="F60" s="66">
        <v>0.5</v>
      </c>
      <c r="G60" s="66">
        <v>0</v>
      </c>
      <c r="H60" s="66">
        <v>40</v>
      </c>
      <c r="K60" s="66"/>
    </row>
    <row r="61" spans="1:11" x14ac:dyDescent="0.2">
      <c r="A61" t="s">
        <v>48</v>
      </c>
      <c r="B61" t="s">
        <v>36</v>
      </c>
      <c r="C61" s="8">
        <v>45027</v>
      </c>
      <c r="D61" s="8">
        <v>45033</v>
      </c>
      <c r="E61" s="66">
        <v>28.91</v>
      </c>
      <c r="F61" s="66">
        <v>1</v>
      </c>
      <c r="G61" s="66">
        <v>0</v>
      </c>
      <c r="H61" s="66">
        <v>40</v>
      </c>
      <c r="K61" s="66"/>
    </row>
    <row r="62" spans="1:11" x14ac:dyDescent="0.2">
      <c r="A62" t="s">
        <v>48</v>
      </c>
      <c r="B62" t="s">
        <v>65</v>
      </c>
      <c r="C62" s="8">
        <v>45027</v>
      </c>
      <c r="D62" s="8">
        <v>45033</v>
      </c>
      <c r="E62" s="66">
        <v>19.5</v>
      </c>
      <c r="F62" s="66">
        <v>0</v>
      </c>
      <c r="G62" s="66">
        <v>0</v>
      </c>
      <c r="H62" s="66">
        <v>40</v>
      </c>
      <c r="K62" s="66"/>
    </row>
    <row r="63" spans="1:11" x14ac:dyDescent="0.2">
      <c r="A63" t="s">
        <v>48</v>
      </c>
      <c r="B63" t="s">
        <v>39</v>
      </c>
      <c r="C63" s="8">
        <v>45027</v>
      </c>
      <c r="D63" s="8">
        <v>45033</v>
      </c>
      <c r="E63" s="66">
        <v>26.5</v>
      </c>
      <c r="F63" s="66">
        <v>0</v>
      </c>
      <c r="G63" s="66">
        <v>0</v>
      </c>
      <c r="H63" s="66">
        <v>40</v>
      </c>
      <c r="K63" s="66"/>
    </row>
    <row r="64" spans="1:11" x14ac:dyDescent="0.2">
      <c r="A64" t="s">
        <v>48</v>
      </c>
      <c r="B64" t="s">
        <v>40</v>
      </c>
      <c r="C64" s="8">
        <v>45027</v>
      </c>
      <c r="D64" s="8">
        <v>45033</v>
      </c>
      <c r="E64" s="66">
        <v>26</v>
      </c>
      <c r="F64" s="66">
        <v>1</v>
      </c>
      <c r="G64" s="66">
        <v>0</v>
      </c>
      <c r="H64" s="66">
        <v>40</v>
      </c>
      <c r="K64" s="66"/>
    </row>
    <row r="65" spans="1:11" x14ac:dyDescent="0.2">
      <c r="A65" t="s">
        <v>57</v>
      </c>
      <c r="B65" t="s">
        <v>53</v>
      </c>
      <c r="C65" s="8">
        <v>45027</v>
      </c>
      <c r="D65" s="8">
        <v>45033</v>
      </c>
      <c r="E65" s="66">
        <v>16.25</v>
      </c>
      <c r="F65" s="66">
        <v>3.1</v>
      </c>
      <c r="G65" s="66">
        <v>0</v>
      </c>
      <c r="H65" s="66">
        <v>40</v>
      </c>
      <c r="K65" s="66"/>
    </row>
    <row r="66" spans="1:11" x14ac:dyDescent="0.2">
      <c r="A66" t="s">
        <v>57</v>
      </c>
      <c r="B66" t="s">
        <v>33</v>
      </c>
      <c r="C66" s="8">
        <v>45027</v>
      </c>
      <c r="D66" s="8">
        <v>45033</v>
      </c>
      <c r="E66" s="66">
        <v>15.39</v>
      </c>
      <c r="F66" s="66">
        <v>0</v>
      </c>
      <c r="G66" s="66">
        <v>0</v>
      </c>
      <c r="H66" s="66">
        <v>40</v>
      </c>
      <c r="K66" s="66"/>
    </row>
    <row r="67" spans="1:11" x14ac:dyDescent="0.2">
      <c r="A67" t="s">
        <v>57</v>
      </c>
      <c r="B67" t="s">
        <v>63</v>
      </c>
      <c r="C67" s="8">
        <v>45027</v>
      </c>
      <c r="D67" s="8">
        <v>45033</v>
      </c>
      <c r="E67" s="66">
        <v>13.5</v>
      </c>
      <c r="F67" s="66">
        <v>0.75</v>
      </c>
      <c r="G67" s="66">
        <v>0</v>
      </c>
      <c r="H67" s="66">
        <v>40</v>
      </c>
      <c r="K67" s="66"/>
    </row>
    <row r="68" spans="1:11" x14ac:dyDescent="0.2">
      <c r="A68" t="s">
        <v>48</v>
      </c>
      <c r="B68" t="s">
        <v>42</v>
      </c>
      <c r="C68" s="8">
        <v>45034</v>
      </c>
      <c r="D68" s="8">
        <v>45040</v>
      </c>
      <c r="E68" s="66">
        <v>28</v>
      </c>
      <c r="F68" s="66">
        <v>0</v>
      </c>
      <c r="G68" s="66">
        <v>0</v>
      </c>
      <c r="H68" s="66">
        <v>40</v>
      </c>
      <c r="K68" s="66"/>
    </row>
    <row r="69" spans="1:11" x14ac:dyDescent="0.2">
      <c r="A69" t="s">
        <v>48</v>
      </c>
      <c r="B69" t="s">
        <v>43</v>
      </c>
      <c r="C69" s="8">
        <v>45034</v>
      </c>
      <c r="D69" s="8">
        <v>45040</v>
      </c>
      <c r="E69" s="66">
        <v>24.5</v>
      </c>
      <c r="F69" s="66">
        <v>0</v>
      </c>
      <c r="G69" s="66">
        <v>0</v>
      </c>
      <c r="H69" s="66">
        <v>40</v>
      </c>
      <c r="K69" s="66"/>
    </row>
    <row r="70" spans="1:11" x14ac:dyDescent="0.2">
      <c r="A70" t="s">
        <v>48</v>
      </c>
      <c r="B70" t="s">
        <v>52</v>
      </c>
      <c r="C70" s="8">
        <v>45034</v>
      </c>
      <c r="D70" s="8">
        <v>45040</v>
      </c>
      <c r="E70" s="66">
        <v>27.25</v>
      </c>
      <c r="F70" s="66">
        <v>6.75</v>
      </c>
      <c r="G70" s="66">
        <v>0</v>
      </c>
      <c r="H70" s="66">
        <v>40</v>
      </c>
      <c r="K70" s="66"/>
    </row>
    <row r="71" spans="1:11" x14ac:dyDescent="0.2">
      <c r="A71" t="s">
        <v>48</v>
      </c>
      <c r="B71" t="s">
        <v>41</v>
      </c>
      <c r="C71" s="8">
        <v>45034</v>
      </c>
      <c r="D71" s="8">
        <v>45040</v>
      </c>
      <c r="E71" s="66">
        <v>24</v>
      </c>
      <c r="F71" s="66">
        <v>3.5</v>
      </c>
      <c r="G71" s="66">
        <v>0</v>
      </c>
      <c r="H71" s="66">
        <v>40</v>
      </c>
      <c r="K71" s="66"/>
    </row>
    <row r="72" spans="1:11" x14ac:dyDescent="0.2">
      <c r="A72" t="s">
        <v>48</v>
      </c>
      <c r="B72" t="s">
        <v>35</v>
      </c>
      <c r="C72" s="8">
        <v>45034</v>
      </c>
      <c r="D72" s="8">
        <v>45040</v>
      </c>
      <c r="E72" s="66">
        <v>30.35</v>
      </c>
      <c r="F72" s="66">
        <v>0.5</v>
      </c>
      <c r="G72" s="66">
        <v>0</v>
      </c>
      <c r="H72" s="66">
        <v>40</v>
      </c>
      <c r="K72" s="66"/>
    </row>
    <row r="73" spans="1:11" x14ac:dyDescent="0.2">
      <c r="A73" t="s">
        <v>48</v>
      </c>
      <c r="B73" t="s">
        <v>55</v>
      </c>
      <c r="C73" s="8">
        <v>45034</v>
      </c>
      <c r="D73" s="8">
        <v>45040</v>
      </c>
      <c r="E73" s="66">
        <v>23.25</v>
      </c>
      <c r="F73" s="66">
        <v>7</v>
      </c>
      <c r="G73" s="66">
        <v>0</v>
      </c>
      <c r="H73" s="66">
        <v>40</v>
      </c>
      <c r="K73" s="66"/>
    </row>
    <row r="74" spans="1:11" x14ac:dyDescent="0.2">
      <c r="A74" t="s">
        <v>48</v>
      </c>
      <c r="B74" t="s">
        <v>69</v>
      </c>
      <c r="C74" s="8">
        <v>45034</v>
      </c>
      <c r="D74" s="8">
        <v>45040</v>
      </c>
      <c r="E74" s="66">
        <v>19</v>
      </c>
      <c r="F74" s="66">
        <v>0</v>
      </c>
      <c r="G74" s="66">
        <v>0</v>
      </c>
      <c r="H74" s="66">
        <v>40</v>
      </c>
      <c r="K74" s="66"/>
    </row>
    <row r="75" spans="1:11" x14ac:dyDescent="0.2">
      <c r="A75" t="s">
        <v>48</v>
      </c>
      <c r="B75" t="s">
        <v>38</v>
      </c>
      <c r="C75" s="8">
        <v>45034</v>
      </c>
      <c r="D75" s="8">
        <v>45040</v>
      </c>
      <c r="E75" s="66">
        <v>33</v>
      </c>
      <c r="F75" s="66">
        <v>0</v>
      </c>
      <c r="G75" s="66">
        <v>0</v>
      </c>
      <c r="H75" s="66">
        <v>40</v>
      </c>
      <c r="K75" s="66"/>
    </row>
    <row r="76" spans="1:11" x14ac:dyDescent="0.2">
      <c r="A76" t="s">
        <v>57</v>
      </c>
      <c r="B76" t="s">
        <v>61</v>
      </c>
      <c r="C76" s="8">
        <v>45034</v>
      </c>
      <c r="D76" s="8">
        <v>45040</v>
      </c>
      <c r="E76" s="66">
        <v>27.65</v>
      </c>
      <c r="F76" s="66">
        <v>1.65</v>
      </c>
      <c r="G76" s="66">
        <v>0</v>
      </c>
      <c r="H76" s="66">
        <v>40</v>
      </c>
      <c r="K76" s="66"/>
    </row>
    <row r="77" spans="1:11" x14ac:dyDescent="0.2">
      <c r="A77" t="s">
        <v>57</v>
      </c>
      <c r="B77" t="s">
        <v>59</v>
      </c>
      <c r="C77" s="8">
        <v>45034</v>
      </c>
      <c r="D77" s="8">
        <v>45040</v>
      </c>
      <c r="E77" s="66">
        <v>13.65</v>
      </c>
      <c r="F77" s="66">
        <v>4.75</v>
      </c>
      <c r="G77" s="66">
        <v>0</v>
      </c>
      <c r="H77" s="66">
        <v>40</v>
      </c>
      <c r="K77" s="66"/>
    </row>
    <row r="78" spans="1:11" x14ac:dyDescent="0.2">
      <c r="A78" t="s">
        <v>57</v>
      </c>
      <c r="B78" t="s">
        <v>60</v>
      </c>
      <c r="C78" s="8">
        <v>45034</v>
      </c>
      <c r="D78" s="8">
        <v>45040</v>
      </c>
      <c r="E78" s="66">
        <v>6.25</v>
      </c>
      <c r="F78" s="66">
        <v>0</v>
      </c>
      <c r="G78" s="66">
        <v>0</v>
      </c>
      <c r="H78" s="66">
        <v>40</v>
      </c>
      <c r="K78" s="66"/>
    </row>
    <row r="79" spans="1:11" x14ac:dyDescent="0.2">
      <c r="A79" t="s">
        <v>48</v>
      </c>
      <c r="B79" t="s">
        <v>46</v>
      </c>
      <c r="C79" s="8">
        <v>45034</v>
      </c>
      <c r="D79" s="8">
        <v>45040</v>
      </c>
      <c r="E79" s="66">
        <v>28</v>
      </c>
      <c r="F79" s="66">
        <v>0</v>
      </c>
      <c r="G79" s="66">
        <v>0</v>
      </c>
      <c r="H79" s="66">
        <v>40</v>
      </c>
      <c r="K79" s="66"/>
    </row>
    <row r="80" spans="1:11" x14ac:dyDescent="0.2">
      <c r="A80" t="s">
        <v>48</v>
      </c>
      <c r="B80" t="s">
        <v>64</v>
      </c>
      <c r="C80" s="8">
        <v>45034</v>
      </c>
      <c r="D80" s="8">
        <v>45040</v>
      </c>
      <c r="E80" s="66">
        <v>24.5</v>
      </c>
      <c r="F80" s="66">
        <v>0</v>
      </c>
      <c r="G80" s="66">
        <v>0</v>
      </c>
      <c r="H80" s="66">
        <v>40</v>
      </c>
      <c r="K80" s="66"/>
    </row>
    <row r="81" spans="1:11" x14ac:dyDescent="0.2">
      <c r="A81" t="s">
        <v>48</v>
      </c>
      <c r="B81" t="s">
        <v>56</v>
      </c>
      <c r="C81" s="8">
        <v>45034</v>
      </c>
      <c r="D81" s="8">
        <v>45040</v>
      </c>
      <c r="E81" s="66">
        <v>27.25</v>
      </c>
      <c r="F81" s="66">
        <v>6.75</v>
      </c>
      <c r="G81" s="66">
        <v>0</v>
      </c>
      <c r="H81" s="66">
        <v>40</v>
      </c>
      <c r="K81" s="66"/>
    </row>
    <row r="82" spans="1:11" x14ac:dyDescent="0.2">
      <c r="A82" t="s">
        <v>48</v>
      </c>
      <c r="B82" t="s">
        <v>44</v>
      </c>
      <c r="C82" s="8">
        <v>45034</v>
      </c>
      <c r="D82" s="8">
        <v>45040</v>
      </c>
      <c r="E82" s="66">
        <v>24</v>
      </c>
      <c r="F82" s="66">
        <v>3.5</v>
      </c>
      <c r="G82" s="66">
        <v>0</v>
      </c>
      <c r="H82" s="66">
        <v>40</v>
      </c>
      <c r="K82" s="66"/>
    </row>
    <row r="83" spans="1:11" x14ac:dyDescent="0.2">
      <c r="A83" t="s">
        <v>48</v>
      </c>
      <c r="B83" t="s">
        <v>36</v>
      </c>
      <c r="C83" s="8">
        <v>45034</v>
      </c>
      <c r="D83" s="8">
        <v>45040</v>
      </c>
      <c r="E83" s="66">
        <v>30.35</v>
      </c>
      <c r="F83" s="66">
        <v>0.5</v>
      </c>
      <c r="G83" s="66">
        <v>0</v>
      </c>
      <c r="H83" s="66">
        <v>40</v>
      </c>
      <c r="K83" s="66"/>
    </row>
    <row r="84" spans="1:11" x14ac:dyDescent="0.2">
      <c r="A84" t="s">
        <v>48</v>
      </c>
      <c r="B84" t="s">
        <v>65</v>
      </c>
      <c r="C84" s="8">
        <v>45034</v>
      </c>
      <c r="D84" s="8">
        <v>45040</v>
      </c>
      <c r="E84" s="66">
        <v>23.25</v>
      </c>
      <c r="F84" s="66">
        <v>7</v>
      </c>
      <c r="G84" s="66">
        <v>0</v>
      </c>
      <c r="H84" s="66">
        <v>40</v>
      </c>
      <c r="K84" s="66"/>
    </row>
    <row r="85" spans="1:11" x14ac:dyDescent="0.2">
      <c r="A85" t="s">
        <v>48</v>
      </c>
      <c r="B85" t="s">
        <v>39</v>
      </c>
      <c r="C85" s="8">
        <v>45034</v>
      </c>
      <c r="D85" s="8">
        <v>45040</v>
      </c>
      <c r="E85" s="66">
        <v>19</v>
      </c>
      <c r="F85" s="66">
        <v>0</v>
      </c>
      <c r="G85" s="66">
        <v>0</v>
      </c>
      <c r="H85" s="66">
        <v>40</v>
      </c>
      <c r="K85" s="66"/>
    </row>
    <row r="86" spans="1:11" x14ac:dyDescent="0.2">
      <c r="A86" t="s">
        <v>48</v>
      </c>
      <c r="B86" t="s">
        <v>40</v>
      </c>
      <c r="C86" s="8">
        <v>45034</v>
      </c>
      <c r="D86" s="8">
        <v>45040</v>
      </c>
      <c r="E86" s="66">
        <v>33</v>
      </c>
      <c r="F86" s="66">
        <v>0</v>
      </c>
      <c r="G86" s="66">
        <v>0</v>
      </c>
      <c r="H86" s="66">
        <v>40</v>
      </c>
      <c r="K86" s="66"/>
    </row>
    <row r="87" spans="1:11" x14ac:dyDescent="0.2">
      <c r="A87" t="s">
        <v>57</v>
      </c>
      <c r="B87" t="s">
        <v>53</v>
      </c>
      <c r="C87" s="8">
        <v>45034</v>
      </c>
      <c r="D87" s="8">
        <v>45040</v>
      </c>
      <c r="E87" s="66">
        <v>27.65</v>
      </c>
      <c r="F87" s="66">
        <v>1.65</v>
      </c>
      <c r="G87" s="66">
        <v>0</v>
      </c>
      <c r="H87" s="66">
        <v>40</v>
      </c>
      <c r="K87" s="66"/>
    </row>
    <row r="88" spans="1:11" x14ac:dyDescent="0.2">
      <c r="A88" t="s">
        <v>57</v>
      </c>
      <c r="B88" t="s">
        <v>33</v>
      </c>
      <c r="C88" s="8">
        <v>45034</v>
      </c>
      <c r="D88" s="8">
        <v>45040</v>
      </c>
      <c r="E88" s="66">
        <v>13.65</v>
      </c>
      <c r="F88" s="66">
        <v>4.75</v>
      </c>
      <c r="G88" s="66">
        <v>0</v>
      </c>
      <c r="H88" s="66">
        <v>40</v>
      </c>
      <c r="K88" s="66"/>
    </row>
    <row r="89" spans="1:11" x14ac:dyDescent="0.2">
      <c r="A89" t="s">
        <v>57</v>
      </c>
      <c r="B89" t="s">
        <v>47</v>
      </c>
      <c r="C89" s="8">
        <v>45034</v>
      </c>
      <c r="D89" s="8">
        <v>45040</v>
      </c>
      <c r="E89" s="66">
        <v>6.25</v>
      </c>
      <c r="F89" s="66">
        <v>0</v>
      </c>
      <c r="G89" s="66">
        <v>0</v>
      </c>
      <c r="H89" s="66">
        <v>40</v>
      </c>
      <c r="K89" s="66"/>
    </row>
    <row r="90" spans="1:11" x14ac:dyDescent="0.2">
      <c r="A90" t="s">
        <v>48</v>
      </c>
      <c r="B90" t="s">
        <v>42</v>
      </c>
      <c r="C90" s="8">
        <v>45041</v>
      </c>
      <c r="D90" s="8">
        <v>45047</v>
      </c>
      <c r="E90" s="66">
        <v>32</v>
      </c>
      <c r="F90" s="66">
        <v>0</v>
      </c>
      <c r="G90" s="66">
        <v>0</v>
      </c>
      <c r="H90" s="66">
        <v>40</v>
      </c>
      <c r="K90" s="66"/>
    </row>
    <row r="91" spans="1:11" x14ac:dyDescent="0.2">
      <c r="A91" t="s">
        <v>48</v>
      </c>
      <c r="B91" t="s">
        <v>43</v>
      </c>
      <c r="C91" s="8">
        <v>45041</v>
      </c>
      <c r="D91" s="8">
        <v>45047</v>
      </c>
      <c r="E91" s="66">
        <v>36.25</v>
      </c>
      <c r="F91" s="66">
        <v>0</v>
      </c>
      <c r="G91" s="66">
        <v>0</v>
      </c>
      <c r="H91" s="66">
        <v>40</v>
      </c>
      <c r="K91" s="66"/>
    </row>
    <row r="92" spans="1:11" x14ac:dyDescent="0.2">
      <c r="A92" t="s">
        <v>48</v>
      </c>
      <c r="B92" t="s">
        <v>52</v>
      </c>
      <c r="C92" s="8">
        <v>45041</v>
      </c>
      <c r="D92" s="8">
        <v>45047</v>
      </c>
      <c r="E92" s="66">
        <v>30.75</v>
      </c>
      <c r="F92" s="66">
        <v>0</v>
      </c>
      <c r="G92" s="66">
        <v>0</v>
      </c>
      <c r="H92" s="66">
        <v>40</v>
      </c>
      <c r="K92" s="66"/>
    </row>
    <row r="93" spans="1:11" x14ac:dyDescent="0.2">
      <c r="A93" t="s">
        <v>48</v>
      </c>
      <c r="B93" t="s">
        <v>41</v>
      </c>
      <c r="C93" s="8">
        <v>45041</v>
      </c>
      <c r="D93" s="8">
        <v>45047</v>
      </c>
      <c r="E93" s="66">
        <v>29.5</v>
      </c>
      <c r="F93" s="66">
        <v>0.5</v>
      </c>
      <c r="G93" s="66">
        <v>0</v>
      </c>
      <c r="H93" s="66">
        <v>40</v>
      </c>
      <c r="K93" s="66"/>
    </row>
    <row r="94" spans="1:11" x14ac:dyDescent="0.2">
      <c r="A94" t="s">
        <v>48</v>
      </c>
      <c r="B94" t="s">
        <v>35</v>
      </c>
      <c r="C94" s="8">
        <v>45041</v>
      </c>
      <c r="D94" s="8">
        <v>45047</v>
      </c>
      <c r="E94" s="66">
        <v>9.16</v>
      </c>
      <c r="F94" s="66">
        <v>1</v>
      </c>
      <c r="G94" s="66">
        <v>0</v>
      </c>
      <c r="H94" s="66">
        <v>40</v>
      </c>
      <c r="K94" s="66"/>
    </row>
    <row r="95" spans="1:11" x14ac:dyDescent="0.2">
      <c r="A95" t="s">
        <v>48</v>
      </c>
      <c r="B95" t="s">
        <v>55</v>
      </c>
      <c r="C95" s="8">
        <v>45041</v>
      </c>
      <c r="D95" s="8">
        <v>45047</v>
      </c>
      <c r="E95" s="66">
        <v>22.5</v>
      </c>
      <c r="F95" s="66">
        <v>4.5</v>
      </c>
      <c r="G95" s="66">
        <v>0</v>
      </c>
      <c r="H95" s="66">
        <v>40</v>
      </c>
      <c r="K95" s="66"/>
    </row>
    <row r="96" spans="1:11" x14ac:dyDescent="0.2">
      <c r="A96" t="s">
        <v>48</v>
      </c>
      <c r="B96" t="s">
        <v>69</v>
      </c>
      <c r="C96" s="8">
        <v>45041</v>
      </c>
      <c r="D96" s="8">
        <v>45047</v>
      </c>
      <c r="E96" s="66">
        <v>29.25</v>
      </c>
      <c r="F96" s="66">
        <v>0</v>
      </c>
      <c r="G96" s="66">
        <v>0</v>
      </c>
      <c r="H96" s="66">
        <v>40</v>
      </c>
      <c r="K96" s="66"/>
    </row>
    <row r="97" spans="1:11" x14ac:dyDescent="0.2">
      <c r="A97" t="s">
        <v>48</v>
      </c>
      <c r="B97" t="s">
        <v>38</v>
      </c>
      <c r="C97" s="8">
        <v>45041</v>
      </c>
      <c r="D97" s="8">
        <v>45047</v>
      </c>
      <c r="E97" s="66">
        <v>29.5</v>
      </c>
      <c r="F97" s="66">
        <v>3</v>
      </c>
      <c r="G97" s="66">
        <v>0</v>
      </c>
      <c r="H97" s="66">
        <v>40</v>
      </c>
      <c r="K97" s="66"/>
    </row>
    <row r="98" spans="1:11" x14ac:dyDescent="0.2">
      <c r="A98" t="s">
        <v>57</v>
      </c>
      <c r="B98" t="s">
        <v>61</v>
      </c>
      <c r="C98" s="8">
        <v>45041</v>
      </c>
      <c r="D98" s="8">
        <v>45047</v>
      </c>
      <c r="E98" s="66">
        <v>23.55</v>
      </c>
      <c r="F98" s="66">
        <v>8.25</v>
      </c>
      <c r="G98" s="66">
        <v>0</v>
      </c>
      <c r="H98" s="66">
        <v>40</v>
      </c>
      <c r="K98" s="66"/>
    </row>
    <row r="99" spans="1:11" x14ac:dyDescent="0.2">
      <c r="A99" t="s">
        <v>57</v>
      </c>
      <c r="B99" t="s">
        <v>59</v>
      </c>
      <c r="C99" s="8">
        <v>45041</v>
      </c>
      <c r="D99" s="8">
        <v>45047</v>
      </c>
      <c r="E99" s="66">
        <v>0</v>
      </c>
      <c r="F99" s="66">
        <v>0</v>
      </c>
      <c r="G99" s="66">
        <v>0</v>
      </c>
      <c r="H99" s="66">
        <v>40</v>
      </c>
      <c r="K99" s="66"/>
    </row>
    <row r="100" spans="1:11" x14ac:dyDescent="0.2">
      <c r="A100" t="s">
        <v>57</v>
      </c>
      <c r="B100" t="s">
        <v>60</v>
      </c>
      <c r="C100" s="8">
        <v>45041</v>
      </c>
      <c r="D100" s="8">
        <v>45047</v>
      </c>
      <c r="E100" s="66">
        <v>14.25</v>
      </c>
      <c r="F100" s="66">
        <v>0</v>
      </c>
      <c r="G100" s="66">
        <v>0</v>
      </c>
      <c r="H100" s="66">
        <v>40</v>
      </c>
      <c r="K100" s="66"/>
    </row>
    <row r="101" spans="1:11" x14ac:dyDescent="0.2">
      <c r="A101" t="s">
        <v>48</v>
      </c>
      <c r="B101" t="s">
        <v>46</v>
      </c>
      <c r="C101" s="8">
        <v>45041</v>
      </c>
      <c r="D101" s="8">
        <v>45047</v>
      </c>
      <c r="E101" s="66">
        <v>32</v>
      </c>
      <c r="F101" s="66">
        <v>0</v>
      </c>
      <c r="G101" s="66">
        <v>0</v>
      </c>
      <c r="H101" s="66">
        <v>40</v>
      </c>
      <c r="K101" s="66"/>
    </row>
    <row r="102" spans="1:11" x14ac:dyDescent="0.2">
      <c r="A102" t="s">
        <v>48</v>
      </c>
      <c r="B102" t="s">
        <v>64</v>
      </c>
      <c r="C102" s="8">
        <v>45041</v>
      </c>
      <c r="D102" s="8">
        <v>45047</v>
      </c>
      <c r="E102" s="66">
        <v>36.25</v>
      </c>
      <c r="F102" s="66">
        <v>0</v>
      </c>
      <c r="G102" s="66">
        <v>0</v>
      </c>
      <c r="H102" s="66">
        <v>40</v>
      </c>
      <c r="K102" s="66"/>
    </row>
    <row r="103" spans="1:11" x14ac:dyDescent="0.2">
      <c r="A103" t="s">
        <v>48</v>
      </c>
      <c r="B103" t="s">
        <v>54</v>
      </c>
      <c r="C103" s="8">
        <v>45041</v>
      </c>
      <c r="D103" s="8">
        <v>45047</v>
      </c>
      <c r="E103" s="66">
        <v>30.75</v>
      </c>
      <c r="F103" s="66">
        <v>0</v>
      </c>
      <c r="G103" s="66">
        <v>0</v>
      </c>
      <c r="H103" s="66">
        <v>40</v>
      </c>
      <c r="K103" s="66"/>
    </row>
    <row r="104" spans="1:11" x14ac:dyDescent="0.2">
      <c r="A104" t="s">
        <v>48</v>
      </c>
      <c r="B104" t="s">
        <v>44</v>
      </c>
      <c r="C104" s="8">
        <v>45041</v>
      </c>
      <c r="D104" s="8">
        <v>45047</v>
      </c>
      <c r="E104" s="66">
        <v>29.5</v>
      </c>
      <c r="F104" s="66">
        <v>0.5</v>
      </c>
      <c r="G104" s="66">
        <v>0</v>
      </c>
      <c r="H104" s="66">
        <v>40</v>
      </c>
      <c r="K104" s="66"/>
    </row>
    <row r="105" spans="1:11" x14ac:dyDescent="0.2">
      <c r="A105" t="s">
        <v>48</v>
      </c>
      <c r="B105" t="s">
        <v>36</v>
      </c>
      <c r="C105" s="8">
        <v>45041</v>
      </c>
      <c r="D105" s="8">
        <v>45047</v>
      </c>
      <c r="E105" s="66">
        <v>9.16</v>
      </c>
      <c r="F105" s="66">
        <v>1</v>
      </c>
      <c r="G105" s="66">
        <v>0</v>
      </c>
      <c r="H105" s="66">
        <v>40</v>
      </c>
      <c r="K105" s="66"/>
    </row>
    <row r="106" spans="1:11" x14ac:dyDescent="0.2">
      <c r="A106" t="s">
        <v>48</v>
      </c>
      <c r="B106" t="s">
        <v>65</v>
      </c>
      <c r="C106" s="8">
        <v>45041</v>
      </c>
      <c r="D106" s="8">
        <v>45047</v>
      </c>
      <c r="E106" s="66">
        <v>22.5</v>
      </c>
      <c r="F106" s="66">
        <v>4.5</v>
      </c>
      <c r="G106" s="66">
        <v>0</v>
      </c>
      <c r="H106" s="66">
        <v>40</v>
      </c>
      <c r="K106" s="66"/>
    </row>
    <row r="107" spans="1:11" x14ac:dyDescent="0.2">
      <c r="A107" t="s">
        <v>48</v>
      </c>
      <c r="B107" t="s">
        <v>39</v>
      </c>
      <c r="C107" s="8">
        <v>45041</v>
      </c>
      <c r="D107" s="8">
        <v>45047</v>
      </c>
      <c r="E107" s="66">
        <v>29.25</v>
      </c>
      <c r="F107" s="66">
        <v>0</v>
      </c>
      <c r="G107" s="66">
        <v>0</v>
      </c>
      <c r="H107" s="66">
        <v>40</v>
      </c>
      <c r="K107" s="66"/>
    </row>
    <row r="108" spans="1:11" x14ac:dyDescent="0.2">
      <c r="A108" t="s">
        <v>48</v>
      </c>
      <c r="B108" t="s">
        <v>40</v>
      </c>
      <c r="C108" s="8">
        <v>45041</v>
      </c>
      <c r="D108" s="8">
        <v>45047</v>
      </c>
      <c r="E108" s="66">
        <v>29.5</v>
      </c>
      <c r="F108" s="66">
        <v>3</v>
      </c>
      <c r="G108" s="66">
        <v>0</v>
      </c>
      <c r="H108" s="66">
        <v>40</v>
      </c>
      <c r="K108" s="66"/>
    </row>
    <row r="109" spans="1:11" x14ac:dyDescent="0.2">
      <c r="A109" t="s">
        <v>57</v>
      </c>
      <c r="B109" t="s">
        <v>53</v>
      </c>
      <c r="C109" s="8">
        <v>45041</v>
      </c>
      <c r="D109" s="8">
        <v>45047</v>
      </c>
      <c r="E109" s="66">
        <v>23.55</v>
      </c>
      <c r="F109" s="66">
        <v>8.25</v>
      </c>
      <c r="G109" s="66">
        <v>0</v>
      </c>
      <c r="H109" s="66">
        <v>40</v>
      </c>
      <c r="K109" s="66"/>
    </row>
    <row r="110" spans="1:11" x14ac:dyDescent="0.2">
      <c r="A110" t="s">
        <v>57</v>
      </c>
      <c r="B110" t="s">
        <v>33</v>
      </c>
      <c r="C110" s="8">
        <v>45041</v>
      </c>
      <c r="D110" s="8">
        <v>45047</v>
      </c>
      <c r="E110" s="66">
        <v>0</v>
      </c>
      <c r="F110" s="66">
        <v>0</v>
      </c>
      <c r="G110" s="66">
        <v>0</v>
      </c>
      <c r="H110" s="66">
        <v>40</v>
      </c>
      <c r="K110" s="66"/>
    </row>
    <row r="111" spans="1:11" x14ac:dyDescent="0.2">
      <c r="A111" t="s">
        <v>57</v>
      </c>
      <c r="B111" t="s">
        <v>47</v>
      </c>
      <c r="C111" s="8">
        <v>45041</v>
      </c>
      <c r="D111" s="8">
        <v>45047</v>
      </c>
      <c r="E111" s="66">
        <v>14.25</v>
      </c>
      <c r="F111" s="66">
        <v>0</v>
      </c>
      <c r="G111" s="66">
        <v>0</v>
      </c>
      <c r="H111" s="66">
        <v>40</v>
      </c>
      <c r="K111" s="66"/>
    </row>
    <row r="112" spans="1:11" x14ac:dyDescent="0.2">
      <c r="A112" t="s">
        <v>48</v>
      </c>
      <c r="B112" t="s">
        <v>42</v>
      </c>
      <c r="C112" s="8">
        <v>45048</v>
      </c>
      <c r="D112" s="8">
        <v>45054</v>
      </c>
      <c r="E112" s="66">
        <v>23</v>
      </c>
      <c r="F112" s="66">
        <v>1</v>
      </c>
      <c r="G112" s="66">
        <v>0</v>
      </c>
      <c r="H112" s="66">
        <v>40</v>
      </c>
      <c r="K112" s="66"/>
    </row>
    <row r="113" spans="1:11" x14ac:dyDescent="0.2">
      <c r="A113" t="s">
        <v>48</v>
      </c>
      <c r="B113" t="s">
        <v>37</v>
      </c>
      <c r="C113" s="8">
        <v>45048</v>
      </c>
      <c r="D113" s="8">
        <v>45054</v>
      </c>
      <c r="E113" s="66">
        <v>32.5</v>
      </c>
      <c r="F113" s="66">
        <v>0</v>
      </c>
      <c r="G113" s="66">
        <v>0</v>
      </c>
      <c r="H113" s="66">
        <v>40</v>
      </c>
      <c r="K113" s="66"/>
    </row>
    <row r="114" spans="1:11" x14ac:dyDescent="0.2">
      <c r="A114" t="s">
        <v>48</v>
      </c>
      <c r="B114" t="s">
        <v>52</v>
      </c>
      <c r="C114" s="8">
        <v>45048</v>
      </c>
      <c r="D114" s="8">
        <v>45054</v>
      </c>
      <c r="E114" s="66">
        <v>37.5</v>
      </c>
      <c r="F114" s="66">
        <v>0</v>
      </c>
      <c r="G114" s="66">
        <v>0</v>
      </c>
      <c r="H114" s="66">
        <v>40</v>
      </c>
      <c r="K114" s="66"/>
    </row>
    <row r="115" spans="1:11" x14ac:dyDescent="0.2">
      <c r="A115" t="s">
        <v>48</v>
      </c>
      <c r="B115" t="s">
        <v>41</v>
      </c>
      <c r="C115" s="8">
        <v>45048</v>
      </c>
      <c r="D115" s="8">
        <v>45054</v>
      </c>
      <c r="E115" s="66">
        <v>27.75</v>
      </c>
      <c r="F115" s="66">
        <v>1.5</v>
      </c>
      <c r="G115" s="66">
        <v>0</v>
      </c>
      <c r="H115" s="66">
        <v>40</v>
      </c>
      <c r="K115" s="66"/>
    </row>
    <row r="116" spans="1:11" x14ac:dyDescent="0.2">
      <c r="A116" t="s">
        <v>48</v>
      </c>
      <c r="B116" t="s">
        <v>35</v>
      </c>
      <c r="C116" s="8">
        <v>45048</v>
      </c>
      <c r="D116" s="8">
        <v>45054</v>
      </c>
      <c r="E116" s="66">
        <v>30.17</v>
      </c>
      <c r="F116" s="66">
        <v>0</v>
      </c>
      <c r="G116" s="66">
        <v>0</v>
      </c>
      <c r="H116" s="66">
        <v>40</v>
      </c>
      <c r="K116" s="66"/>
    </row>
    <row r="117" spans="1:11" x14ac:dyDescent="0.2">
      <c r="A117" t="s">
        <v>48</v>
      </c>
      <c r="B117" t="s">
        <v>55</v>
      </c>
      <c r="C117" s="8">
        <v>45048</v>
      </c>
      <c r="D117" s="8">
        <v>45054</v>
      </c>
      <c r="E117" s="66">
        <v>12</v>
      </c>
      <c r="F117" s="66">
        <v>7</v>
      </c>
      <c r="G117" s="66">
        <v>0</v>
      </c>
      <c r="H117" s="66">
        <v>40</v>
      </c>
      <c r="K117" s="66"/>
    </row>
    <row r="118" spans="1:11" x14ac:dyDescent="0.2">
      <c r="A118" t="s">
        <v>48</v>
      </c>
      <c r="B118" t="s">
        <v>69</v>
      </c>
      <c r="C118" s="8">
        <v>45048</v>
      </c>
      <c r="D118" s="8">
        <v>45054</v>
      </c>
      <c r="E118" s="66">
        <v>14.5</v>
      </c>
      <c r="F118" s="66">
        <v>0</v>
      </c>
      <c r="G118" s="66">
        <v>0</v>
      </c>
      <c r="H118" s="66">
        <v>40</v>
      </c>
      <c r="K118" s="66"/>
    </row>
    <row r="119" spans="1:11" x14ac:dyDescent="0.2">
      <c r="A119" t="s">
        <v>48</v>
      </c>
      <c r="B119" t="s">
        <v>38</v>
      </c>
      <c r="C119" s="8">
        <v>45048</v>
      </c>
      <c r="D119" s="8">
        <v>45054</v>
      </c>
      <c r="E119" s="66">
        <v>30.5</v>
      </c>
      <c r="F119" s="66">
        <v>0.75</v>
      </c>
      <c r="G119" s="66">
        <v>0</v>
      </c>
      <c r="H119" s="66">
        <v>40</v>
      </c>
      <c r="K119" s="66"/>
    </row>
    <row r="120" spans="1:11" x14ac:dyDescent="0.2">
      <c r="A120" t="s">
        <v>57</v>
      </c>
      <c r="B120" t="s">
        <v>61</v>
      </c>
      <c r="C120" s="8">
        <v>45048</v>
      </c>
      <c r="D120" s="8">
        <v>45054</v>
      </c>
      <c r="E120" s="66">
        <v>22.8</v>
      </c>
      <c r="F120" s="66">
        <v>3</v>
      </c>
      <c r="G120" s="66">
        <v>0</v>
      </c>
      <c r="H120" s="66">
        <v>40</v>
      </c>
      <c r="K120" s="66"/>
    </row>
    <row r="121" spans="1:11" x14ac:dyDescent="0.2">
      <c r="A121" t="s">
        <v>57</v>
      </c>
      <c r="B121" t="s">
        <v>59</v>
      </c>
      <c r="C121" s="8">
        <v>45048</v>
      </c>
      <c r="D121" s="8">
        <v>45054</v>
      </c>
      <c r="E121" s="66">
        <v>19.93</v>
      </c>
      <c r="F121" s="66">
        <v>0.25</v>
      </c>
      <c r="G121" s="66">
        <v>0</v>
      </c>
      <c r="H121" s="66">
        <v>40</v>
      </c>
      <c r="K121" s="66"/>
    </row>
    <row r="122" spans="1:11" x14ac:dyDescent="0.2">
      <c r="A122" t="s">
        <v>57</v>
      </c>
      <c r="B122" t="s">
        <v>60</v>
      </c>
      <c r="C122" s="8">
        <v>45048</v>
      </c>
      <c r="D122" s="8">
        <v>45054</v>
      </c>
      <c r="E122" s="66">
        <v>14.75</v>
      </c>
      <c r="F122" s="66">
        <v>0</v>
      </c>
      <c r="G122" s="66">
        <v>0</v>
      </c>
      <c r="H122" s="66">
        <v>40</v>
      </c>
      <c r="K122" s="66"/>
    </row>
    <row r="123" spans="1:11" x14ac:dyDescent="0.2">
      <c r="A123" t="s">
        <v>48</v>
      </c>
      <c r="B123" t="s">
        <v>46</v>
      </c>
      <c r="C123" s="8">
        <v>45048</v>
      </c>
      <c r="D123" s="8">
        <v>45054</v>
      </c>
      <c r="E123" s="66">
        <v>23</v>
      </c>
      <c r="F123" s="66">
        <v>1</v>
      </c>
      <c r="G123" s="66">
        <v>0</v>
      </c>
      <c r="H123" s="66">
        <v>40</v>
      </c>
      <c r="K123" s="66"/>
    </row>
    <row r="124" spans="1:11" x14ac:dyDescent="0.2">
      <c r="A124" t="s">
        <v>48</v>
      </c>
      <c r="B124" t="s">
        <v>64</v>
      </c>
      <c r="C124" s="8">
        <v>45048</v>
      </c>
      <c r="D124" s="8">
        <v>45054</v>
      </c>
      <c r="E124" s="66">
        <v>32.5</v>
      </c>
      <c r="F124" s="66">
        <v>0</v>
      </c>
      <c r="G124" s="66">
        <v>0</v>
      </c>
      <c r="H124" s="66">
        <v>40</v>
      </c>
      <c r="K124" s="66"/>
    </row>
    <row r="125" spans="1:11" x14ac:dyDescent="0.2">
      <c r="A125" t="s">
        <v>48</v>
      </c>
      <c r="B125" t="s">
        <v>54</v>
      </c>
      <c r="C125" s="8">
        <v>45048</v>
      </c>
      <c r="D125" s="8">
        <v>45054</v>
      </c>
      <c r="E125" s="66">
        <v>37.5</v>
      </c>
      <c r="F125" s="66">
        <v>0</v>
      </c>
      <c r="G125" s="66">
        <v>0</v>
      </c>
      <c r="H125" s="66">
        <v>40</v>
      </c>
      <c r="K125" s="66"/>
    </row>
    <row r="126" spans="1:11" x14ac:dyDescent="0.2">
      <c r="A126" t="s">
        <v>48</v>
      </c>
      <c r="B126" t="s">
        <v>44</v>
      </c>
      <c r="C126" s="8">
        <v>45048</v>
      </c>
      <c r="D126" s="8">
        <v>45054</v>
      </c>
      <c r="E126" s="66">
        <v>27.75</v>
      </c>
      <c r="F126" s="66">
        <v>1.5</v>
      </c>
      <c r="G126" s="66">
        <v>0</v>
      </c>
      <c r="H126" s="66">
        <v>40</v>
      </c>
      <c r="K126" s="66"/>
    </row>
    <row r="127" spans="1:11" x14ac:dyDescent="0.2">
      <c r="A127" t="s">
        <v>48</v>
      </c>
      <c r="B127" t="s">
        <v>36</v>
      </c>
      <c r="C127" s="8">
        <v>45048</v>
      </c>
      <c r="D127" s="8">
        <v>45054</v>
      </c>
      <c r="E127" s="66">
        <v>30.17</v>
      </c>
      <c r="F127" s="66">
        <v>0</v>
      </c>
      <c r="G127" s="66">
        <v>0</v>
      </c>
      <c r="H127" s="66">
        <v>40</v>
      </c>
      <c r="K127" s="66"/>
    </row>
    <row r="128" spans="1:11" x14ac:dyDescent="0.2">
      <c r="A128" t="s">
        <v>48</v>
      </c>
      <c r="B128" t="s">
        <v>66</v>
      </c>
      <c r="C128" s="8">
        <v>45048</v>
      </c>
      <c r="D128" s="8">
        <v>45054</v>
      </c>
      <c r="E128" s="66">
        <v>12</v>
      </c>
      <c r="F128" s="66">
        <v>7</v>
      </c>
      <c r="G128" s="66">
        <v>0</v>
      </c>
      <c r="H128" s="66">
        <v>40</v>
      </c>
      <c r="K128" s="66"/>
    </row>
    <row r="129" spans="1:11" x14ac:dyDescent="0.2">
      <c r="A129" t="s">
        <v>48</v>
      </c>
      <c r="B129" t="s">
        <v>39</v>
      </c>
      <c r="C129" s="8">
        <v>45048</v>
      </c>
      <c r="D129" s="8">
        <v>45054</v>
      </c>
      <c r="E129" s="66">
        <v>14.5</v>
      </c>
      <c r="F129" s="66">
        <v>0</v>
      </c>
      <c r="G129" s="66">
        <v>0</v>
      </c>
      <c r="H129" s="66">
        <v>40</v>
      </c>
      <c r="K129" s="66"/>
    </row>
    <row r="130" spans="1:11" x14ac:dyDescent="0.2">
      <c r="A130" t="s">
        <v>48</v>
      </c>
      <c r="B130" t="s">
        <v>40</v>
      </c>
      <c r="C130" s="8">
        <v>45048</v>
      </c>
      <c r="D130" s="8">
        <v>45054</v>
      </c>
      <c r="E130" s="66">
        <v>30.5</v>
      </c>
      <c r="F130" s="66">
        <v>0.75</v>
      </c>
      <c r="G130" s="66">
        <v>0</v>
      </c>
      <c r="H130" s="66">
        <v>40</v>
      </c>
      <c r="K130" s="66"/>
    </row>
    <row r="131" spans="1:11" x14ac:dyDescent="0.2">
      <c r="A131" t="s">
        <v>57</v>
      </c>
      <c r="B131" t="s">
        <v>53</v>
      </c>
      <c r="C131" s="8">
        <v>45048</v>
      </c>
      <c r="D131" s="8">
        <v>45054</v>
      </c>
      <c r="E131" s="66">
        <v>22.8</v>
      </c>
      <c r="F131" s="66">
        <v>3</v>
      </c>
      <c r="G131" s="66">
        <v>0</v>
      </c>
      <c r="H131" s="66">
        <v>40</v>
      </c>
      <c r="K131" s="66"/>
    </row>
    <row r="132" spans="1:11" x14ac:dyDescent="0.2">
      <c r="A132" t="s">
        <v>57</v>
      </c>
      <c r="B132" t="s">
        <v>33</v>
      </c>
      <c r="C132" s="8">
        <v>45048</v>
      </c>
      <c r="D132" s="8">
        <v>45054</v>
      </c>
      <c r="E132" s="66">
        <v>19.93</v>
      </c>
      <c r="F132" s="66">
        <v>0.25</v>
      </c>
      <c r="G132" s="66">
        <v>0</v>
      </c>
      <c r="H132" s="66">
        <v>40</v>
      </c>
      <c r="K132" s="66"/>
    </row>
    <row r="133" spans="1:11" x14ac:dyDescent="0.2">
      <c r="A133" t="s">
        <v>57</v>
      </c>
      <c r="B133" t="s">
        <v>47</v>
      </c>
      <c r="C133" s="8">
        <v>45048</v>
      </c>
      <c r="D133" s="8">
        <v>45054</v>
      </c>
      <c r="E133" s="66">
        <v>14.75</v>
      </c>
      <c r="F133" s="66">
        <v>0</v>
      </c>
      <c r="G133" s="66">
        <v>0</v>
      </c>
      <c r="H133" s="66">
        <v>40</v>
      </c>
      <c r="K133" s="66"/>
    </row>
    <row r="134" spans="1:11" x14ac:dyDescent="0.2">
      <c r="A134" t="s">
        <v>48</v>
      </c>
      <c r="B134" t="s">
        <v>42</v>
      </c>
      <c r="C134" s="8">
        <v>45055</v>
      </c>
      <c r="D134" s="8">
        <v>45061</v>
      </c>
      <c r="E134" s="66">
        <v>27</v>
      </c>
      <c r="F134" s="66">
        <v>0</v>
      </c>
      <c r="G134" s="66">
        <v>0</v>
      </c>
      <c r="H134" s="66">
        <v>40</v>
      </c>
      <c r="K134" s="66"/>
    </row>
    <row r="135" spans="1:11" x14ac:dyDescent="0.2">
      <c r="A135" t="s">
        <v>48</v>
      </c>
      <c r="B135" t="s">
        <v>37</v>
      </c>
      <c r="C135" s="8">
        <v>45055</v>
      </c>
      <c r="D135" s="8">
        <v>45061</v>
      </c>
      <c r="E135" s="66">
        <v>31</v>
      </c>
      <c r="F135" s="66">
        <v>0</v>
      </c>
      <c r="G135" s="66">
        <v>0</v>
      </c>
      <c r="H135" s="66">
        <v>40</v>
      </c>
      <c r="K135" s="66"/>
    </row>
    <row r="136" spans="1:11" x14ac:dyDescent="0.2">
      <c r="A136" t="s">
        <v>48</v>
      </c>
      <c r="B136" t="s">
        <v>52</v>
      </c>
      <c r="C136" s="8">
        <v>45055</v>
      </c>
      <c r="D136" s="8">
        <v>45061</v>
      </c>
      <c r="E136" s="66">
        <v>34</v>
      </c>
      <c r="F136" s="66">
        <v>0</v>
      </c>
      <c r="G136" s="66">
        <v>0</v>
      </c>
      <c r="H136" s="66">
        <v>40</v>
      </c>
      <c r="K136" s="66"/>
    </row>
    <row r="137" spans="1:11" x14ac:dyDescent="0.2">
      <c r="A137" t="s">
        <v>48</v>
      </c>
      <c r="B137" t="s">
        <v>58</v>
      </c>
      <c r="C137" s="8">
        <v>45055</v>
      </c>
      <c r="D137" s="8">
        <v>45061</v>
      </c>
      <c r="E137" s="66">
        <v>30</v>
      </c>
      <c r="F137" s="66">
        <v>0</v>
      </c>
      <c r="G137" s="66">
        <v>0</v>
      </c>
      <c r="H137" s="66">
        <v>40</v>
      </c>
      <c r="K137" s="66"/>
    </row>
    <row r="138" spans="1:11" x14ac:dyDescent="0.2">
      <c r="A138" t="s">
        <v>48</v>
      </c>
      <c r="B138" t="s">
        <v>35</v>
      </c>
      <c r="C138" s="8">
        <v>45055</v>
      </c>
      <c r="D138" s="8">
        <v>45061</v>
      </c>
      <c r="E138" s="66">
        <v>31.51</v>
      </c>
      <c r="F138" s="66">
        <v>2.5</v>
      </c>
      <c r="G138" s="66">
        <v>0</v>
      </c>
      <c r="H138" s="66">
        <v>40</v>
      </c>
      <c r="K138" s="66"/>
    </row>
    <row r="139" spans="1:11" x14ac:dyDescent="0.2">
      <c r="A139" t="s">
        <v>48</v>
      </c>
      <c r="B139" t="s">
        <v>55</v>
      </c>
      <c r="C139" s="8">
        <v>45055</v>
      </c>
      <c r="D139" s="8">
        <v>45061</v>
      </c>
      <c r="E139" s="66">
        <v>25.5</v>
      </c>
      <c r="F139" s="66">
        <v>1.25</v>
      </c>
      <c r="G139" s="66">
        <v>0</v>
      </c>
      <c r="H139" s="66">
        <v>40</v>
      </c>
      <c r="K139" s="66"/>
    </row>
    <row r="140" spans="1:11" x14ac:dyDescent="0.2">
      <c r="A140" t="s">
        <v>48</v>
      </c>
      <c r="B140" t="s">
        <v>69</v>
      </c>
      <c r="C140" s="8">
        <v>45055</v>
      </c>
      <c r="D140" s="8">
        <v>45061</v>
      </c>
      <c r="E140" s="66">
        <v>15.75</v>
      </c>
      <c r="F140" s="66">
        <v>0</v>
      </c>
      <c r="G140" s="66">
        <v>0</v>
      </c>
      <c r="H140" s="66">
        <v>40</v>
      </c>
      <c r="K140" s="66"/>
    </row>
    <row r="141" spans="1:11" x14ac:dyDescent="0.2">
      <c r="A141" t="s">
        <v>48</v>
      </c>
      <c r="B141" t="s">
        <v>38</v>
      </c>
      <c r="C141" s="8">
        <v>45055</v>
      </c>
      <c r="D141" s="8">
        <v>45061</v>
      </c>
      <c r="E141" s="66">
        <v>28</v>
      </c>
      <c r="F141" s="66">
        <v>2.25</v>
      </c>
      <c r="G141" s="66">
        <v>0</v>
      </c>
      <c r="H141" s="66">
        <v>40</v>
      </c>
      <c r="K141" s="66"/>
    </row>
    <row r="142" spans="1:11" x14ac:dyDescent="0.2">
      <c r="A142" t="s">
        <v>57</v>
      </c>
      <c r="B142" t="s">
        <v>61</v>
      </c>
      <c r="C142" s="8">
        <v>45055</v>
      </c>
      <c r="D142" s="8">
        <v>45061</v>
      </c>
      <c r="E142" s="66">
        <v>4.7</v>
      </c>
      <c r="F142" s="66">
        <v>0</v>
      </c>
      <c r="G142" s="66">
        <v>0</v>
      </c>
      <c r="H142" s="66">
        <v>40</v>
      </c>
      <c r="K142" s="66"/>
    </row>
    <row r="143" spans="1:11" x14ac:dyDescent="0.2">
      <c r="A143" t="s">
        <v>57</v>
      </c>
      <c r="B143" t="s">
        <v>59</v>
      </c>
      <c r="C143" s="8">
        <v>45055</v>
      </c>
      <c r="D143" s="8">
        <v>45061</v>
      </c>
      <c r="E143" s="66">
        <v>16.899999999999999</v>
      </c>
      <c r="F143" s="66">
        <v>0.15</v>
      </c>
      <c r="G143" s="66">
        <v>0</v>
      </c>
      <c r="H143" s="66">
        <v>40</v>
      </c>
      <c r="K143" s="66"/>
    </row>
    <row r="144" spans="1:11" x14ac:dyDescent="0.2">
      <c r="A144" t="s">
        <v>57</v>
      </c>
      <c r="B144" t="s">
        <v>67</v>
      </c>
      <c r="C144" s="8">
        <v>45055</v>
      </c>
      <c r="D144" s="8">
        <v>45061</v>
      </c>
      <c r="E144" s="66">
        <v>9.25</v>
      </c>
      <c r="F144" s="66">
        <v>1.5</v>
      </c>
      <c r="G144" s="66">
        <v>0</v>
      </c>
      <c r="H144" s="66">
        <v>40</v>
      </c>
      <c r="K144" s="66"/>
    </row>
    <row r="145" spans="1:11" x14ac:dyDescent="0.2">
      <c r="A145" t="s">
        <v>48</v>
      </c>
      <c r="B145" t="s">
        <v>46</v>
      </c>
      <c r="C145" s="8">
        <v>45055</v>
      </c>
      <c r="D145" s="8">
        <v>45061</v>
      </c>
      <c r="E145" s="66">
        <v>27</v>
      </c>
      <c r="F145" s="66">
        <v>0</v>
      </c>
      <c r="G145" s="66">
        <v>0</v>
      </c>
      <c r="H145" s="66">
        <v>40</v>
      </c>
      <c r="K145" s="66"/>
    </row>
    <row r="146" spans="1:11" x14ac:dyDescent="0.2">
      <c r="A146" t="s">
        <v>48</v>
      </c>
      <c r="B146" t="s">
        <v>64</v>
      </c>
      <c r="C146" s="8">
        <v>45055</v>
      </c>
      <c r="D146" s="8">
        <v>45061</v>
      </c>
      <c r="E146" s="66">
        <v>31</v>
      </c>
      <c r="F146" s="66">
        <v>0</v>
      </c>
      <c r="G146" s="66">
        <v>0</v>
      </c>
      <c r="H146" s="66">
        <v>40</v>
      </c>
      <c r="K146" s="66"/>
    </row>
    <row r="147" spans="1:11" x14ac:dyDescent="0.2">
      <c r="A147" t="s">
        <v>48</v>
      </c>
      <c r="B147" t="s">
        <v>54</v>
      </c>
      <c r="C147" s="8">
        <v>45055</v>
      </c>
      <c r="D147" s="8">
        <v>45061</v>
      </c>
      <c r="E147" s="66">
        <v>34</v>
      </c>
      <c r="F147" s="66">
        <v>0</v>
      </c>
      <c r="G147" s="66">
        <v>0</v>
      </c>
      <c r="H147" s="66">
        <v>40</v>
      </c>
      <c r="K147" s="66"/>
    </row>
    <row r="148" spans="1:11" x14ac:dyDescent="0.2">
      <c r="A148" t="s">
        <v>48</v>
      </c>
      <c r="B148" t="s">
        <v>44</v>
      </c>
      <c r="C148" s="8">
        <v>45055</v>
      </c>
      <c r="D148" s="8">
        <v>45061</v>
      </c>
      <c r="E148" s="66">
        <v>30</v>
      </c>
      <c r="F148" s="66">
        <v>0</v>
      </c>
      <c r="G148" s="66">
        <v>0</v>
      </c>
      <c r="H148" s="66">
        <v>40</v>
      </c>
      <c r="K148" s="66"/>
    </row>
    <row r="149" spans="1:11" x14ac:dyDescent="0.2">
      <c r="A149" t="s">
        <v>48</v>
      </c>
      <c r="B149" t="s">
        <v>36</v>
      </c>
      <c r="C149" s="8">
        <v>45055</v>
      </c>
      <c r="D149" s="8">
        <v>45061</v>
      </c>
      <c r="E149" s="66">
        <v>31.51</v>
      </c>
      <c r="F149" s="66">
        <v>2.5</v>
      </c>
      <c r="G149" s="66">
        <v>0</v>
      </c>
      <c r="H149" s="66">
        <v>40</v>
      </c>
      <c r="K149" s="66"/>
    </row>
    <row r="150" spans="1:11" x14ac:dyDescent="0.2">
      <c r="A150" t="s">
        <v>48</v>
      </c>
      <c r="B150" t="s">
        <v>66</v>
      </c>
      <c r="C150" s="8">
        <v>45055</v>
      </c>
      <c r="D150" s="8">
        <v>45061</v>
      </c>
      <c r="E150" s="66">
        <v>25.5</v>
      </c>
      <c r="F150" s="66">
        <v>1.25</v>
      </c>
      <c r="G150" s="66">
        <v>0</v>
      </c>
      <c r="H150" s="66">
        <v>40</v>
      </c>
      <c r="K150" s="66"/>
    </row>
    <row r="151" spans="1:11" x14ac:dyDescent="0.2">
      <c r="A151" t="s">
        <v>48</v>
      </c>
      <c r="B151" t="s">
        <v>39</v>
      </c>
      <c r="C151" s="8">
        <v>45055</v>
      </c>
      <c r="D151" s="8">
        <v>45061</v>
      </c>
      <c r="E151" s="66">
        <v>15.75</v>
      </c>
      <c r="F151" s="66">
        <v>0</v>
      </c>
      <c r="G151" s="66">
        <v>0</v>
      </c>
      <c r="H151" s="66">
        <v>40</v>
      </c>
      <c r="K151" s="66"/>
    </row>
    <row r="152" spans="1:11" x14ac:dyDescent="0.2">
      <c r="A152" t="s">
        <v>48</v>
      </c>
      <c r="B152" t="s">
        <v>40</v>
      </c>
      <c r="C152" s="8">
        <v>45055</v>
      </c>
      <c r="D152" s="8">
        <v>45061</v>
      </c>
      <c r="E152" s="66">
        <v>28</v>
      </c>
      <c r="F152" s="66">
        <v>2.25</v>
      </c>
      <c r="G152" s="66">
        <v>0</v>
      </c>
      <c r="H152" s="66">
        <v>40</v>
      </c>
      <c r="K152" s="66"/>
    </row>
    <row r="153" spans="1:11" x14ac:dyDescent="0.2">
      <c r="A153" t="s">
        <v>57</v>
      </c>
      <c r="B153" t="s">
        <v>53</v>
      </c>
      <c r="C153" s="8">
        <v>45055</v>
      </c>
      <c r="D153" s="8">
        <v>45061</v>
      </c>
      <c r="E153" s="66">
        <v>4.7</v>
      </c>
      <c r="F153" s="66">
        <v>0</v>
      </c>
      <c r="G153" s="66">
        <v>0</v>
      </c>
      <c r="H153" s="66">
        <v>40</v>
      </c>
      <c r="K153" s="66"/>
    </row>
    <row r="154" spans="1:11" x14ac:dyDescent="0.2">
      <c r="A154" t="s">
        <v>57</v>
      </c>
      <c r="B154" t="s">
        <v>33</v>
      </c>
      <c r="C154" s="8">
        <v>45055</v>
      </c>
      <c r="D154" s="8">
        <v>45061</v>
      </c>
      <c r="E154" s="66">
        <v>16.899999999999999</v>
      </c>
      <c r="F154" s="66">
        <v>0.15</v>
      </c>
      <c r="G154" s="66">
        <v>0</v>
      </c>
      <c r="H154" s="66">
        <v>40</v>
      </c>
      <c r="K154" s="66"/>
    </row>
    <row r="155" spans="1:11" x14ac:dyDescent="0.2">
      <c r="A155" t="s">
        <v>57</v>
      </c>
      <c r="B155" t="s">
        <v>47</v>
      </c>
      <c r="C155" s="8">
        <v>45055</v>
      </c>
      <c r="D155" s="8">
        <v>45061</v>
      </c>
      <c r="E155" s="66">
        <v>9.25</v>
      </c>
      <c r="F155" s="66">
        <v>1.5</v>
      </c>
      <c r="G155" s="66">
        <v>0</v>
      </c>
      <c r="H155" s="66">
        <v>40</v>
      </c>
      <c r="K155" s="66"/>
    </row>
    <row r="156" spans="1:11" x14ac:dyDescent="0.2">
      <c r="A156" t="s">
        <v>48</v>
      </c>
      <c r="B156" t="s">
        <v>42</v>
      </c>
      <c r="C156" s="8">
        <v>45062</v>
      </c>
      <c r="D156" s="8">
        <v>45068</v>
      </c>
      <c r="E156" s="66">
        <v>20.5</v>
      </c>
      <c r="F156" s="66">
        <v>0</v>
      </c>
      <c r="G156" s="66">
        <v>0</v>
      </c>
      <c r="H156" s="66">
        <v>40</v>
      </c>
      <c r="K156" s="66"/>
    </row>
    <row r="157" spans="1:11" x14ac:dyDescent="0.2">
      <c r="A157" t="s">
        <v>48</v>
      </c>
      <c r="B157" t="s">
        <v>37</v>
      </c>
      <c r="C157" s="8">
        <v>45062</v>
      </c>
      <c r="D157" s="8">
        <v>45068</v>
      </c>
      <c r="E157" s="66">
        <v>19</v>
      </c>
      <c r="F157" s="66">
        <v>2</v>
      </c>
      <c r="G157" s="66">
        <v>0</v>
      </c>
      <c r="H157" s="66">
        <v>40</v>
      </c>
      <c r="K157" s="66"/>
    </row>
    <row r="158" spans="1:11" x14ac:dyDescent="0.2">
      <c r="A158" t="s">
        <v>48</v>
      </c>
      <c r="B158" t="s">
        <v>52</v>
      </c>
      <c r="C158" s="8">
        <v>45062</v>
      </c>
      <c r="D158" s="8">
        <v>45068</v>
      </c>
      <c r="E158" s="66">
        <v>36.5</v>
      </c>
      <c r="F158" s="66">
        <v>0</v>
      </c>
      <c r="G158" s="66">
        <v>0</v>
      </c>
      <c r="H158" s="66">
        <v>40</v>
      </c>
      <c r="K158" s="66"/>
    </row>
    <row r="159" spans="1:11" x14ac:dyDescent="0.2">
      <c r="A159" t="s">
        <v>48</v>
      </c>
      <c r="B159" t="s">
        <v>58</v>
      </c>
      <c r="C159" s="8">
        <v>45062</v>
      </c>
      <c r="D159" s="8">
        <v>45068</v>
      </c>
      <c r="E159" s="66">
        <v>25.5</v>
      </c>
      <c r="F159" s="66">
        <v>3</v>
      </c>
      <c r="G159" s="66">
        <v>0</v>
      </c>
      <c r="H159" s="66">
        <v>40</v>
      </c>
      <c r="K159" s="66"/>
    </row>
    <row r="160" spans="1:11" x14ac:dyDescent="0.2">
      <c r="A160" t="s">
        <v>48</v>
      </c>
      <c r="B160" t="s">
        <v>35</v>
      </c>
      <c r="C160" s="8">
        <v>45062</v>
      </c>
      <c r="D160" s="8">
        <v>45068</v>
      </c>
      <c r="E160" s="66">
        <v>11.75</v>
      </c>
      <c r="F160" s="66">
        <v>16.5</v>
      </c>
      <c r="G160" s="66">
        <v>0</v>
      </c>
      <c r="H160" s="66">
        <v>40</v>
      </c>
      <c r="K160" s="66"/>
    </row>
    <row r="161" spans="1:11" x14ac:dyDescent="0.2">
      <c r="A161" t="s">
        <v>48</v>
      </c>
      <c r="B161" t="s">
        <v>70</v>
      </c>
      <c r="C161" s="8">
        <v>45062</v>
      </c>
      <c r="D161" s="8">
        <v>45068</v>
      </c>
      <c r="E161" s="66">
        <v>23</v>
      </c>
      <c r="F161" s="66">
        <v>4.5</v>
      </c>
      <c r="G161" s="66">
        <v>0</v>
      </c>
      <c r="H161" s="66">
        <v>40</v>
      </c>
      <c r="K161" s="66"/>
    </row>
    <row r="162" spans="1:11" x14ac:dyDescent="0.2">
      <c r="A162" t="s">
        <v>48</v>
      </c>
      <c r="B162" t="s">
        <v>69</v>
      </c>
      <c r="C162" s="8">
        <v>45062</v>
      </c>
      <c r="D162" s="8">
        <v>45068</v>
      </c>
      <c r="E162" s="66">
        <v>17.5</v>
      </c>
      <c r="F162" s="66">
        <v>0</v>
      </c>
      <c r="G162" s="66">
        <v>0</v>
      </c>
      <c r="H162" s="66">
        <v>40</v>
      </c>
      <c r="K162" s="66"/>
    </row>
    <row r="163" spans="1:11" x14ac:dyDescent="0.2">
      <c r="A163" t="s">
        <v>48</v>
      </c>
      <c r="B163" t="s">
        <v>38</v>
      </c>
      <c r="C163" s="8">
        <v>45062</v>
      </c>
      <c r="D163" s="8">
        <v>45068</v>
      </c>
      <c r="E163" s="66">
        <v>22.25</v>
      </c>
      <c r="F163" s="66">
        <v>0.75</v>
      </c>
      <c r="G163" s="66">
        <v>0</v>
      </c>
      <c r="H163" s="66">
        <v>40</v>
      </c>
      <c r="K163" s="66"/>
    </row>
    <row r="164" spans="1:11" x14ac:dyDescent="0.2">
      <c r="A164" t="s">
        <v>57</v>
      </c>
      <c r="B164" t="s">
        <v>61</v>
      </c>
      <c r="C164" s="8">
        <v>45062</v>
      </c>
      <c r="D164" s="8">
        <v>45068</v>
      </c>
      <c r="E164" s="66">
        <v>18.8</v>
      </c>
      <c r="F164" s="66">
        <v>3.5</v>
      </c>
      <c r="G164" s="66">
        <v>0</v>
      </c>
      <c r="H164" s="66">
        <v>40</v>
      </c>
      <c r="K164" s="66"/>
    </row>
    <row r="165" spans="1:11" x14ac:dyDescent="0.2">
      <c r="A165" t="s">
        <v>57</v>
      </c>
      <c r="B165" t="s">
        <v>59</v>
      </c>
      <c r="C165" s="8">
        <v>45062</v>
      </c>
      <c r="D165" s="8">
        <v>45068</v>
      </c>
      <c r="E165" s="66">
        <v>13.65</v>
      </c>
      <c r="F165" s="66">
        <v>3</v>
      </c>
      <c r="G165" s="66">
        <v>0</v>
      </c>
      <c r="H165" s="66">
        <v>40</v>
      </c>
      <c r="K165" s="66"/>
    </row>
    <row r="166" spans="1:11" x14ac:dyDescent="0.2">
      <c r="A166" t="s">
        <v>57</v>
      </c>
      <c r="B166" t="s">
        <v>67</v>
      </c>
      <c r="C166" s="8">
        <v>45062</v>
      </c>
      <c r="D166" s="8">
        <v>45068</v>
      </c>
      <c r="E166" s="66">
        <v>10</v>
      </c>
      <c r="F166" s="66">
        <v>0</v>
      </c>
      <c r="G166" s="66">
        <v>0</v>
      </c>
      <c r="H166" s="66">
        <v>40</v>
      </c>
      <c r="K166" s="66"/>
    </row>
    <row r="167" spans="1:11" x14ac:dyDescent="0.2">
      <c r="A167" t="s">
        <v>48</v>
      </c>
      <c r="B167" t="s">
        <v>46</v>
      </c>
      <c r="C167" s="8">
        <v>45062</v>
      </c>
      <c r="D167" s="8">
        <v>45068</v>
      </c>
      <c r="E167" s="66">
        <v>20.5</v>
      </c>
      <c r="F167" s="66">
        <v>0</v>
      </c>
      <c r="G167" s="66">
        <v>0</v>
      </c>
      <c r="H167" s="66">
        <v>40</v>
      </c>
      <c r="K167" s="66"/>
    </row>
    <row r="168" spans="1:11" x14ac:dyDescent="0.2">
      <c r="A168" t="s">
        <v>48</v>
      </c>
      <c r="B168" t="s">
        <v>56</v>
      </c>
      <c r="C168" s="8">
        <v>45062</v>
      </c>
      <c r="D168" s="8">
        <v>45068</v>
      </c>
      <c r="E168" s="66">
        <v>19</v>
      </c>
      <c r="F168" s="66">
        <v>2</v>
      </c>
      <c r="G168" s="66">
        <v>0</v>
      </c>
      <c r="H168" s="66">
        <v>40</v>
      </c>
      <c r="K168" s="66"/>
    </row>
    <row r="169" spans="1:11" x14ac:dyDescent="0.2">
      <c r="A169" t="s">
        <v>48</v>
      </c>
      <c r="B169" t="s">
        <v>54</v>
      </c>
      <c r="C169" s="8">
        <v>45062</v>
      </c>
      <c r="D169" s="8">
        <v>45068</v>
      </c>
      <c r="E169" s="66">
        <v>36.5</v>
      </c>
      <c r="F169" s="66">
        <v>0</v>
      </c>
      <c r="G169" s="66">
        <v>0</v>
      </c>
      <c r="H169" s="66">
        <v>40</v>
      </c>
      <c r="K169" s="66"/>
    </row>
    <row r="170" spans="1:11" x14ac:dyDescent="0.2">
      <c r="A170" t="s">
        <v>48</v>
      </c>
      <c r="B170" t="s">
        <v>44</v>
      </c>
      <c r="C170" s="8">
        <v>45062</v>
      </c>
      <c r="D170" s="8">
        <v>45068</v>
      </c>
      <c r="E170" s="66">
        <v>25.5</v>
      </c>
      <c r="F170" s="66">
        <v>3</v>
      </c>
      <c r="G170" s="66">
        <v>0</v>
      </c>
      <c r="H170" s="66">
        <v>40</v>
      </c>
      <c r="K170" s="66"/>
    </row>
    <row r="171" spans="1:11" x14ac:dyDescent="0.2">
      <c r="A171" t="s">
        <v>48</v>
      </c>
      <c r="B171" t="s">
        <v>36</v>
      </c>
      <c r="C171" s="8">
        <v>45062</v>
      </c>
      <c r="D171" s="8">
        <v>45068</v>
      </c>
      <c r="E171" s="66">
        <v>11.75</v>
      </c>
      <c r="F171" s="66">
        <v>16.5</v>
      </c>
      <c r="G171" s="66">
        <v>0</v>
      </c>
      <c r="H171" s="66">
        <v>40</v>
      </c>
      <c r="K171" s="66"/>
    </row>
    <row r="172" spans="1:11" x14ac:dyDescent="0.2">
      <c r="A172" t="s">
        <v>48</v>
      </c>
      <c r="B172" t="s">
        <v>66</v>
      </c>
      <c r="C172" s="8">
        <v>45062</v>
      </c>
      <c r="D172" s="8">
        <v>45068</v>
      </c>
      <c r="E172" s="66">
        <v>23</v>
      </c>
      <c r="F172" s="66">
        <v>4.5</v>
      </c>
      <c r="G172" s="66">
        <v>0</v>
      </c>
      <c r="H172" s="66">
        <v>40</v>
      </c>
      <c r="K172" s="66"/>
    </row>
    <row r="173" spans="1:11" x14ac:dyDescent="0.2">
      <c r="A173" t="s">
        <v>48</v>
      </c>
      <c r="B173" t="s">
        <v>39</v>
      </c>
      <c r="C173" s="8">
        <v>45062</v>
      </c>
      <c r="D173" s="8">
        <v>45068</v>
      </c>
      <c r="E173" s="66">
        <v>17.5</v>
      </c>
      <c r="F173" s="66">
        <v>0</v>
      </c>
      <c r="G173" s="66">
        <v>0</v>
      </c>
      <c r="H173" s="66">
        <v>40</v>
      </c>
      <c r="K173" s="66"/>
    </row>
    <row r="174" spans="1:11" x14ac:dyDescent="0.2">
      <c r="A174" t="s">
        <v>48</v>
      </c>
      <c r="B174" t="s">
        <v>40</v>
      </c>
      <c r="C174" s="8">
        <v>45062</v>
      </c>
      <c r="D174" s="8">
        <v>45068</v>
      </c>
      <c r="E174" s="66">
        <v>22.25</v>
      </c>
      <c r="F174" s="66">
        <v>0.75</v>
      </c>
      <c r="G174" s="66">
        <v>0</v>
      </c>
      <c r="H174" s="66">
        <v>40</v>
      </c>
      <c r="K174" s="66"/>
    </row>
    <row r="175" spans="1:11" x14ac:dyDescent="0.2">
      <c r="A175" t="s">
        <v>57</v>
      </c>
      <c r="B175" t="s">
        <v>53</v>
      </c>
      <c r="C175" s="8">
        <v>45062</v>
      </c>
      <c r="D175" s="8">
        <v>45068</v>
      </c>
      <c r="E175" s="66">
        <v>18.8</v>
      </c>
      <c r="F175" s="66">
        <v>3.5</v>
      </c>
      <c r="G175" s="66">
        <v>0</v>
      </c>
      <c r="H175" s="66">
        <v>40</v>
      </c>
      <c r="K175" s="66"/>
    </row>
    <row r="176" spans="1:11" x14ac:dyDescent="0.2">
      <c r="A176" t="s">
        <v>57</v>
      </c>
      <c r="B176" t="s">
        <v>63</v>
      </c>
      <c r="C176" s="8">
        <v>45062</v>
      </c>
      <c r="D176" s="8">
        <v>45068</v>
      </c>
      <c r="E176" s="66">
        <v>13.65</v>
      </c>
      <c r="F176" s="66">
        <v>3</v>
      </c>
      <c r="G176" s="66">
        <v>0</v>
      </c>
      <c r="H176" s="66">
        <v>40</v>
      </c>
      <c r="K176" s="66"/>
    </row>
    <row r="177" spans="1:11" x14ac:dyDescent="0.2">
      <c r="A177" t="s">
        <v>57</v>
      </c>
      <c r="B177" t="s">
        <v>47</v>
      </c>
      <c r="C177" s="8">
        <v>45062</v>
      </c>
      <c r="D177" s="8">
        <v>45068</v>
      </c>
      <c r="E177" s="66">
        <v>10</v>
      </c>
      <c r="F177" s="66">
        <v>0</v>
      </c>
      <c r="G177" s="66">
        <v>0</v>
      </c>
      <c r="H177" s="66">
        <v>40</v>
      </c>
      <c r="K177" s="66"/>
    </row>
    <row r="178" spans="1:11" x14ac:dyDescent="0.2">
      <c r="A178" t="s">
        <v>48</v>
      </c>
      <c r="B178" t="s">
        <v>42</v>
      </c>
      <c r="C178" s="8">
        <v>45069</v>
      </c>
      <c r="D178" s="8">
        <v>45075</v>
      </c>
      <c r="E178" s="66">
        <v>17</v>
      </c>
      <c r="F178" s="66">
        <v>0</v>
      </c>
      <c r="G178" s="66">
        <v>0</v>
      </c>
      <c r="H178" s="66">
        <v>40</v>
      </c>
      <c r="K178" s="66"/>
    </row>
    <row r="179" spans="1:11" x14ac:dyDescent="0.2">
      <c r="A179" t="s">
        <v>48</v>
      </c>
      <c r="B179" t="s">
        <v>37</v>
      </c>
      <c r="C179" s="8">
        <v>45069</v>
      </c>
      <c r="D179" s="8">
        <v>45075</v>
      </c>
      <c r="E179" s="66">
        <v>25</v>
      </c>
      <c r="F179" s="66">
        <v>4</v>
      </c>
      <c r="G179" s="66">
        <v>0</v>
      </c>
      <c r="H179" s="66">
        <v>40</v>
      </c>
      <c r="K179" s="66"/>
    </row>
    <row r="180" spans="1:11" x14ac:dyDescent="0.2">
      <c r="A180" t="s">
        <v>48</v>
      </c>
      <c r="B180" t="s">
        <v>52</v>
      </c>
      <c r="C180" s="8">
        <v>45069</v>
      </c>
      <c r="D180" s="8">
        <v>45075</v>
      </c>
      <c r="E180" s="66">
        <v>38</v>
      </c>
      <c r="F180" s="66">
        <v>0</v>
      </c>
      <c r="G180" s="66">
        <v>0</v>
      </c>
      <c r="H180" s="66">
        <v>40</v>
      </c>
      <c r="K180" s="66"/>
    </row>
    <row r="181" spans="1:11" x14ac:dyDescent="0.2">
      <c r="A181" t="s">
        <v>48</v>
      </c>
      <c r="B181" t="s">
        <v>58</v>
      </c>
      <c r="C181" s="8">
        <v>45069</v>
      </c>
      <c r="D181" s="8">
        <v>45075</v>
      </c>
      <c r="E181" s="66">
        <v>30</v>
      </c>
      <c r="F181" s="66">
        <v>0</v>
      </c>
      <c r="G181" s="66">
        <v>0</v>
      </c>
      <c r="H181" s="66">
        <v>40</v>
      </c>
      <c r="K181" s="66"/>
    </row>
    <row r="182" spans="1:11" x14ac:dyDescent="0.2">
      <c r="A182" t="s">
        <v>48</v>
      </c>
      <c r="B182" t="s">
        <v>35</v>
      </c>
      <c r="C182" s="8">
        <v>45069</v>
      </c>
      <c r="D182" s="8">
        <v>45075</v>
      </c>
      <c r="E182" s="66">
        <v>19</v>
      </c>
      <c r="F182" s="66">
        <v>2</v>
      </c>
      <c r="G182" s="66">
        <v>0</v>
      </c>
      <c r="H182" s="66">
        <v>40</v>
      </c>
      <c r="K182" s="66"/>
    </row>
    <row r="183" spans="1:11" x14ac:dyDescent="0.2">
      <c r="A183" t="s">
        <v>48</v>
      </c>
      <c r="B183" t="s">
        <v>70</v>
      </c>
      <c r="C183" s="8">
        <v>45069</v>
      </c>
      <c r="D183" s="8">
        <v>45075</v>
      </c>
      <c r="E183" s="66">
        <v>30</v>
      </c>
      <c r="F183" s="66">
        <v>1.5</v>
      </c>
      <c r="G183" s="66">
        <v>0</v>
      </c>
      <c r="H183" s="66">
        <v>40</v>
      </c>
      <c r="K183" s="66"/>
    </row>
    <row r="184" spans="1:11" x14ac:dyDescent="0.2">
      <c r="A184" t="s">
        <v>48</v>
      </c>
      <c r="B184" t="s">
        <v>69</v>
      </c>
      <c r="C184" s="8">
        <v>45069</v>
      </c>
      <c r="D184" s="8">
        <v>45075</v>
      </c>
      <c r="E184" s="66">
        <v>14.5</v>
      </c>
      <c r="F184" s="66">
        <v>0</v>
      </c>
      <c r="G184" s="66">
        <v>0</v>
      </c>
      <c r="H184" s="66">
        <v>40</v>
      </c>
      <c r="K184" s="66"/>
    </row>
    <row r="185" spans="1:11" x14ac:dyDescent="0.2">
      <c r="A185" t="s">
        <v>48</v>
      </c>
      <c r="B185" t="s">
        <v>42</v>
      </c>
      <c r="C185" s="8">
        <v>45069</v>
      </c>
      <c r="D185" s="8">
        <v>45075</v>
      </c>
      <c r="E185" s="66">
        <v>22.5</v>
      </c>
      <c r="F185" s="66">
        <v>1.75</v>
      </c>
      <c r="G185" s="66">
        <v>0</v>
      </c>
      <c r="H185" s="66">
        <v>40</v>
      </c>
      <c r="K185" s="66"/>
    </row>
    <row r="186" spans="1:11" x14ac:dyDescent="0.2">
      <c r="A186" t="s">
        <v>57</v>
      </c>
      <c r="B186" t="s">
        <v>62</v>
      </c>
      <c r="C186" s="8">
        <v>45069</v>
      </c>
      <c r="D186" s="8">
        <v>45075</v>
      </c>
      <c r="E186" s="66">
        <v>15.95</v>
      </c>
      <c r="F186" s="66">
        <v>1.5</v>
      </c>
      <c r="G186" s="66">
        <v>0</v>
      </c>
      <c r="H186" s="66">
        <v>40</v>
      </c>
      <c r="K186" s="66"/>
    </row>
    <row r="187" spans="1:11" x14ac:dyDescent="0.2">
      <c r="A187" t="s">
        <v>57</v>
      </c>
      <c r="B187" t="s">
        <v>59</v>
      </c>
      <c r="C187" s="8">
        <v>45069</v>
      </c>
      <c r="D187" s="8">
        <v>45075</v>
      </c>
      <c r="E187" s="66">
        <v>13.25</v>
      </c>
      <c r="F187" s="66">
        <v>2.9</v>
      </c>
      <c r="G187" s="66">
        <v>0</v>
      </c>
      <c r="H187" s="66">
        <v>40</v>
      </c>
      <c r="K187" s="66"/>
    </row>
    <row r="188" spans="1:11" x14ac:dyDescent="0.2">
      <c r="A188" t="s">
        <v>57</v>
      </c>
      <c r="B188" t="s">
        <v>67</v>
      </c>
      <c r="C188" s="8">
        <v>45069</v>
      </c>
      <c r="D188" s="8">
        <v>45075</v>
      </c>
      <c r="E188" s="66">
        <v>9</v>
      </c>
      <c r="F188" s="66">
        <v>1.25</v>
      </c>
      <c r="G188" s="66">
        <v>0</v>
      </c>
      <c r="H188" s="66">
        <v>40</v>
      </c>
      <c r="K188" s="66"/>
    </row>
    <row r="189" spans="1:11" x14ac:dyDescent="0.2">
      <c r="A189" t="s">
        <v>48</v>
      </c>
      <c r="B189" t="s">
        <v>46</v>
      </c>
      <c r="C189" s="8">
        <v>45069</v>
      </c>
      <c r="D189" s="8">
        <v>45075</v>
      </c>
      <c r="E189" s="66">
        <v>17</v>
      </c>
      <c r="F189" s="66">
        <v>0</v>
      </c>
      <c r="G189" s="66">
        <v>0</v>
      </c>
      <c r="H189" s="66">
        <v>40</v>
      </c>
      <c r="K189" s="66"/>
    </row>
    <row r="190" spans="1:11" x14ac:dyDescent="0.2">
      <c r="A190" t="s">
        <v>48</v>
      </c>
      <c r="B190" t="s">
        <v>56</v>
      </c>
      <c r="C190" s="8">
        <v>45069</v>
      </c>
      <c r="D190" s="8">
        <v>45075</v>
      </c>
      <c r="E190" s="66">
        <v>25</v>
      </c>
      <c r="F190" s="66">
        <v>4</v>
      </c>
      <c r="G190" s="66">
        <v>0</v>
      </c>
      <c r="H190" s="66">
        <v>40</v>
      </c>
      <c r="K190" s="66"/>
    </row>
    <row r="191" spans="1:11" x14ac:dyDescent="0.2">
      <c r="A191" t="s">
        <v>48</v>
      </c>
      <c r="B191" t="s">
        <v>54</v>
      </c>
      <c r="C191" s="8">
        <v>45069</v>
      </c>
      <c r="D191" s="8">
        <v>45075</v>
      </c>
      <c r="E191" s="66">
        <v>38</v>
      </c>
      <c r="F191" s="66">
        <v>0</v>
      </c>
      <c r="G191" s="66">
        <v>0</v>
      </c>
      <c r="H191" s="66">
        <v>40</v>
      </c>
      <c r="K191" s="66"/>
    </row>
    <row r="192" spans="1:11" x14ac:dyDescent="0.2">
      <c r="A192" t="s">
        <v>48</v>
      </c>
      <c r="B192" t="s">
        <v>44</v>
      </c>
      <c r="C192" s="8">
        <v>45069</v>
      </c>
      <c r="D192" s="8">
        <v>45075</v>
      </c>
      <c r="E192" s="66">
        <v>30</v>
      </c>
      <c r="F192" s="66">
        <v>0</v>
      </c>
      <c r="G192" s="66">
        <v>0</v>
      </c>
      <c r="H192" s="66">
        <v>40</v>
      </c>
      <c r="K192" s="66"/>
    </row>
    <row r="193" spans="1:11" x14ac:dyDescent="0.2">
      <c r="A193" t="s">
        <v>48</v>
      </c>
      <c r="B193" t="s">
        <v>65</v>
      </c>
      <c r="C193" s="8">
        <v>45069</v>
      </c>
      <c r="D193" s="8">
        <v>45075</v>
      </c>
      <c r="E193" s="66">
        <v>19</v>
      </c>
      <c r="F193" s="66">
        <v>2</v>
      </c>
      <c r="G193" s="66">
        <v>0</v>
      </c>
      <c r="H193" s="66">
        <v>40</v>
      </c>
      <c r="K193" s="66"/>
    </row>
    <row r="194" spans="1:11" x14ac:dyDescent="0.2">
      <c r="A194" t="s">
        <v>48</v>
      </c>
      <c r="B194" t="s">
        <v>66</v>
      </c>
      <c r="C194" s="8">
        <v>45069</v>
      </c>
      <c r="D194" s="8">
        <v>45075</v>
      </c>
      <c r="E194" s="66">
        <v>30</v>
      </c>
      <c r="F194" s="66">
        <v>1.5</v>
      </c>
      <c r="G194" s="66">
        <v>0</v>
      </c>
      <c r="H194" s="66">
        <v>40</v>
      </c>
      <c r="K194" s="66"/>
    </row>
    <row r="195" spans="1:11" x14ac:dyDescent="0.2">
      <c r="A195" t="s">
        <v>48</v>
      </c>
      <c r="B195" t="s">
        <v>39</v>
      </c>
      <c r="C195" s="8">
        <v>45069</v>
      </c>
      <c r="D195" s="8">
        <v>45075</v>
      </c>
      <c r="E195" s="66">
        <v>14.5</v>
      </c>
      <c r="F195" s="66">
        <v>0</v>
      </c>
      <c r="G195" s="66">
        <v>0</v>
      </c>
      <c r="H195" s="66">
        <v>40</v>
      </c>
      <c r="K195" s="66"/>
    </row>
    <row r="196" spans="1:11" x14ac:dyDescent="0.2">
      <c r="A196" t="s">
        <v>48</v>
      </c>
      <c r="B196" t="s">
        <v>40</v>
      </c>
      <c r="C196" s="8">
        <v>45069</v>
      </c>
      <c r="D196" s="8">
        <v>45075</v>
      </c>
      <c r="E196" s="66">
        <v>22.5</v>
      </c>
      <c r="F196" s="66">
        <v>1.75</v>
      </c>
      <c r="G196" s="66">
        <v>0</v>
      </c>
      <c r="H196" s="66">
        <v>40</v>
      </c>
      <c r="K196" s="66"/>
    </row>
    <row r="197" spans="1:11" x14ac:dyDescent="0.2">
      <c r="A197" t="s">
        <v>57</v>
      </c>
      <c r="B197" t="s">
        <v>53</v>
      </c>
      <c r="C197" s="8">
        <v>45069</v>
      </c>
      <c r="D197" s="8">
        <v>45075</v>
      </c>
      <c r="E197" s="66">
        <v>15.95</v>
      </c>
      <c r="F197" s="66">
        <v>1.5</v>
      </c>
      <c r="G197" s="66">
        <v>0</v>
      </c>
      <c r="H197" s="66">
        <v>40</v>
      </c>
      <c r="K197" s="66"/>
    </row>
    <row r="198" spans="1:11" x14ac:dyDescent="0.2">
      <c r="A198" t="s">
        <v>57</v>
      </c>
      <c r="B198" t="s">
        <v>63</v>
      </c>
      <c r="C198" s="8">
        <v>45069</v>
      </c>
      <c r="D198" s="8">
        <v>45075</v>
      </c>
      <c r="E198" s="66">
        <v>13.25</v>
      </c>
      <c r="F198" s="66">
        <v>2.9</v>
      </c>
      <c r="G198" s="66">
        <v>0</v>
      </c>
      <c r="H198" s="66">
        <v>40</v>
      </c>
      <c r="K198" s="66"/>
    </row>
    <row r="199" spans="1:11" x14ac:dyDescent="0.2">
      <c r="A199" t="s">
        <v>57</v>
      </c>
      <c r="B199" t="s">
        <v>47</v>
      </c>
      <c r="C199" s="8">
        <v>45069</v>
      </c>
      <c r="D199" s="8">
        <v>45075</v>
      </c>
      <c r="E199" s="66">
        <v>9</v>
      </c>
      <c r="F199" s="66">
        <v>1.25</v>
      </c>
      <c r="G199" s="66">
        <v>0</v>
      </c>
      <c r="H199" s="66">
        <v>40</v>
      </c>
      <c r="K199" s="66"/>
    </row>
    <row r="200" spans="1:11" x14ac:dyDescent="0.2">
      <c r="A200" t="s">
        <v>48</v>
      </c>
      <c r="B200" t="s">
        <v>43</v>
      </c>
      <c r="C200" s="8">
        <v>45076</v>
      </c>
      <c r="D200" s="8">
        <v>45082</v>
      </c>
      <c r="E200" s="66">
        <v>27.5</v>
      </c>
      <c r="F200" s="66">
        <v>0</v>
      </c>
      <c r="G200" s="66">
        <v>0</v>
      </c>
      <c r="H200" s="66">
        <v>32</v>
      </c>
      <c r="K200" s="66"/>
    </row>
    <row r="201" spans="1:11" x14ac:dyDescent="0.2">
      <c r="A201" t="s">
        <v>48</v>
      </c>
      <c r="B201" t="s">
        <v>37</v>
      </c>
      <c r="C201" s="8">
        <v>45076</v>
      </c>
      <c r="D201" s="8">
        <v>45082</v>
      </c>
      <c r="E201" s="66">
        <v>23</v>
      </c>
      <c r="F201" s="66">
        <v>1.5</v>
      </c>
      <c r="G201" s="66">
        <v>0</v>
      </c>
      <c r="H201" s="66">
        <v>32</v>
      </c>
      <c r="K201" s="66"/>
    </row>
    <row r="202" spans="1:11" x14ac:dyDescent="0.2">
      <c r="A202" t="s">
        <v>48</v>
      </c>
      <c r="B202" t="s">
        <v>52</v>
      </c>
      <c r="C202" s="8">
        <v>45076</v>
      </c>
      <c r="D202" s="8">
        <v>45082</v>
      </c>
      <c r="E202" s="66">
        <v>25</v>
      </c>
      <c r="F202" s="66">
        <v>0</v>
      </c>
      <c r="G202" s="66">
        <v>0</v>
      </c>
      <c r="H202" s="66">
        <v>32</v>
      </c>
      <c r="K202" s="66"/>
    </row>
    <row r="203" spans="1:11" x14ac:dyDescent="0.2">
      <c r="A203" t="s">
        <v>48</v>
      </c>
      <c r="B203" t="s">
        <v>58</v>
      </c>
      <c r="C203" s="8">
        <v>45076</v>
      </c>
      <c r="D203" s="8">
        <v>45082</v>
      </c>
      <c r="E203" s="66">
        <v>24</v>
      </c>
      <c r="F203" s="66">
        <v>0</v>
      </c>
      <c r="G203" s="66">
        <v>0</v>
      </c>
      <c r="H203" s="66">
        <v>32</v>
      </c>
      <c r="K203" s="66"/>
    </row>
    <row r="204" spans="1:11" x14ac:dyDescent="0.2">
      <c r="A204" t="s">
        <v>48</v>
      </c>
      <c r="B204" t="s">
        <v>35</v>
      </c>
      <c r="C204" s="8">
        <v>45076</v>
      </c>
      <c r="D204" s="8">
        <v>45082</v>
      </c>
      <c r="E204" s="66">
        <v>20.67</v>
      </c>
      <c r="F204" s="66">
        <v>0</v>
      </c>
      <c r="G204" s="66">
        <v>0</v>
      </c>
      <c r="H204" s="66">
        <v>32</v>
      </c>
      <c r="K204" s="66"/>
    </row>
    <row r="205" spans="1:11" x14ac:dyDescent="0.2">
      <c r="A205" t="s">
        <v>48</v>
      </c>
      <c r="B205" t="s">
        <v>70</v>
      </c>
      <c r="C205" s="8">
        <v>45076</v>
      </c>
      <c r="D205" s="8">
        <v>45082</v>
      </c>
      <c r="E205" s="66">
        <v>27.5</v>
      </c>
      <c r="F205" s="66">
        <v>0</v>
      </c>
      <c r="G205" s="66">
        <v>0</v>
      </c>
      <c r="H205" s="66">
        <v>32</v>
      </c>
      <c r="K205" s="66"/>
    </row>
    <row r="206" spans="1:11" x14ac:dyDescent="0.2">
      <c r="A206" t="s">
        <v>48</v>
      </c>
      <c r="B206" t="s">
        <v>69</v>
      </c>
      <c r="C206" s="8">
        <v>45076</v>
      </c>
      <c r="D206" s="8">
        <v>45082</v>
      </c>
      <c r="E206" s="66">
        <v>21.5</v>
      </c>
      <c r="F206" s="66">
        <v>0</v>
      </c>
      <c r="G206" s="66">
        <v>0</v>
      </c>
      <c r="H206" s="66">
        <v>32</v>
      </c>
      <c r="K206" s="66"/>
    </row>
    <row r="207" spans="1:11" x14ac:dyDescent="0.2">
      <c r="A207" t="s">
        <v>48</v>
      </c>
      <c r="B207" t="s">
        <v>37</v>
      </c>
      <c r="C207" s="8">
        <v>45076</v>
      </c>
      <c r="D207" s="8">
        <v>45082</v>
      </c>
      <c r="E207" s="66">
        <v>19.5</v>
      </c>
      <c r="F207" s="66">
        <v>2.75</v>
      </c>
      <c r="G207" s="66">
        <v>0</v>
      </c>
      <c r="H207" s="66">
        <v>32</v>
      </c>
      <c r="K207" s="66"/>
    </row>
    <row r="208" spans="1:11" x14ac:dyDescent="0.2">
      <c r="A208" t="s">
        <v>57</v>
      </c>
      <c r="B208" t="s">
        <v>62</v>
      </c>
      <c r="C208" s="8">
        <v>45076</v>
      </c>
      <c r="D208" s="8">
        <v>45082</v>
      </c>
      <c r="E208" s="66">
        <v>12.55</v>
      </c>
      <c r="F208" s="66">
        <v>1</v>
      </c>
      <c r="G208" s="66">
        <v>0</v>
      </c>
      <c r="H208" s="66">
        <v>32</v>
      </c>
      <c r="K208" s="66"/>
    </row>
    <row r="209" spans="1:11" x14ac:dyDescent="0.2">
      <c r="A209" t="s">
        <v>57</v>
      </c>
      <c r="B209" t="s">
        <v>59</v>
      </c>
      <c r="C209" s="8">
        <v>45076</v>
      </c>
      <c r="D209" s="8">
        <v>45082</v>
      </c>
      <c r="E209" s="66">
        <v>10.8</v>
      </c>
      <c r="F209" s="66">
        <v>2.5</v>
      </c>
      <c r="G209" s="66">
        <v>0</v>
      </c>
      <c r="H209" s="66">
        <v>32</v>
      </c>
      <c r="K209" s="66"/>
    </row>
    <row r="210" spans="1:11" x14ac:dyDescent="0.2">
      <c r="A210" t="s">
        <v>57</v>
      </c>
      <c r="B210" t="s">
        <v>67</v>
      </c>
      <c r="C210" s="8">
        <v>45076</v>
      </c>
      <c r="D210" s="8">
        <v>45082</v>
      </c>
      <c r="E210" s="66">
        <v>14.25</v>
      </c>
      <c r="F210" s="66">
        <v>0</v>
      </c>
      <c r="G210" s="66">
        <v>0</v>
      </c>
      <c r="H210" s="66">
        <v>32</v>
      </c>
      <c r="K210" s="66"/>
    </row>
    <row r="211" spans="1:11" x14ac:dyDescent="0.2">
      <c r="A211" t="s">
        <v>48</v>
      </c>
      <c r="B211" t="s">
        <v>46</v>
      </c>
      <c r="C211" s="8">
        <v>45076</v>
      </c>
      <c r="D211" s="8">
        <v>45082</v>
      </c>
      <c r="E211" s="66">
        <v>27.5</v>
      </c>
      <c r="F211" s="66">
        <v>0</v>
      </c>
      <c r="G211" s="66">
        <v>0</v>
      </c>
      <c r="H211" s="66">
        <v>32</v>
      </c>
      <c r="K211" s="66"/>
    </row>
    <row r="212" spans="1:11" x14ac:dyDescent="0.2">
      <c r="A212" t="s">
        <v>48</v>
      </c>
      <c r="B212" t="s">
        <v>56</v>
      </c>
      <c r="C212" s="8">
        <v>45076</v>
      </c>
      <c r="D212" s="8">
        <v>45082</v>
      </c>
      <c r="E212" s="66">
        <v>23</v>
      </c>
      <c r="F212" s="66">
        <v>1.5</v>
      </c>
      <c r="G212" s="66">
        <v>0</v>
      </c>
      <c r="H212" s="66">
        <v>32</v>
      </c>
      <c r="K212" s="66"/>
    </row>
    <row r="213" spans="1:11" x14ac:dyDescent="0.2">
      <c r="A213" t="s">
        <v>48</v>
      </c>
      <c r="B213" t="s">
        <v>54</v>
      </c>
      <c r="C213" s="8">
        <v>45076</v>
      </c>
      <c r="D213" s="8">
        <v>45082</v>
      </c>
      <c r="E213" s="66">
        <v>25</v>
      </c>
      <c r="F213" s="66">
        <v>0</v>
      </c>
      <c r="G213" s="66">
        <v>0</v>
      </c>
      <c r="H213" s="66">
        <v>32</v>
      </c>
      <c r="K213" s="66"/>
    </row>
    <row r="214" spans="1:11" x14ac:dyDescent="0.2">
      <c r="A214" t="s">
        <v>48</v>
      </c>
      <c r="B214" t="s">
        <v>44</v>
      </c>
      <c r="C214" s="8">
        <v>45076</v>
      </c>
      <c r="D214" s="8">
        <v>45082</v>
      </c>
      <c r="E214" s="66">
        <v>24</v>
      </c>
      <c r="F214" s="66">
        <v>0</v>
      </c>
      <c r="G214" s="66">
        <v>0</v>
      </c>
      <c r="H214" s="66">
        <v>32</v>
      </c>
      <c r="K214" s="66"/>
    </row>
    <row r="215" spans="1:11" x14ac:dyDescent="0.2">
      <c r="A215" t="s">
        <v>48</v>
      </c>
      <c r="B215" t="s">
        <v>65</v>
      </c>
      <c r="C215" s="8">
        <v>45076</v>
      </c>
      <c r="D215" s="8">
        <v>45082</v>
      </c>
      <c r="E215" s="66">
        <v>20.67</v>
      </c>
      <c r="F215" s="66">
        <v>0</v>
      </c>
      <c r="G215" s="66">
        <v>0</v>
      </c>
      <c r="H215" s="66">
        <v>32</v>
      </c>
      <c r="K215" s="66"/>
    </row>
    <row r="216" spans="1:11" x14ac:dyDescent="0.2">
      <c r="A216" t="s">
        <v>48</v>
      </c>
      <c r="B216" t="s">
        <v>66</v>
      </c>
      <c r="C216" s="8">
        <v>45076</v>
      </c>
      <c r="D216" s="8">
        <v>45082</v>
      </c>
      <c r="E216" s="66">
        <v>27.5</v>
      </c>
      <c r="F216" s="66">
        <v>0</v>
      </c>
      <c r="G216" s="66">
        <v>0</v>
      </c>
      <c r="H216" s="66">
        <v>32</v>
      </c>
      <c r="K216" s="66"/>
    </row>
    <row r="217" spans="1:11" x14ac:dyDescent="0.2">
      <c r="A217" t="s">
        <v>48</v>
      </c>
      <c r="B217" t="s">
        <v>39</v>
      </c>
      <c r="C217" s="8">
        <v>45076</v>
      </c>
      <c r="D217" s="8">
        <v>45082</v>
      </c>
      <c r="E217" s="66">
        <v>21.5</v>
      </c>
      <c r="F217" s="66">
        <v>0</v>
      </c>
      <c r="G217" s="66">
        <v>0</v>
      </c>
      <c r="H217" s="66">
        <v>32</v>
      </c>
      <c r="K217" s="66"/>
    </row>
    <row r="218" spans="1:11" x14ac:dyDescent="0.2">
      <c r="A218" t="s">
        <v>48</v>
      </c>
      <c r="B218" t="s">
        <v>46</v>
      </c>
      <c r="C218" s="8">
        <v>45076</v>
      </c>
      <c r="D218" s="8">
        <v>45082</v>
      </c>
      <c r="E218" s="66">
        <v>19.5</v>
      </c>
      <c r="F218" s="66">
        <v>2.75</v>
      </c>
      <c r="G218" s="66">
        <v>0</v>
      </c>
      <c r="H218" s="66">
        <v>32</v>
      </c>
      <c r="K218" s="66"/>
    </row>
    <row r="219" spans="1:11" x14ac:dyDescent="0.2">
      <c r="A219" t="s">
        <v>57</v>
      </c>
      <c r="B219" t="s">
        <v>53</v>
      </c>
      <c r="C219" s="8">
        <v>45076</v>
      </c>
      <c r="D219" s="8">
        <v>45082</v>
      </c>
      <c r="E219" s="66">
        <v>12.55</v>
      </c>
      <c r="F219" s="66">
        <v>1</v>
      </c>
      <c r="G219" s="66">
        <v>0</v>
      </c>
      <c r="H219" s="66">
        <v>32</v>
      </c>
      <c r="K219" s="66"/>
    </row>
    <row r="220" spans="1:11" x14ac:dyDescent="0.2">
      <c r="A220" t="s">
        <v>57</v>
      </c>
      <c r="B220" t="s">
        <v>63</v>
      </c>
      <c r="C220" s="8">
        <v>45076</v>
      </c>
      <c r="D220" s="8">
        <v>45082</v>
      </c>
      <c r="E220" s="66">
        <v>10.8</v>
      </c>
      <c r="F220" s="66">
        <v>2.5</v>
      </c>
      <c r="G220" s="66">
        <v>0</v>
      </c>
      <c r="H220" s="66">
        <v>32</v>
      </c>
      <c r="K220" s="66"/>
    </row>
    <row r="221" spans="1:11" x14ac:dyDescent="0.2">
      <c r="A221" t="s">
        <v>57</v>
      </c>
      <c r="B221" t="s">
        <v>47</v>
      </c>
      <c r="C221" s="8">
        <v>45076</v>
      </c>
      <c r="D221" s="8">
        <v>45082</v>
      </c>
      <c r="E221" s="66">
        <v>14.25</v>
      </c>
      <c r="F221" s="66">
        <v>0</v>
      </c>
      <c r="G221" s="66">
        <v>0</v>
      </c>
      <c r="H221" s="66">
        <v>32</v>
      </c>
      <c r="K221" s="66"/>
    </row>
    <row r="222" spans="1:11" x14ac:dyDescent="0.2">
      <c r="A222" t="s">
        <v>48</v>
      </c>
      <c r="B222" t="s">
        <v>43</v>
      </c>
      <c r="C222" s="8">
        <v>45083</v>
      </c>
      <c r="D222" s="8">
        <v>45089</v>
      </c>
      <c r="E222" s="66">
        <v>17.5</v>
      </c>
      <c r="F222" s="66">
        <v>0</v>
      </c>
      <c r="G222" s="66">
        <v>0</v>
      </c>
      <c r="H222" s="66">
        <v>40</v>
      </c>
      <c r="K222" s="66"/>
    </row>
    <row r="223" spans="1:11" x14ac:dyDescent="0.2">
      <c r="A223" t="s">
        <v>48</v>
      </c>
      <c r="B223" t="s">
        <v>37</v>
      </c>
      <c r="C223" s="8">
        <v>45083</v>
      </c>
      <c r="D223" s="8">
        <v>45089</v>
      </c>
      <c r="E223" s="66">
        <v>29</v>
      </c>
      <c r="F223" s="66">
        <v>0.5</v>
      </c>
      <c r="G223" s="66">
        <v>0</v>
      </c>
      <c r="H223" s="66">
        <v>40</v>
      </c>
      <c r="K223" s="66"/>
    </row>
    <row r="224" spans="1:11" x14ac:dyDescent="0.2">
      <c r="A224" t="s">
        <v>48</v>
      </c>
      <c r="B224" t="s">
        <v>41</v>
      </c>
      <c r="C224" s="8">
        <v>45083</v>
      </c>
      <c r="D224" s="8">
        <v>45089</v>
      </c>
      <c r="E224" s="66">
        <v>33</v>
      </c>
      <c r="F224" s="66">
        <v>0</v>
      </c>
      <c r="G224" s="66">
        <v>0</v>
      </c>
      <c r="H224" s="66">
        <v>40</v>
      </c>
      <c r="K224" s="66"/>
    </row>
    <row r="225" spans="1:11" x14ac:dyDescent="0.2">
      <c r="A225" t="s">
        <v>48</v>
      </c>
      <c r="B225" t="s">
        <v>58</v>
      </c>
      <c r="C225" s="8">
        <v>45083</v>
      </c>
      <c r="D225" s="8">
        <v>45089</v>
      </c>
      <c r="E225" s="66">
        <v>35</v>
      </c>
      <c r="F225" s="66">
        <v>0</v>
      </c>
      <c r="G225" s="66">
        <v>0</v>
      </c>
      <c r="H225" s="66">
        <v>40</v>
      </c>
      <c r="K225" s="66"/>
    </row>
    <row r="226" spans="1:11" x14ac:dyDescent="0.2">
      <c r="A226" t="s">
        <v>48</v>
      </c>
      <c r="B226" t="s">
        <v>35</v>
      </c>
      <c r="C226" s="8">
        <v>45083</v>
      </c>
      <c r="D226" s="8">
        <v>45089</v>
      </c>
      <c r="E226" s="66">
        <v>22.42</v>
      </c>
      <c r="F226" s="66">
        <v>2.33</v>
      </c>
      <c r="G226" s="66">
        <v>0</v>
      </c>
      <c r="H226" s="66">
        <v>40</v>
      </c>
      <c r="K226" s="66"/>
    </row>
    <row r="227" spans="1:11" x14ac:dyDescent="0.2">
      <c r="A227" t="s">
        <v>48</v>
      </c>
      <c r="B227" t="s">
        <v>70</v>
      </c>
      <c r="C227" s="8">
        <v>45083</v>
      </c>
      <c r="D227" s="8">
        <v>45089</v>
      </c>
      <c r="E227" s="66">
        <v>31</v>
      </c>
      <c r="F227" s="66">
        <v>0.5</v>
      </c>
      <c r="G227" s="66">
        <v>0</v>
      </c>
      <c r="H227" s="66">
        <v>40</v>
      </c>
      <c r="K227" s="66"/>
    </row>
    <row r="228" spans="1:11" x14ac:dyDescent="0.2">
      <c r="A228" t="s">
        <v>48</v>
      </c>
      <c r="B228" t="s">
        <v>69</v>
      </c>
      <c r="C228" s="8">
        <v>45083</v>
      </c>
      <c r="D228" s="8">
        <v>45089</v>
      </c>
      <c r="E228" s="66">
        <v>29.25</v>
      </c>
      <c r="F228" s="66">
        <v>0</v>
      </c>
      <c r="G228" s="66">
        <v>0</v>
      </c>
      <c r="H228" s="66">
        <v>40</v>
      </c>
      <c r="K228" s="66"/>
    </row>
    <row r="229" spans="1:11" x14ac:dyDescent="0.2">
      <c r="A229" t="s">
        <v>48</v>
      </c>
      <c r="B229" t="s">
        <v>52</v>
      </c>
      <c r="C229" s="8">
        <v>45083</v>
      </c>
      <c r="D229" s="8">
        <v>45089</v>
      </c>
      <c r="E229" s="66">
        <v>28.75</v>
      </c>
      <c r="F229" s="66">
        <v>1.5</v>
      </c>
      <c r="G229" s="66">
        <v>0</v>
      </c>
      <c r="H229" s="66">
        <v>40</v>
      </c>
      <c r="K229" s="66"/>
    </row>
    <row r="230" spans="1:11" x14ac:dyDescent="0.2">
      <c r="A230" t="s">
        <v>57</v>
      </c>
      <c r="B230" t="s">
        <v>62</v>
      </c>
      <c r="C230" s="8">
        <v>45083</v>
      </c>
      <c r="D230" s="8">
        <v>45089</v>
      </c>
      <c r="E230" s="66">
        <v>11.05</v>
      </c>
      <c r="F230" s="66">
        <v>1</v>
      </c>
      <c r="G230" s="66">
        <v>0</v>
      </c>
      <c r="H230" s="66">
        <v>40</v>
      </c>
      <c r="K230" s="66"/>
    </row>
    <row r="231" spans="1:11" x14ac:dyDescent="0.2">
      <c r="A231" t="s">
        <v>57</v>
      </c>
      <c r="B231" t="s">
        <v>59</v>
      </c>
      <c r="C231" s="8">
        <v>45083</v>
      </c>
      <c r="D231" s="8">
        <v>45089</v>
      </c>
      <c r="E231" s="66">
        <v>10.25</v>
      </c>
      <c r="F231" s="66">
        <v>2</v>
      </c>
      <c r="G231" s="66">
        <v>0</v>
      </c>
      <c r="H231" s="66">
        <v>40</v>
      </c>
      <c r="K231" s="66"/>
    </row>
    <row r="232" spans="1:11" x14ac:dyDescent="0.2">
      <c r="A232" t="s">
        <v>57</v>
      </c>
      <c r="B232" t="s">
        <v>67</v>
      </c>
      <c r="C232" s="8">
        <v>45083</v>
      </c>
      <c r="D232" s="8">
        <v>45089</v>
      </c>
      <c r="E232" s="66">
        <v>17.5</v>
      </c>
      <c r="F232" s="66">
        <v>0</v>
      </c>
      <c r="G232" s="66">
        <v>0</v>
      </c>
      <c r="H232" s="66">
        <v>40</v>
      </c>
      <c r="K232" s="66"/>
    </row>
    <row r="233" spans="1:11" x14ac:dyDescent="0.2">
      <c r="A233" t="s">
        <v>48</v>
      </c>
      <c r="B233" t="s">
        <v>64</v>
      </c>
      <c r="C233" s="8">
        <v>45083</v>
      </c>
      <c r="D233" s="8">
        <v>45089</v>
      </c>
      <c r="E233" s="66">
        <v>17.5</v>
      </c>
      <c r="F233" s="66">
        <v>0</v>
      </c>
      <c r="G233" s="66">
        <v>0</v>
      </c>
      <c r="H233" s="66">
        <v>40</v>
      </c>
      <c r="K233" s="66"/>
    </row>
    <row r="234" spans="1:11" x14ac:dyDescent="0.2">
      <c r="A234" t="s">
        <v>48</v>
      </c>
      <c r="B234" t="s">
        <v>56</v>
      </c>
      <c r="C234" s="8">
        <v>45083</v>
      </c>
      <c r="D234" s="8">
        <v>45089</v>
      </c>
      <c r="E234" s="66">
        <v>29</v>
      </c>
      <c r="F234" s="66">
        <v>0.5</v>
      </c>
      <c r="G234" s="66">
        <v>0</v>
      </c>
      <c r="H234" s="66">
        <v>40</v>
      </c>
      <c r="K234" s="66"/>
    </row>
    <row r="235" spans="1:11" x14ac:dyDescent="0.2">
      <c r="A235" t="s">
        <v>48</v>
      </c>
      <c r="B235" t="s">
        <v>54</v>
      </c>
      <c r="C235" s="8">
        <v>45083</v>
      </c>
      <c r="D235" s="8">
        <v>45089</v>
      </c>
      <c r="E235" s="66">
        <v>33</v>
      </c>
      <c r="F235" s="66">
        <v>0</v>
      </c>
      <c r="G235" s="66">
        <v>0</v>
      </c>
      <c r="H235" s="66">
        <v>40</v>
      </c>
      <c r="K235" s="66"/>
    </row>
    <row r="236" spans="1:11" x14ac:dyDescent="0.2">
      <c r="A236" t="s">
        <v>48</v>
      </c>
      <c r="B236" t="s">
        <v>44</v>
      </c>
      <c r="C236" s="8">
        <v>45083</v>
      </c>
      <c r="D236" s="8">
        <v>45089</v>
      </c>
      <c r="E236" s="66">
        <v>35</v>
      </c>
      <c r="F236" s="66">
        <v>0</v>
      </c>
      <c r="G236" s="66">
        <v>0</v>
      </c>
      <c r="H236" s="66">
        <v>40</v>
      </c>
      <c r="K236" s="66"/>
    </row>
    <row r="237" spans="1:11" x14ac:dyDescent="0.2">
      <c r="A237" t="s">
        <v>48</v>
      </c>
      <c r="B237" t="s">
        <v>65</v>
      </c>
      <c r="C237" s="8">
        <v>45083</v>
      </c>
      <c r="D237" s="8">
        <v>45089</v>
      </c>
      <c r="E237" s="66">
        <v>22.42</v>
      </c>
      <c r="F237" s="66">
        <v>2.33</v>
      </c>
      <c r="G237" s="66">
        <v>0</v>
      </c>
      <c r="H237" s="66">
        <v>40</v>
      </c>
      <c r="K237" s="66"/>
    </row>
    <row r="238" spans="1:11" x14ac:dyDescent="0.2">
      <c r="A238" t="s">
        <v>48</v>
      </c>
      <c r="B238" t="s">
        <v>66</v>
      </c>
      <c r="C238" s="8">
        <v>45083</v>
      </c>
      <c r="D238" s="8">
        <v>45089</v>
      </c>
      <c r="E238" s="66">
        <v>31</v>
      </c>
      <c r="F238" s="66">
        <v>0.5</v>
      </c>
      <c r="G238" s="66">
        <v>0</v>
      </c>
      <c r="H238" s="66">
        <v>40</v>
      </c>
      <c r="K238" s="66"/>
    </row>
    <row r="239" spans="1:11" x14ac:dyDescent="0.2">
      <c r="A239" t="s">
        <v>48</v>
      </c>
      <c r="B239" t="s">
        <v>39</v>
      </c>
      <c r="C239" s="8">
        <v>45083</v>
      </c>
      <c r="D239" s="8">
        <v>45089</v>
      </c>
      <c r="E239" s="66">
        <v>29.25</v>
      </c>
      <c r="F239" s="66">
        <v>0</v>
      </c>
      <c r="G239" s="66">
        <v>0</v>
      </c>
      <c r="H239" s="66">
        <v>40</v>
      </c>
      <c r="K239" s="66"/>
    </row>
    <row r="240" spans="1:11" x14ac:dyDescent="0.2">
      <c r="A240" t="s">
        <v>48</v>
      </c>
      <c r="B240" t="s">
        <v>64</v>
      </c>
      <c r="C240" s="8">
        <v>45083</v>
      </c>
      <c r="D240" s="8">
        <v>45089</v>
      </c>
      <c r="E240" s="66">
        <v>28.75</v>
      </c>
      <c r="F240" s="66">
        <v>1.5</v>
      </c>
      <c r="G240" s="66">
        <v>0</v>
      </c>
      <c r="H240" s="66">
        <v>40</v>
      </c>
      <c r="K240" s="66"/>
    </row>
    <row r="241" spans="1:11" x14ac:dyDescent="0.2">
      <c r="A241" t="s">
        <v>57</v>
      </c>
      <c r="B241" t="s">
        <v>33</v>
      </c>
      <c r="C241" s="8">
        <v>45083</v>
      </c>
      <c r="D241" s="8">
        <v>45089</v>
      </c>
      <c r="E241" s="66">
        <v>11.05</v>
      </c>
      <c r="F241" s="66">
        <v>1</v>
      </c>
      <c r="G241" s="66">
        <v>0</v>
      </c>
      <c r="H241" s="66">
        <v>40</v>
      </c>
      <c r="K241" s="66"/>
    </row>
    <row r="242" spans="1:11" x14ac:dyDescent="0.2">
      <c r="A242" t="s">
        <v>57</v>
      </c>
      <c r="B242" t="s">
        <v>63</v>
      </c>
      <c r="C242" s="8">
        <v>45083</v>
      </c>
      <c r="D242" s="8">
        <v>45089</v>
      </c>
      <c r="E242" s="66">
        <v>10.25</v>
      </c>
      <c r="F242" s="66">
        <v>2</v>
      </c>
      <c r="G242" s="66">
        <v>0</v>
      </c>
      <c r="H242" s="66">
        <v>40</v>
      </c>
      <c r="K242" s="66"/>
    </row>
    <row r="243" spans="1:11" x14ac:dyDescent="0.2">
      <c r="A243" t="s">
        <v>57</v>
      </c>
      <c r="B243" t="s">
        <v>47</v>
      </c>
      <c r="C243" s="8">
        <v>45083</v>
      </c>
      <c r="D243" s="8">
        <v>45089</v>
      </c>
      <c r="E243" s="66">
        <v>17.5</v>
      </c>
      <c r="F243" s="66">
        <v>0</v>
      </c>
      <c r="G243" s="66">
        <v>0</v>
      </c>
      <c r="H243" s="66">
        <v>40</v>
      </c>
      <c r="K243" s="66"/>
    </row>
    <row r="244" spans="1:11" x14ac:dyDescent="0.2">
      <c r="A244" t="s">
        <v>48</v>
      </c>
      <c r="B244" t="s">
        <v>43</v>
      </c>
      <c r="C244" s="8">
        <v>45090</v>
      </c>
      <c r="D244" s="8">
        <v>45096</v>
      </c>
      <c r="E244" s="66">
        <v>0</v>
      </c>
      <c r="F244" s="66">
        <v>0</v>
      </c>
      <c r="G244" s="66">
        <v>0</v>
      </c>
      <c r="H244" s="66">
        <v>32</v>
      </c>
      <c r="K244" s="66"/>
    </row>
    <row r="245" spans="1:11" x14ac:dyDescent="0.2">
      <c r="A245" t="s">
        <v>48</v>
      </c>
      <c r="B245" t="s">
        <v>37</v>
      </c>
      <c r="C245" s="8">
        <v>45090</v>
      </c>
      <c r="D245" s="8">
        <v>45096</v>
      </c>
      <c r="E245" s="66">
        <v>23.75</v>
      </c>
      <c r="F245" s="66">
        <v>0.25</v>
      </c>
      <c r="G245" s="66">
        <v>0</v>
      </c>
      <c r="H245" s="66">
        <v>32</v>
      </c>
      <c r="K245" s="66"/>
    </row>
    <row r="246" spans="1:11" x14ac:dyDescent="0.2">
      <c r="A246" t="s">
        <v>48</v>
      </c>
      <c r="B246" t="s">
        <v>41</v>
      </c>
      <c r="C246" s="8">
        <v>45090</v>
      </c>
      <c r="D246" s="8">
        <v>45096</v>
      </c>
      <c r="E246" s="66">
        <v>28</v>
      </c>
      <c r="F246" s="66">
        <v>0</v>
      </c>
      <c r="G246" s="66">
        <v>0</v>
      </c>
      <c r="H246" s="66">
        <v>32</v>
      </c>
      <c r="K246" s="66"/>
    </row>
    <row r="247" spans="1:11" x14ac:dyDescent="0.2">
      <c r="A247" t="s">
        <v>48</v>
      </c>
      <c r="B247" t="s">
        <v>58</v>
      </c>
      <c r="C247" s="8">
        <v>45090</v>
      </c>
      <c r="D247" s="8">
        <v>45096</v>
      </c>
      <c r="E247" s="66">
        <v>24</v>
      </c>
      <c r="F247" s="66">
        <v>0</v>
      </c>
      <c r="G247" s="66">
        <v>0</v>
      </c>
      <c r="H247" s="66">
        <v>32</v>
      </c>
      <c r="K247" s="66"/>
    </row>
    <row r="248" spans="1:11" x14ac:dyDescent="0.2">
      <c r="A248" t="s">
        <v>48</v>
      </c>
      <c r="B248" t="s">
        <v>55</v>
      </c>
      <c r="C248" s="8">
        <v>45090</v>
      </c>
      <c r="D248" s="8">
        <v>45096</v>
      </c>
      <c r="E248" s="66">
        <v>22.41</v>
      </c>
      <c r="F248" s="66">
        <v>1</v>
      </c>
      <c r="G248" s="66">
        <v>0</v>
      </c>
      <c r="H248" s="66">
        <v>32</v>
      </c>
      <c r="K248" s="66"/>
    </row>
    <row r="249" spans="1:11" x14ac:dyDescent="0.2">
      <c r="A249" t="s">
        <v>48</v>
      </c>
      <c r="B249" t="s">
        <v>70</v>
      </c>
      <c r="C249" s="8">
        <v>45090</v>
      </c>
      <c r="D249" s="8">
        <v>45096</v>
      </c>
      <c r="E249" s="66">
        <v>24</v>
      </c>
      <c r="F249" s="66">
        <v>1.25</v>
      </c>
      <c r="G249" s="66">
        <v>0</v>
      </c>
      <c r="H249" s="66">
        <v>32</v>
      </c>
      <c r="K249" s="66"/>
    </row>
    <row r="250" spans="1:11" x14ac:dyDescent="0.2">
      <c r="A250" t="s">
        <v>48</v>
      </c>
      <c r="B250" t="s">
        <v>69</v>
      </c>
      <c r="C250" s="8">
        <v>45090</v>
      </c>
      <c r="D250" s="8">
        <v>45096</v>
      </c>
      <c r="E250" s="66">
        <v>22.25</v>
      </c>
      <c r="F250" s="66">
        <v>0</v>
      </c>
      <c r="G250" s="66">
        <v>0</v>
      </c>
      <c r="H250" s="66">
        <v>32</v>
      </c>
      <c r="K250" s="66"/>
    </row>
    <row r="251" spans="1:11" x14ac:dyDescent="0.2">
      <c r="A251" t="s">
        <v>48</v>
      </c>
      <c r="B251" t="s">
        <v>41</v>
      </c>
      <c r="C251" s="8">
        <v>45090</v>
      </c>
      <c r="D251" s="8">
        <v>45096</v>
      </c>
      <c r="E251" s="66">
        <v>21.25</v>
      </c>
      <c r="F251" s="66">
        <v>2.5</v>
      </c>
      <c r="G251" s="66">
        <v>0</v>
      </c>
      <c r="H251" s="66">
        <v>32</v>
      </c>
      <c r="K251" s="66"/>
    </row>
    <row r="252" spans="1:11" x14ac:dyDescent="0.2">
      <c r="A252" t="s">
        <v>57</v>
      </c>
      <c r="B252" t="s">
        <v>62</v>
      </c>
      <c r="C252" s="8">
        <v>45090</v>
      </c>
      <c r="D252" s="8">
        <v>45096</v>
      </c>
      <c r="E252" s="66">
        <v>15.3</v>
      </c>
      <c r="F252" s="66">
        <v>2.5</v>
      </c>
      <c r="G252" s="66">
        <v>0</v>
      </c>
      <c r="H252" s="66">
        <v>32</v>
      </c>
      <c r="K252" s="66"/>
    </row>
    <row r="253" spans="1:11" x14ac:dyDescent="0.2">
      <c r="A253" t="s">
        <v>57</v>
      </c>
      <c r="B253" t="s">
        <v>60</v>
      </c>
      <c r="C253" s="8">
        <v>45090</v>
      </c>
      <c r="D253" s="8">
        <v>45096</v>
      </c>
      <c r="E253" s="66">
        <v>8.1</v>
      </c>
      <c r="F253" s="66">
        <v>0.5</v>
      </c>
      <c r="G253" s="66">
        <v>0</v>
      </c>
      <c r="H253" s="66">
        <v>32</v>
      </c>
      <c r="K253" s="66"/>
    </row>
    <row r="254" spans="1:11" x14ac:dyDescent="0.2">
      <c r="A254" t="s">
        <v>57</v>
      </c>
      <c r="B254" t="s">
        <v>67</v>
      </c>
      <c r="C254" s="8">
        <v>45090</v>
      </c>
      <c r="D254" s="8">
        <v>45096</v>
      </c>
      <c r="E254" s="66">
        <v>18</v>
      </c>
      <c r="F254" s="66">
        <v>0</v>
      </c>
      <c r="G254" s="66">
        <v>0</v>
      </c>
      <c r="H254" s="66">
        <v>32</v>
      </c>
      <c r="K254" s="66"/>
    </row>
    <row r="255" spans="1:11" x14ac:dyDescent="0.2">
      <c r="A255" t="s">
        <v>48</v>
      </c>
      <c r="B255" t="s">
        <v>64</v>
      </c>
      <c r="C255" s="8">
        <v>45090</v>
      </c>
      <c r="D255" s="8">
        <v>45096</v>
      </c>
      <c r="E255" s="66">
        <v>0</v>
      </c>
      <c r="F255" s="66">
        <v>0</v>
      </c>
      <c r="G255" s="66">
        <v>0</v>
      </c>
      <c r="H255" s="66">
        <v>32</v>
      </c>
      <c r="K255" s="66"/>
    </row>
    <row r="256" spans="1:11" x14ac:dyDescent="0.2">
      <c r="A256" t="s">
        <v>48</v>
      </c>
      <c r="B256" t="s">
        <v>56</v>
      </c>
      <c r="C256" s="8">
        <v>45090</v>
      </c>
      <c r="D256" s="8">
        <v>45096</v>
      </c>
      <c r="E256" s="66">
        <v>23.75</v>
      </c>
      <c r="F256" s="66">
        <v>0.25</v>
      </c>
      <c r="G256" s="66">
        <v>0</v>
      </c>
      <c r="H256" s="66">
        <v>32</v>
      </c>
      <c r="K256" s="66"/>
    </row>
    <row r="257" spans="1:11" x14ac:dyDescent="0.2">
      <c r="A257" t="s">
        <v>48</v>
      </c>
      <c r="B257" t="s">
        <v>54</v>
      </c>
      <c r="C257" s="8">
        <v>45090</v>
      </c>
      <c r="D257" s="8">
        <v>45096</v>
      </c>
      <c r="E257" s="66">
        <v>28</v>
      </c>
      <c r="F257" s="66">
        <v>0</v>
      </c>
      <c r="G257" s="66">
        <v>0</v>
      </c>
      <c r="H257" s="66">
        <v>32</v>
      </c>
      <c r="K257" s="66"/>
    </row>
    <row r="258" spans="1:11" x14ac:dyDescent="0.2">
      <c r="A258" t="s">
        <v>48</v>
      </c>
      <c r="B258" t="s">
        <v>36</v>
      </c>
      <c r="C258" s="8">
        <v>45090</v>
      </c>
      <c r="D258" s="8">
        <v>45096</v>
      </c>
      <c r="E258" s="66">
        <v>24</v>
      </c>
      <c r="F258" s="66">
        <v>0</v>
      </c>
      <c r="G258" s="66">
        <v>0</v>
      </c>
      <c r="H258" s="66">
        <v>32</v>
      </c>
      <c r="K258" s="66"/>
    </row>
    <row r="259" spans="1:11" x14ac:dyDescent="0.2">
      <c r="A259" t="s">
        <v>48</v>
      </c>
      <c r="B259" t="s">
        <v>65</v>
      </c>
      <c r="C259" s="8">
        <v>45090</v>
      </c>
      <c r="D259" s="8">
        <v>45096</v>
      </c>
      <c r="E259" s="66">
        <v>22.41</v>
      </c>
      <c r="F259" s="66">
        <v>1</v>
      </c>
      <c r="G259" s="66">
        <v>0</v>
      </c>
      <c r="H259" s="66">
        <v>32</v>
      </c>
      <c r="K259" s="66"/>
    </row>
    <row r="260" spans="1:11" x14ac:dyDescent="0.2">
      <c r="A260" t="s">
        <v>48</v>
      </c>
      <c r="B260" t="s">
        <v>66</v>
      </c>
      <c r="C260" s="8">
        <v>45090</v>
      </c>
      <c r="D260" s="8">
        <v>45096</v>
      </c>
      <c r="E260" s="66">
        <v>24</v>
      </c>
      <c r="F260" s="66">
        <v>1.25</v>
      </c>
      <c r="G260" s="66">
        <v>0</v>
      </c>
      <c r="H260" s="66">
        <v>32</v>
      </c>
      <c r="K260" s="66"/>
    </row>
    <row r="261" spans="1:11" x14ac:dyDescent="0.2">
      <c r="A261" t="s">
        <v>48</v>
      </c>
      <c r="B261" t="s">
        <v>39</v>
      </c>
      <c r="C261" s="8">
        <v>45090</v>
      </c>
      <c r="D261" s="8">
        <v>45096</v>
      </c>
      <c r="E261" s="66">
        <v>22.25</v>
      </c>
      <c r="F261" s="66">
        <v>0</v>
      </c>
      <c r="G261" s="66">
        <v>0</v>
      </c>
      <c r="H261" s="66">
        <v>32</v>
      </c>
      <c r="K261" s="66"/>
    </row>
    <row r="262" spans="1:11" x14ac:dyDescent="0.2">
      <c r="A262" t="s">
        <v>48</v>
      </c>
      <c r="B262" t="s">
        <v>54</v>
      </c>
      <c r="C262" s="8">
        <v>45090</v>
      </c>
      <c r="D262" s="8">
        <v>45096</v>
      </c>
      <c r="E262" s="66">
        <v>21.25</v>
      </c>
      <c r="F262" s="66">
        <v>2.5</v>
      </c>
      <c r="G262" s="66">
        <v>0</v>
      </c>
      <c r="H262" s="66">
        <v>32</v>
      </c>
      <c r="K262" s="66"/>
    </row>
    <row r="263" spans="1:11" x14ac:dyDescent="0.2">
      <c r="A263" t="s">
        <v>57</v>
      </c>
      <c r="B263" t="s">
        <v>33</v>
      </c>
      <c r="C263" s="8">
        <v>45090</v>
      </c>
      <c r="D263" s="8">
        <v>45096</v>
      </c>
      <c r="E263" s="66">
        <v>15.3</v>
      </c>
      <c r="F263" s="66">
        <v>2.5</v>
      </c>
      <c r="G263" s="66">
        <v>0</v>
      </c>
      <c r="H263" s="66">
        <v>32</v>
      </c>
      <c r="K263" s="66"/>
    </row>
    <row r="264" spans="1:11" x14ac:dyDescent="0.2">
      <c r="A264" t="s">
        <v>57</v>
      </c>
      <c r="B264" t="s">
        <v>63</v>
      </c>
      <c r="C264" s="8">
        <v>45090</v>
      </c>
      <c r="D264" s="8">
        <v>45096</v>
      </c>
      <c r="E264" s="66">
        <v>8.1</v>
      </c>
      <c r="F264" s="66">
        <v>0.5</v>
      </c>
      <c r="G264" s="66">
        <v>0</v>
      </c>
      <c r="H264" s="66">
        <v>32</v>
      </c>
      <c r="K264" s="66"/>
    </row>
    <row r="265" spans="1:11" x14ac:dyDescent="0.2">
      <c r="A265" t="s">
        <v>57</v>
      </c>
      <c r="B265" t="s">
        <v>47</v>
      </c>
      <c r="C265" s="8">
        <v>45090</v>
      </c>
      <c r="D265" s="8">
        <v>45096</v>
      </c>
      <c r="E265" s="66">
        <v>18</v>
      </c>
      <c r="F265" s="66">
        <v>0</v>
      </c>
      <c r="G265" s="66">
        <v>0</v>
      </c>
      <c r="H265" s="66">
        <v>32</v>
      </c>
      <c r="K265" s="66"/>
    </row>
    <row r="266" spans="1:11" x14ac:dyDescent="0.2">
      <c r="A266" t="s">
        <v>48</v>
      </c>
      <c r="B266" t="s">
        <v>43</v>
      </c>
      <c r="C266" s="8">
        <v>45097</v>
      </c>
      <c r="D266" s="8">
        <v>45103</v>
      </c>
      <c r="E266" s="66">
        <v>25.5</v>
      </c>
      <c r="F266" s="66">
        <v>0</v>
      </c>
      <c r="G266" s="66">
        <v>0</v>
      </c>
      <c r="H266" s="66">
        <v>40</v>
      </c>
      <c r="K266" s="66"/>
    </row>
    <row r="267" spans="1:11" x14ac:dyDescent="0.2">
      <c r="A267" t="s">
        <v>48</v>
      </c>
      <c r="B267" t="s">
        <v>37</v>
      </c>
      <c r="C267" s="8">
        <v>45097</v>
      </c>
      <c r="D267" s="8">
        <v>45103</v>
      </c>
      <c r="E267" s="66">
        <v>18.75</v>
      </c>
      <c r="F267" s="66">
        <v>0.25</v>
      </c>
      <c r="G267" s="66">
        <v>0</v>
      </c>
      <c r="H267" s="66">
        <v>40</v>
      </c>
      <c r="K267" s="66"/>
    </row>
    <row r="268" spans="1:11" x14ac:dyDescent="0.2">
      <c r="A268" t="s">
        <v>48</v>
      </c>
      <c r="B268" t="s">
        <v>41</v>
      </c>
      <c r="C268" s="8">
        <v>45097</v>
      </c>
      <c r="D268" s="8">
        <v>45103</v>
      </c>
      <c r="E268" s="66">
        <v>33.5</v>
      </c>
      <c r="F268" s="66">
        <v>0</v>
      </c>
      <c r="G268" s="66">
        <v>0</v>
      </c>
      <c r="H268" s="66">
        <v>40</v>
      </c>
      <c r="K268" s="66"/>
    </row>
    <row r="269" spans="1:11" x14ac:dyDescent="0.2">
      <c r="A269" t="s">
        <v>48</v>
      </c>
      <c r="B269" t="s">
        <v>58</v>
      </c>
      <c r="C269" s="8">
        <v>45097</v>
      </c>
      <c r="D269" s="8">
        <v>45103</v>
      </c>
      <c r="E269" s="66">
        <v>30</v>
      </c>
      <c r="F269" s="66">
        <v>0</v>
      </c>
      <c r="G269" s="66">
        <v>0</v>
      </c>
      <c r="H269" s="66">
        <v>40</v>
      </c>
      <c r="K269" s="66"/>
    </row>
    <row r="270" spans="1:11" x14ac:dyDescent="0.2">
      <c r="A270" t="s">
        <v>48</v>
      </c>
      <c r="B270" t="s">
        <v>55</v>
      </c>
      <c r="C270" s="8">
        <v>45097</v>
      </c>
      <c r="D270" s="8">
        <v>45103</v>
      </c>
      <c r="E270" s="66">
        <v>33.39</v>
      </c>
      <c r="F270" s="66">
        <v>0</v>
      </c>
      <c r="G270" s="66">
        <v>0</v>
      </c>
      <c r="H270" s="66">
        <v>40</v>
      </c>
      <c r="K270" s="66"/>
    </row>
    <row r="271" spans="1:11" x14ac:dyDescent="0.2">
      <c r="A271" t="s">
        <v>48</v>
      </c>
      <c r="B271" t="s">
        <v>70</v>
      </c>
      <c r="C271" s="8">
        <v>45097</v>
      </c>
      <c r="D271" s="8">
        <v>45103</v>
      </c>
      <c r="E271" s="66">
        <v>30.5</v>
      </c>
      <c r="F271" s="66">
        <v>0.5</v>
      </c>
      <c r="G271" s="66">
        <v>0</v>
      </c>
      <c r="H271" s="66">
        <v>40</v>
      </c>
      <c r="K271" s="66"/>
    </row>
    <row r="272" spans="1:11" x14ac:dyDescent="0.2">
      <c r="A272" t="s">
        <v>48</v>
      </c>
      <c r="B272" t="s">
        <v>38</v>
      </c>
      <c r="C272" s="8">
        <v>45097</v>
      </c>
      <c r="D272" s="8">
        <v>45103</v>
      </c>
      <c r="E272" s="66">
        <v>34.5</v>
      </c>
      <c r="F272" s="66">
        <v>0</v>
      </c>
      <c r="G272" s="66">
        <v>0</v>
      </c>
      <c r="H272" s="66">
        <v>40</v>
      </c>
      <c r="K272" s="66"/>
    </row>
    <row r="273" spans="1:11" x14ac:dyDescent="0.2">
      <c r="A273" t="s">
        <v>48</v>
      </c>
      <c r="B273" t="s">
        <v>69</v>
      </c>
      <c r="C273" s="8">
        <v>45097</v>
      </c>
      <c r="D273" s="8">
        <v>45103</v>
      </c>
      <c r="E273" s="66">
        <v>27.75</v>
      </c>
      <c r="F273" s="66">
        <v>1.25</v>
      </c>
      <c r="G273" s="66">
        <v>0</v>
      </c>
      <c r="H273" s="66">
        <v>40</v>
      </c>
      <c r="K273" s="66"/>
    </row>
    <row r="274" spans="1:11" x14ac:dyDescent="0.2">
      <c r="A274" t="s">
        <v>57</v>
      </c>
      <c r="B274" t="s">
        <v>62</v>
      </c>
      <c r="C274" s="8">
        <v>45097</v>
      </c>
      <c r="D274" s="8">
        <v>45103</v>
      </c>
      <c r="E274" s="66">
        <v>12.85</v>
      </c>
      <c r="F274" s="66">
        <v>5</v>
      </c>
      <c r="G274" s="66">
        <v>0</v>
      </c>
      <c r="H274" s="66">
        <v>40</v>
      </c>
      <c r="K274" s="66"/>
    </row>
    <row r="275" spans="1:11" x14ac:dyDescent="0.2">
      <c r="A275" t="s">
        <v>57</v>
      </c>
      <c r="B275" t="s">
        <v>60</v>
      </c>
      <c r="C275" s="8">
        <v>45097</v>
      </c>
      <c r="D275" s="8">
        <v>45103</v>
      </c>
      <c r="E275" s="66">
        <v>0</v>
      </c>
      <c r="F275" s="66">
        <v>0</v>
      </c>
      <c r="G275" s="66">
        <v>0</v>
      </c>
      <c r="H275" s="66">
        <v>40</v>
      </c>
      <c r="K275" s="66"/>
    </row>
    <row r="276" spans="1:11" x14ac:dyDescent="0.2">
      <c r="A276" t="s">
        <v>57</v>
      </c>
      <c r="B276" t="s">
        <v>67</v>
      </c>
      <c r="C276" s="8">
        <v>45097</v>
      </c>
      <c r="D276" s="8">
        <v>45103</v>
      </c>
      <c r="E276" s="66">
        <v>10.25</v>
      </c>
      <c r="F276" s="66">
        <v>0</v>
      </c>
      <c r="G276" s="66">
        <v>0</v>
      </c>
      <c r="H276" s="66">
        <v>40</v>
      </c>
      <c r="K276" s="66"/>
    </row>
    <row r="277" spans="1:11" x14ac:dyDescent="0.2">
      <c r="A277" t="s">
        <v>48</v>
      </c>
      <c r="B277" t="s">
        <v>64</v>
      </c>
      <c r="C277" s="8">
        <v>45097</v>
      </c>
      <c r="D277" s="8">
        <v>45103</v>
      </c>
      <c r="E277" s="66">
        <v>25.5</v>
      </c>
      <c r="F277" s="66">
        <v>0</v>
      </c>
      <c r="G277" s="66">
        <v>0</v>
      </c>
      <c r="H277" s="66">
        <v>40</v>
      </c>
      <c r="K277" s="66"/>
    </row>
    <row r="278" spans="1:11" x14ac:dyDescent="0.2">
      <c r="A278" t="s">
        <v>48</v>
      </c>
      <c r="B278" t="s">
        <v>56</v>
      </c>
      <c r="C278" s="8">
        <v>45097</v>
      </c>
      <c r="D278" s="8">
        <v>45103</v>
      </c>
      <c r="E278" s="66">
        <v>18.75</v>
      </c>
      <c r="F278" s="66">
        <v>0.25</v>
      </c>
      <c r="G278" s="66">
        <v>0</v>
      </c>
      <c r="H278" s="66">
        <v>40</v>
      </c>
      <c r="K278" s="66"/>
    </row>
    <row r="279" spans="1:11" x14ac:dyDescent="0.2">
      <c r="A279" t="s">
        <v>48</v>
      </c>
      <c r="B279" t="s">
        <v>54</v>
      </c>
      <c r="C279" s="8">
        <v>45097</v>
      </c>
      <c r="D279" s="8">
        <v>45103</v>
      </c>
      <c r="E279" s="66">
        <v>33.5</v>
      </c>
      <c r="F279" s="66">
        <v>0</v>
      </c>
      <c r="G279" s="66">
        <v>0</v>
      </c>
      <c r="H279" s="66">
        <v>40</v>
      </c>
      <c r="K279" s="66"/>
    </row>
    <row r="280" spans="1:11" x14ac:dyDescent="0.2">
      <c r="A280" t="s">
        <v>48</v>
      </c>
      <c r="B280" t="s">
        <v>36</v>
      </c>
      <c r="C280" s="8">
        <v>45097</v>
      </c>
      <c r="D280" s="8">
        <v>45103</v>
      </c>
      <c r="E280" s="66">
        <v>30</v>
      </c>
      <c r="F280" s="66">
        <v>0</v>
      </c>
      <c r="G280" s="66">
        <v>0</v>
      </c>
      <c r="H280" s="66">
        <v>40</v>
      </c>
      <c r="K280" s="66"/>
    </row>
    <row r="281" spans="1:11" x14ac:dyDescent="0.2">
      <c r="A281" t="s">
        <v>48</v>
      </c>
      <c r="B281" t="s">
        <v>65</v>
      </c>
      <c r="C281" s="8">
        <v>45097</v>
      </c>
      <c r="D281" s="8">
        <v>45103</v>
      </c>
      <c r="E281" s="66">
        <v>33.39</v>
      </c>
      <c r="F281" s="66">
        <v>0</v>
      </c>
      <c r="G281" s="66">
        <v>0</v>
      </c>
      <c r="H281" s="66">
        <v>40</v>
      </c>
      <c r="K281" s="66"/>
    </row>
    <row r="282" spans="1:11" x14ac:dyDescent="0.2">
      <c r="A282" t="s">
        <v>48</v>
      </c>
      <c r="B282" t="s">
        <v>66</v>
      </c>
      <c r="C282" s="8">
        <v>45097</v>
      </c>
      <c r="D282" s="8">
        <v>45103</v>
      </c>
      <c r="E282" s="66">
        <v>30.5</v>
      </c>
      <c r="F282" s="66">
        <v>0.5</v>
      </c>
      <c r="G282" s="66">
        <v>0</v>
      </c>
      <c r="H282" s="66">
        <v>40</v>
      </c>
      <c r="K282" s="66"/>
    </row>
    <row r="283" spans="1:11" x14ac:dyDescent="0.2">
      <c r="A283" t="s">
        <v>48</v>
      </c>
      <c r="B283" t="s">
        <v>40</v>
      </c>
      <c r="C283" s="8">
        <v>45097</v>
      </c>
      <c r="D283" s="8">
        <v>45103</v>
      </c>
      <c r="E283" s="66">
        <v>34.5</v>
      </c>
      <c r="F283" s="66">
        <v>0</v>
      </c>
      <c r="G283" s="66">
        <v>0</v>
      </c>
      <c r="H283" s="66">
        <v>40</v>
      </c>
      <c r="K283" s="66"/>
    </row>
    <row r="284" spans="1:11" x14ac:dyDescent="0.2">
      <c r="A284" t="s">
        <v>48</v>
      </c>
      <c r="B284" t="s">
        <v>36</v>
      </c>
      <c r="C284" s="8">
        <v>45097</v>
      </c>
      <c r="D284" s="8">
        <v>45103</v>
      </c>
      <c r="E284" s="66">
        <v>27.75</v>
      </c>
      <c r="F284" s="66">
        <v>1.25</v>
      </c>
      <c r="G284" s="66">
        <v>0</v>
      </c>
      <c r="H284" s="66">
        <v>40</v>
      </c>
      <c r="K284" s="66"/>
    </row>
    <row r="285" spans="1:11" x14ac:dyDescent="0.2">
      <c r="A285" t="s">
        <v>57</v>
      </c>
      <c r="B285" t="s">
        <v>33</v>
      </c>
      <c r="C285" s="8">
        <v>45097</v>
      </c>
      <c r="D285" s="8">
        <v>45103</v>
      </c>
      <c r="E285" s="66">
        <v>12.85</v>
      </c>
      <c r="F285" s="66">
        <v>5</v>
      </c>
      <c r="G285" s="66">
        <v>0</v>
      </c>
      <c r="H285" s="66">
        <v>40</v>
      </c>
      <c r="K285" s="66"/>
    </row>
    <row r="286" spans="1:11" x14ac:dyDescent="0.2">
      <c r="A286" t="s">
        <v>57</v>
      </c>
      <c r="B286" t="s">
        <v>63</v>
      </c>
      <c r="C286" s="8">
        <v>45097</v>
      </c>
      <c r="D286" s="8">
        <v>45103</v>
      </c>
      <c r="E286" s="66">
        <v>0</v>
      </c>
      <c r="F286" s="66">
        <v>0</v>
      </c>
      <c r="G286" s="66">
        <v>0</v>
      </c>
      <c r="H286" s="66">
        <v>40</v>
      </c>
      <c r="K286" s="66"/>
    </row>
    <row r="287" spans="1:11" x14ac:dyDescent="0.2">
      <c r="A287" t="s">
        <v>57</v>
      </c>
      <c r="B287" t="s">
        <v>47</v>
      </c>
      <c r="C287" s="8">
        <v>45097</v>
      </c>
      <c r="D287" s="8">
        <v>45103</v>
      </c>
      <c r="E287" s="66">
        <v>10.25</v>
      </c>
      <c r="F287" s="66">
        <v>0</v>
      </c>
      <c r="G287" s="66">
        <v>0</v>
      </c>
      <c r="H287" s="66">
        <v>40</v>
      </c>
      <c r="K287" s="66"/>
    </row>
  </sheetData>
  <autoFilter ref="A1:H287" xr:uid="{B88F8D16-9337-49FD-9B9C-7E95EBA4FB7F}">
    <sortState xmlns:xlrd2="http://schemas.microsoft.com/office/spreadsheetml/2017/richdata2" ref="A2:H287">
      <sortCondition ref="C1:C287"/>
    </sortState>
  </autoFilter>
  <sortState xmlns:xlrd2="http://schemas.microsoft.com/office/spreadsheetml/2017/richdata2" ref="M2:M287">
    <sortCondition ref="M2:M28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45E2-6F2A-4189-92ED-09F37921AB62}">
  <dimension ref="B2:E22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5" width="12.7109375" customWidth="1"/>
  </cols>
  <sheetData>
    <row r="2" spans="2:5" x14ac:dyDescent="0.2">
      <c r="B2" s="24" t="s">
        <v>18</v>
      </c>
      <c r="C2" s="3" t="s">
        <v>20</v>
      </c>
      <c r="D2" s="62" t="s">
        <v>96</v>
      </c>
      <c r="E2" s="3" t="s">
        <v>95</v>
      </c>
    </row>
    <row r="3" spans="2:5" x14ac:dyDescent="0.2">
      <c r="B3" s="25" t="s">
        <v>10</v>
      </c>
      <c r="C3" s="28">
        <f>'Prof Svcs - Current'!Q4</f>
        <v>577471.52167853666</v>
      </c>
      <c r="D3" s="28">
        <f>'Prof Svcs - Current'!Q4-'Prof Svcs - Prior'!Q4</f>
        <v>79549.648394492222</v>
      </c>
      <c r="E3" s="28">
        <f>'Prof Svcs - Current'!Q4-'Prof Svcs - Plan'!Q4</f>
        <v>85427.771678536665</v>
      </c>
    </row>
    <row r="4" spans="2:5" x14ac:dyDescent="0.2">
      <c r="B4" s="27" t="s">
        <v>11</v>
      </c>
      <c r="C4" s="29">
        <f>'Prof Svcs - Current'!Q5</f>
        <v>463124.42917600635</v>
      </c>
      <c r="D4" s="29">
        <f>'Prof Svcs - Current'!Q5-'Prof Svcs - Prior'!Q5</f>
        <v>63797.752998735523</v>
      </c>
      <c r="E4" s="29">
        <f>'Prof Svcs - Current'!Q5-'Prof Svcs - Plan'!Q5</f>
        <v>68511.92917600635</v>
      </c>
    </row>
    <row r="5" spans="2:5" x14ac:dyDescent="0.2">
      <c r="B5" s="27" t="s">
        <v>12</v>
      </c>
      <c r="C5" s="29">
        <f>'Prof Svcs - Current'!Q6</f>
        <v>114347.09250253039</v>
      </c>
      <c r="D5" s="29">
        <f>'Prof Svcs - Current'!Q6-'Prof Svcs - Prior'!Q6</f>
        <v>15751.895395756743</v>
      </c>
      <c r="E5" s="29">
        <f>'Prof Svcs - Current'!Q6-'Prof Svcs - Plan'!Q6</f>
        <v>16915.842502530388</v>
      </c>
    </row>
    <row r="6" spans="2:5" x14ac:dyDescent="0.2">
      <c r="B6" s="25" t="s">
        <v>13</v>
      </c>
      <c r="C6" s="28">
        <f>'Prof Svcs - Current'!Q7</f>
        <v>420852.16706220282</v>
      </c>
      <c r="D6" s="28">
        <f>'Prof Svcs - Current'!Q7-'Prof Svcs - Prior'!Q7</f>
        <v>57974.533217752352</v>
      </c>
      <c r="E6" s="28">
        <f>'Prof Svcs - Current'!Q7-'Prof Svcs - Plan'!Q7</f>
        <v>62258.417062202818</v>
      </c>
    </row>
    <row r="7" spans="2:5" x14ac:dyDescent="0.2">
      <c r="B7" s="27" t="s">
        <v>11</v>
      </c>
      <c r="C7" s="29">
        <f>'Prof Svcs - Current'!Q8</f>
        <v>243782.51455010567</v>
      </c>
      <c r="D7" s="29">
        <f>'Prof Svcs - Current'!Q8-'Prof Svcs - Prior'!Q8</f>
        <v>33582.285167616588</v>
      </c>
      <c r="E7" s="29">
        <f>'Prof Svcs - Current'!Q8-'Prof Svcs - Plan'!Q8</f>
        <v>36063.764550105669</v>
      </c>
    </row>
    <row r="8" spans="2:5" x14ac:dyDescent="0.2">
      <c r="B8" s="27" t="s">
        <v>12</v>
      </c>
      <c r="C8" s="29">
        <f>'Prof Svcs - Current'!Q9</f>
        <v>177069.65251209721</v>
      </c>
      <c r="D8" s="29">
        <f>'Prof Svcs - Current'!Q9-'Prof Svcs - Prior'!Q9</f>
        <v>24392.248050135822</v>
      </c>
      <c r="E8" s="29">
        <f>'Prof Svcs - Current'!Q9-'Prof Svcs - Plan'!Q9</f>
        <v>26194.652512097207</v>
      </c>
    </row>
    <row r="9" spans="2:5" x14ac:dyDescent="0.2">
      <c r="B9" s="33" t="s">
        <v>14</v>
      </c>
      <c r="C9" s="34">
        <f>'Prof Svcs - Current'!Q10</f>
        <v>220339.49013301107</v>
      </c>
      <c r="D9" s="34">
        <f>'Prof Svcs - Current'!Q10-'Prof Svcs - Prior'!Q10</f>
        <v>30352.888946894323</v>
      </c>
      <c r="E9" s="34">
        <f>'Prof Svcs - Current'!Q10-'Prof Svcs - Plan'!Q10</f>
        <v>32595.740133011073</v>
      </c>
    </row>
    <row r="10" spans="2:5" x14ac:dyDescent="0.2">
      <c r="B10" s="24" t="s">
        <v>15</v>
      </c>
      <c r="C10" s="30">
        <f>'Prof Svcs - Current'!Q11</f>
        <v>1218663.1788737508</v>
      </c>
      <c r="D10" s="30">
        <f>'Prof Svcs - Current'!Q11-'Prof Svcs - Prior'!Q11</f>
        <v>167877.07055913913</v>
      </c>
      <c r="E10" s="30">
        <f>'Prof Svcs - Current'!Q11-'Prof Svcs - Plan'!Q11</f>
        <v>180281.92887375085</v>
      </c>
    </row>
    <row r="12" spans="2:5" x14ac:dyDescent="0.2">
      <c r="B12" s="1" t="s">
        <v>98</v>
      </c>
      <c r="C12" s="3" t="str">
        <f>C2</f>
        <v>Q2 2023</v>
      </c>
      <c r="D12" s="3" t="str">
        <f t="shared" ref="D12:E12" si="0">D2</f>
        <v>∆ from Prior</v>
      </c>
      <c r="E12" s="3" t="str">
        <f t="shared" si="0"/>
        <v>Var to Plan</v>
      </c>
    </row>
    <row r="13" spans="2:5" x14ac:dyDescent="0.2">
      <c r="B13" t="s">
        <v>26</v>
      </c>
      <c r="C13" s="35">
        <f>'Prof Svcs - Current'!Q20</f>
        <v>1267825</v>
      </c>
      <c r="D13" s="35">
        <f>'Prof Svcs - Current'!Q20-'Prof Svcs - Prior'!Q20</f>
        <v>53950</v>
      </c>
      <c r="E13" s="35">
        <f>'Prof Svcs - Current'!Q20-'Prof Svcs - Plan'!Q20</f>
        <v>75325</v>
      </c>
    </row>
    <row r="14" spans="2:5" x14ac:dyDescent="0.2">
      <c r="B14" s="51" t="s">
        <v>31</v>
      </c>
      <c r="C14" s="34">
        <f>'Prof Svcs - Current'!Q30</f>
        <v>356850</v>
      </c>
      <c r="D14" s="34">
        <f>'Prof Svcs - Current'!Q30-'Prof Svcs - Prior'!Q30</f>
        <v>10980</v>
      </c>
      <c r="E14" s="34">
        <f>'Prof Svcs - Current'!Q30-'Prof Svcs - Plan'!Q30</f>
        <v>86580</v>
      </c>
    </row>
    <row r="15" spans="2:5" x14ac:dyDescent="0.2">
      <c r="B15" s="1" t="s">
        <v>97</v>
      </c>
      <c r="C15" s="30">
        <f>SUM(C13:C14)</f>
        <v>1624675</v>
      </c>
      <c r="D15" s="30">
        <f t="shared" ref="D15:E15" si="1">SUM(D13:D14)</f>
        <v>64930</v>
      </c>
      <c r="E15" s="30">
        <f t="shared" si="1"/>
        <v>161905</v>
      </c>
    </row>
    <row r="17" spans="2:5" x14ac:dyDescent="0.2">
      <c r="B17" s="1" t="s">
        <v>101</v>
      </c>
      <c r="C17" s="3" t="str">
        <f>C2</f>
        <v>Q2 2023</v>
      </c>
      <c r="D17" s="3" t="str">
        <f t="shared" ref="D17:E17" si="2">D2</f>
        <v>∆ from Prior</v>
      </c>
      <c r="E17" s="3" t="str">
        <f t="shared" si="2"/>
        <v>Var to Plan</v>
      </c>
    </row>
    <row r="18" spans="2:5" x14ac:dyDescent="0.2">
      <c r="B18" t="s">
        <v>82</v>
      </c>
      <c r="C18" s="28">
        <f>'Prof Svcs - Current'!Q46</f>
        <v>1208957.3867085394</v>
      </c>
      <c r="D18" s="70">
        <f>'Prof Svcs - Current'!Q46-'Prof Svcs - Prior'!Q46</f>
        <v>46043.770479181549</v>
      </c>
      <c r="E18" s="70">
        <f>'Prof Svcs - Current'!Q46-'Prof Svcs - Plan'!Q46</f>
        <v>122712.01170853944</v>
      </c>
    </row>
    <row r="19" spans="2:5" x14ac:dyDescent="0.2">
      <c r="B19" t="s">
        <v>83</v>
      </c>
      <c r="C19" s="65">
        <f>'Prof Svcs - Current'!Q47</f>
        <v>0.74412260095621552</v>
      </c>
      <c r="D19" s="71">
        <f>'Prof Svcs - Current'!Q47-'Prof Svcs - Prior'!Q47</f>
        <v>-1.4567188873216841E-3</v>
      </c>
      <c r="E19" s="71">
        <f>'Prof Svcs - Current'!Q47-'Prof Svcs - Plan'!Q47</f>
        <v>1.5278150363511322E-3</v>
      </c>
    </row>
    <row r="20" spans="2:5" x14ac:dyDescent="0.2">
      <c r="C20" s="65"/>
      <c r="D20" s="71"/>
      <c r="E20" s="71"/>
    </row>
    <row r="21" spans="2:5" x14ac:dyDescent="0.2">
      <c r="B21" t="s">
        <v>87</v>
      </c>
      <c r="C21" s="28">
        <f>'Prof Svcs - Current'!P54</f>
        <v>303048.61205200828</v>
      </c>
      <c r="D21" s="70">
        <f>'Prof Svcs - Current'!Q54-'Prof Svcs - Prior'!Q54</f>
        <v>23569.672076452873</v>
      </c>
      <c r="E21" s="70">
        <f>'Prof Svcs - Current'!Q54-'Prof Svcs - Plan'!Q54</f>
        <v>94828.717403670656</v>
      </c>
    </row>
    <row r="22" spans="2:5" x14ac:dyDescent="0.2">
      <c r="B22" t="s">
        <v>88</v>
      </c>
      <c r="C22" s="65">
        <f>'Prof Svcs - Current'!Q55</f>
        <v>0.24987274936238779</v>
      </c>
      <c r="D22" s="71">
        <f>'Prof Svcs - Current'!Q55-'Prof Svcs - Prior'!Q55</f>
        <v>4.7093816363271146E-3</v>
      </c>
      <c r="E22" s="71">
        <f>'Prof Svcs - Current'!Q55-'Prof Svcs - Plan'!Q55</f>
        <v>3.7171305070621663E-2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E3E9-875F-4DEF-B535-5F428E0CF632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9F16-FA56-4D74-ADC5-25C8E58226ED}">
  <dimension ref="B2:U55"/>
  <sheetViews>
    <sheetView showGridLines="0" workbookViewId="0"/>
  </sheetViews>
  <sheetFormatPr defaultRowHeight="15" customHeight="1" outlineLevelRow="1" x14ac:dyDescent="0.2"/>
  <cols>
    <col min="1" max="1" width="5.7109375" style="25" customWidth="1"/>
    <col min="2" max="2" width="20.7109375" style="25" customWidth="1"/>
    <col min="3" max="14" width="10.7109375" style="25" customWidth="1"/>
    <col min="15" max="15" width="5.7109375" style="25" customWidth="1"/>
    <col min="16" max="19" width="10.7109375" style="25" customWidth="1"/>
    <col min="20" max="20" width="5.7109375" style="25" customWidth="1"/>
    <col min="21" max="21" width="10.7109375" style="25" customWidth="1"/>
    <col min="22" max="16384" width="9.140625" style="25"/>
  </cols>
  <sheetData>
    <row r="2" spans="2:21" ht="21" customHeight="1" x14ac:dyDescent="0.2">
      <c r="B2" s="50" t="s">
        <v>71</v>
      </c>
    </row>
    <row r="3" spans="2:21" ht="15" customHeight="1" x14ac:dyDescent="0.2">
      <c r="B3" s="24" t="s">
        <v>18</v>
      </c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3" t="s">
        <v>19</v>
      </c>
      <c r="Q3" s="3" t="s">
        <v>20</v>
      </c>
      <c r="R3" s="3" t="s">
        <v>21</v>
      </c>
      <c r="S3" s="3" t="s">
        <v>22</v>
      </c>
      <c r="U3" s="3" t="s">
        <v>22</v>
      </c>
    </row>
    <row r="4" spans="2:21" ht="15" customHeight="1" x14ac:dyDescent="0.2">
      <c r="B4" s="25" t="s">
        <v>10</v>
      </c>
      <c r="C4" s="28">
        <f>SUM(C5:C6)</f>
        <v>61883.925660884226</v>
      </c>
      <c r="D4" s="28">
        <f t="shared" ref="D4:N4" si="1">SUM(D5:D6)</f>
        <v>159160.73774827071</v>
      </c>
      <c r="E4" s="28">
        <f t="shared" si="1"/>
        <v>169489.24245703485</v>
      </c>
      <c r="F4" s="28">
        <f t="shared" si="1"/>
        <v>155122.99135566823</v>
      </c>
      <c r="G4" s="28">
        <f t="shared" si="1"/>
        <v>126816.78634141046</v>
      </c>
      <c r="H4" s="28">
        <f t="shared" si="1"/>
        <v>295531.74398145801</v>
      </c>
      <c r="I4" s="28">
        <f t="shared" si="1"/>
        <v>160983.74745994189</v>
      </c>
      <c r="J4" s="28">
        <f t="shared" si="1"/>
        <v>194277.83000975172</v>
      </c>
      <c r="K4" s="28">
        <f t="shared" si="1"/>
        <v>297900.98581084528</v>
      </c>
      <c r="L4" s="28">
        <f t="shared" si="1"/>
        <v>274457.96139375068</v>
      </c>
      <c r="M4" s="28">
        <f t="shared" si="1"/>
        <v>218469.0360571791</v>
      </c>
      <c r="N4" s="28">
        <f t="shared" si="1"/>
        <v>360623.54582041199</v>
      </c>
      <c r="P4" s="28">
        <f>SUM(C4:E4)</f>
        <v>390533.90586618974</v>
      </c>
      <c r="Q4" s="28">
        <f>SUM(F4:H4)</f>
        <v>577471.52167853666</v>
      </c>
      <c r="R4" s="28">
        <f>SUM(I4:K4)</f>
        <v>653162.56328053889</v>
      </c>
      <c r="S4" s="28">
        <f>SUM(L4:N4)</f>
        <v>853550.54327134183</v>
      </c>
      <c r="U4" s="28">
        <f>SUM(P4:S4)</f>
        <v>2474718.534096607</v>
      </c>
    </row>
    <row r="5" spans="2:21" s="26" customFormat="1" ht="15" hidden="1" customHeight="1" outlineLevel="1" x14ac:dyDescent="0.2">
      <c r="B5" s="27" t="s">
        <v>11</v>
      </c>
      <c r="C5" s="29">
        <f>Current!C41</f>
        <v>51480.562074912355</v>
      </c>
      <c r="D5" s="29">
        <f>Current!D41</f>
        <v>135779.98247258135</v>
      </c>
      <c r="E5" s="29">
        <f>Current!E41</f>
        <v>159918.04480336962</v>
      </c>
      <c r="F5" s="29">
        <f>Current!F41</f>
        <v>138662.99548834653</v>
      </c>
      <c r="G5" s="29">
        <f>Current!G41</f>
        <v>104620.7313082039</v>
      </c>
      <c r="H5" s="29">
        <f>Current!H41</f>
        <v>219840.70237945591</v>
      </c>
      <c r="I5" s="29">
        <f>Current!I41</f>
        <v>133425.72407601692</v>
      </c>
      <c r="J5" s="29">
        <f>Current!J41</f>
        <v>152629.05258789225</v>
      </c>
      <c r="K5" s="29">
        <f>Current!K41</f>
        <v>250391.45228471214</v>
      </c>
      <c r="L5" s="29">
        <f>Current!L41</f>
        <v>194028.43613297411</v>
      </c>
      <c r="M5" s="29">
        <f>Current!M41</f>
        <v>182431.62086281565</v>
      </c>
      <c r="N5" s="29">
        <f>Current!N41</f>
        <v>294409.47153595876</v>
      </c>
      <c r="P5" s="29">
        <f t="shared" ref="P5:P11" si="2">SUM(C5:E5)</f>
        <v>347178.58935086336</v>
      </c>
      <c r="Q5" s="29">
        <f t="shared" ref="Q5:Q11" si="3">SUM(F5:H5)</f>
        <v>463124.42917600635</v>
      </c>
      <c r="R5" s="29">
        <f t="shared" ref="R5:R11" si="4">SUM(I5:K5)</f>
        <v>536446.22894862131</v>
      </c>
      <c r="S5" s="29">
        <f t="shared" ref="S5:S11" si="5">SUM(L5:N5)</f>
        <v>670869.52853174857</v>
      </c>
      <c r="U5" s="29">
        <f t="shared" ref="U5:U11" si="6">SUM(P5:S5)</f>
        <v>2017618.7760072395</v>
      </c>
    </row>
    <row r="6" spans="2:21" s="26" customFormat="1" ht="15" hidden="1" customHeight="1" outlineLevel="1" x14ac:dyDescent="0.2">
      <c r="B6" s="27" t="s">
        <v>12</v>
      </c>
      <c r="C6" s="29">
        <f>Current!C42</f>
        <v>10403.363585971867</v>
      </c>
      <c r="D6" s="29">
        <f>Current!D42</f>
        <v>23380.755275689353</v>
      </c>
      <c r="E6" s="29">
        <f>Current!E42</f>
        <v>9571.1976536652473</v>
      </c>
      <c r="F6" s="29">
        <f>Current!F42</f>
        <v>16459.995867321704</v>
      </c>
      <c r="G6" s="29">
        <f>Current!G42</f>
        <v>22196.055033206558</v>
      </c>
      <c r="H6" s="29">
        <f>Current!H42</f>
        <v>75691.041602002122</v>
      </c>
      <c r="I6" s="29">
        <f>Current!I42</f>
        <v>27558.023383924985</v>
      </c>
      <c r="J6" s="29">
        <f>Current!J42</f>
        <v>41648.777421859486</v>
      </c>
      <c r="K6" s="29">
        <f>Current!K42</f>
        <v>47509.533526133113</v>
      </c>
      <c r="L6" s="29">
        <f>Current!L42</f>
        <v>80429.525260776558</v>
      </c>
      <c r="M6" s="29">
        <f>Current!M42</f>
        <v>36037.415194363435</v>
      </c>
      <c r="N6" s="29">
        <f>Current!N42</f>
        <v>66214.074284453251</v>
      </c>
      <c r="P6" s="29">
        <f t="shared" si="2"/>
        <v>43355.316515326471</v>
      </c>
      <c r="Q6" s="29">
        <f t="shared" si="3"/>
        <v>114347.09250253039</v>
      </c>
      <c r="R6" s="29">
        <f t="shared" si="4"/>
        <v>116716.33433191758</v>
      </c>
      <c r="S6" s="29">
        <f t="shared" si="5"/>
        <v>182681.01473959326</v>
      </c>
      <c r="U6" s="29">
        <f t="shared" si="6"/>
        <v>457099.75808936771</v>
      </c>
    </row>
    <row r="7" spans="2:21" ht="15" customHeight="1" collapsed="1" x14ac:dyDescent="0.2">
      <c r="B7" s="25" t="s">
        <v>13</v>
      </c>
      <c r="C7" s="28">
        <f>SUM(C8:C9)</f>
        <v>128701.40518728085</v>
      </c>
      <c r="D7" s="28">
        <f t="shared" ref="D7:N7" si="7">SUM(D8:D9)</f>
        <v>98671.077310248656</v>
      </c>
      <c r="E7" s="28">
        <f t="shared" si="7"/>
        <v>107442.56543639135</v>
      </c>
      <c r="F7" s="28">
        <f t="shared" si="7"/>
        <v>138164.20773479133</v>
      </c>
      <c r="G7" s="28">
        <f t="shared" si="7"/>
        <v>116841.03127030641</v>
      </c>
      <c r="H7" s="28">
        <f t="shared" si="7"/>
        <v>165846.92805710511</v>
      </c>
      <c r="I7" s="28">
        <f t="shared" si="7"/>
        <v>125694.51389591125</v>
      </c>
      <c r="J7" s="28">
        <f t="shared" si="7"/>
        <v>72573.618142282081</v>
      </c>
      <c r="K7" s="28">
        <f t="shared" si="7"/>
        <v>170834.80559265718</v>
      </c>
      <c r="L7" s="28">
        <f t="shared" si="7"/>
        <v>108112.24558309035</v>
      </c>
      <c r="M7" s="28">
        <f t="shared" si="7"/>
        <v>141156.93425612256</v>
      </c>
      <c r="N7" s="28">
        <f t="shared" si="7"/>
        <v>154748.90054050187</v>
      </c>
      <c r="P7" s="28">
        <f t="shared" si="2"/>
        <v>334815.04793392087</v>
      </c>
      <c r="Q7" s="28">
        <f t="shared" si="3"/>
        <v>420852.16706220282</v>
      </c>
      <c r="R7" s="28">
        <f t="shared" si="4"/>
        <v>369102.93763085053</v>
      </c>
      <c r="S7" s="28">
        <f t="shared" si="5"/>
        <v>404018.08037971478</v>
      </c>
      <c r="U7" s="28">
        <f t="shared" si="6"/>
        <v>1528788.233006689</v>
      </c>
    </row>
    <row r="8" spans="2:21" s="26" customFormat="1" ht="15" hidden="1" customHeight="1" outlineLevel="1" x14ac:dyDescent="0.2">
      <c r="B8" s="27" t="s">
        <v>11</v>
      </c>
      <c r="C8" s="29">
        <f>Current!C44</f>
        <v>71536.531049930272</v>
      </c>
      <c r="D8" s="29">
        <f>Current!D44</f>
        <v>49121.036313145531</v>
      </c>
      <c r="E8" s="29">
        <f>Current!E44</f>
        <v>54597.812422630079</v>
      </c>
      <c r="F8" s="29">
        <f>Current!F44</f>
        <v>79182.555876888538</v>
      </c>
      <c r="G8" s="29">
        <f>Current!G44</f>
        <v>67959.831421896466</v>
      </c>
      <c r="H8" s="29">
        <f>Current!H44</f>
        <v>96640.12725132065</v>
      </c>
      <c r="I8" s="29">
        <f>Current!I44</f>
        <v>81177.706891109337</v>
      </c>
      <c r="J8" s="29">
        <f>Current!J44</f>
        <v>31548.325412366608</v>
      </c>
      <c r="K8" s="29">
        <f>Current!K44</f>
        <v>124073.45369685687</v>
      </c>
      <c r="L8" s="29">
        <f>Current!L44</f>
        <v>75067.55691005812</v>
      </c>
      <c r="M8" s="29">
        <f>Current!M44</f>
        <v>107987.54864470153</v>
      </c>
      <c r="N8" s="29">
        <f>Current!N44</f>
        <v>109234.51802858953</v>
      </c>
      <c r="P8" s="29">
        <f t="shared" si="2"/>
        <v>175255.37978570588</v>
      </c>
      <c r="Q8" s="29">
        <f t="shared" si="3"/>
        <v>243782.51455010567</v>
      </c>
      <c r="R8" s="29">
        <f t="shared" si="4"/>
        <v>236799.48600033281</v>
      </c>
      <c r="S8" s="29">
        <f t="shared" si="5"/>
        <v>292289.62358334917</v>
      </c>
      <c r="U8" s="29">
        <f t="shared" si="6"/>
        <v>948127.00391949352</v>
      </c>
    </row>
    <row r="9" spans="2:21" s="26" customFormat="1" ht="15" hidden="1" customHeight="1" outlineLevel="1" x14ac:dyDescent="0.2">
      <c r="B9" s="27" t="s">
        <v>12</v>
      </c>
      <c r="C9" s="29">
        <f>Current!C45</f>
        <v>57164.874137350569</v>
      </c>
      <c r="D9" s="29">
        <f>Current!D45</f>
        <v>49550.040997103133</v>
      </c>
      <c r="E9" s="29">
        <f>Current!E45</f>
        <v>52844.75301376127</v>
      </c>
      <c r="F9" s="29">
        <f>Current!F45</f>
        <v>58981.651857902798</v>
      </c>
      <c r="G9" s="29">
        <f>Current!G45</f>
        <v>48881.199848409939</v>
      </c>
      <c r="H9" s="29">
        <f>Current!H45</f>
        <v>69206.800805784471</v>
      </c>
      <c r="I9" s="29">
        <f>Current!I45</f>
        <v>44516.807004801907</v>
      </c>
      <c r="J9" s="29">
        <f>Current!J45</f>
        <v>41025.292729915476</v>
      </c>
      <c r="K9" s="29">
        <f>Current!K45</f>
        <v>46761.351895800311</v>
      </c>
      <c r="L9" s="29">
        <f>Current!L45</f>
        <v>33044.688673032222</v>
      </c>
      <c r="M9" s="29">
        <f>Current!M45</f>
        <v>33169.385611421028</v>
      </c>
      <c r="N9" s="29">
        <f>Current!N45</f>
        <v>45514.382511912328</v>
      </c>
      <c r="P9" s="29">
        <f t="shared" si="2"/>
        <v>159559.66814821499</v>
      </c>
      <c r="Q9" s="29">
        <f t="shared" si="3"/>
        <v>177069.65251209721</v>
      </c>
      <c r="R9" s="29">
        <f t="shared" si="4"/>
        <v>132303.45163051769</v>
      </c>
      <c r="S9" s="29">
        <f t="shared" si="5"/>
        <v>111728.45679636559</v>
      </c>
      <c r="U9" s="38">
        <f t="shared" si="6"/>
        <v>580661.22908719548</v>
      </c>
    </row>
    <row r="10" spans="2:21" ht="15" customHeight="1" collapsed="1" x14ac:dyDescent="0.2">
      <c r="B10" s="33" t="s">
        <v>14</v>
      </c>
      <c r="C10" s="34">
        <f>Current!C46</f>
        <v>30137.579048021606</v>
      </c>
      <c r="D10" s="34">
        <f>Current!D46</f>
        <v>10403.363585971869</v>
      </c>
      <c r="E10" s="34">
        <f>Current!E46</f>
        <v>74861.317350601734</v>
      </c>
      <c r="F10" s="34">
        <f>Current!F46</f>
        <v>37034.990701473849</v>
      </c>
      <c r="G10" s="34">
        <f>Current!G46</f>
        <v>80928.313014331739</v>
      </c>
      <c r="H10" s="34">
        <f>Current!H46</f>
        <v>102376.18641720551</v>
      </c>
      <c r="I10" s="34">
        <f>Current!I46</f>
        <v>33169.385611421014</v>
      </c>
      <c r="J10" s="34">
        <f>Current!J46</f>
        <v>64468.317147010028</v>
      </c>
      <c r="K10" s="34">
        <f>Current!K46</f>
        <v>73695.890587781294</v>
      </c>
      <c r="L10" s="34">
        <f>Current!L46</f>
        <v>103872.54967787114</v>
      </c>
      <c r="M10" s="34">
        <f>Current!M46</f>
        <v>54991.349829461178</v>
      </c>
      <c r="N10" s="34">
        <f>Current!N46</f>
        <v>60976.802872123619</v>
      </c>
      <c r="P10" s="34">
        <f t="shared" si="2"/>
        <v>115402.25998459521</v>
      </c>
      <c r="Q10" s="34">
        <f t="shared" si="3"/>
        <v>220339.49013301107</v>
      </c>
      <c r="R10" s="34">
        <f t="shared" si="4"/>
        <v>171333.59334621235</v>
      </c>
      <c r="S10" s="34">
        <f t="shared" si="5"/>
        <v>219840.70237945591</v>
      </c>
      <c r="U10" s="34">
        <f t="shared" si="6"/>
        <v>726916.04584327457</v>
      </c>
    </row>
    <row r="11" spans="2:21" ht="15" customHeight="1" x14ac:dyDescent="0.2">
      <c r="B11" s="24" t="s">
        <v>15</v>
      </c>
      <c r="C11" s="30">
        <f>C4+C7+C10</f>
        <v>220722.9098961867</v>
      </c>
      <c r="D11" s="30">
        <f t="shared" ref="D11:N11" si="8">D4+D7+D10</f>
        <v>268235.17864449124</v>
      </c>
      <c r="E11" s="30">
        <f t="shared" si="8"/>
        <v>351793.12524402793</v>
      </c>
      <c r="F11" s="30">
        <f t="shared" si="8"/>
        <v>330322.1897919334</v>
      </c>
      <c r="G11" s="30">
        <f t="shared" si="8"/>
        <v>324586.1306260486</v>
      </c>
      <c r="H11" s="30">
        <f t="shared" si="8"/>
        <v>563754.85845576867</v>
      </c>
      <c r="I11" s="30">
        <f t="shared" si="8"/>
        <v>319847.6469672742</v>
      </c>
      <c r="J11" s="30">
        <f t="shared" si="8"/>
        <v>331319.76529904379</v>
      </c>
      <c r="K11" s="30">
        <f t="shared" si="8"/>
        <v>542431.68199128378</v>
      </c>
      <c r="L11" s="30">
        <f t="shared" si="8"/>
        <v>486442.75665471214</v>
      </c>
      <c r="M11" s="30">
        <f t="shared" si="8"/>
        <v>414617.32014276285</v>
      </c>
      <c r="N11" s="30">
        <f t="shared" si="8"/>
        <v>576349.24923303747</v>
      </c>
      <c r="P11" s="30">
        <f t="shared" si="2"/>
        <v>840751.21378470585</v>
      </c>
      <c r="Q11" s="30">
        <f t="shared" si="3"/>
        <v>1218663.1788737508</v>
      </c>
      <c r="R11" s="30">
        <f t="shared" si="4"/>
        <v>1193599.0942576018</v>
      </c>
      <c r="S11" s="30">
        <f t="shared" si="5"/>
        <v>1477409.3260305123</v>
      </c>
      <c r="U11" s="30">
        <f t="shared" si="6"/>
        <v>4730422.812946571</v>
      </c>
    </row>
    <row r="13" spans="2:21" ht="15" customHeight="1" x14ac:dyDescent="0.2">
      <c r="B13" s="24" t="s">
        <v>26</v>
      </c>
    </row>
    <row r="14" spans="2:21" ht="15" customHeight="1" x14ac:dyDescent="0.2">
      <c r="B14" s="25" t="s">
        <v>27</v>
      </c>
      <c r="C14" s="36">
        <f>Current!C6</f>
        <v>16</v>
      </c>
      <c r="D14" s="36">
        <f>Current!D6</f>
        <v>16</v>
      </c>
      <c r="E14" s="36">
        <f>Current!E6</f>
        <v>16</v>
      </c>
      <c r="F14" s="36">
        <f>Current!F6</f>
        <v>17</v>
      </c>
      <c r="G14" s="36">
        <f>Current!G6</f>
        <v>18</v>
      </c>
      <c r="H14" s="36">
        <f>Current!H6</f>
        <v>18</v>
      </c>
      <c r="I14" s="36">
        <f>Current!I6</f>
        <v>18</v>
      </c>
      <c r="J14" s="36">
        <f>Current!J6</f>
        <v>19</v>
      </c>
      <c r="K14" s="36">
        <f>Current!K6</f>
        <v>19</v>
      </c>
      <c r="L14" s="36">
        <f>Current!L6</f>
        <v>19</v>
      </c>
      <c r="M14" s="36">
        <f>Current!M6</f>
        <v>19</v>
      </c>
      <c r="N14" s="36">
        <f>Current!N6</f>
        <v>20</v>
      </c>
      <c r="P14" s="36">
        <f>SUMPRODUCT(C14:E14,C$20:E$20)/SUM(C$20:E$20)</f>
        <v>16</v>
      </c>
      <c r="Q14" s="36">
        <f t="shared" ref="Q14" si="9">SUMPRODUCT(F14:H14,F$20:H$20)/SUM(F$20:H$20)</f>
        <v>17.70064874884152</v>
      </c>
      <c r="R14" s="36">
        <f t="shared" ref="R14" si="10">SUMPRODUCT(I14:K14,I$20:K$20)/SUM(I$20:K$20)</f>
        <v>18.694915254237287</v>
      </c>
      <c r="S14" s="36">
        <f t="shared" ref="S14" si="11">SUMPRODUCT(L14:N14,L$20:N$20)/SUM(L$20:N$20)</f>
        <v>19.339270568278202</v>
      </c>
      <c r="U14" s="36">
        <f>SUMPRODUCT(C14:N14,C$20:N$20)/SUM(C$20:N$20)</f>
        <v>18.038498912362567</v>
      </c>
    </row>
    <row r="15" spans="2:21" ht="15" customHeight="1" x14ac:dyDescent="0.2">
      <c r="B15" s="25" t="s">
        <v>28</v>
      </c>
      <c r="C15" s="36">
        <f>Current!C4</f>
        <v>168</v>
      </c>
      <c r="D15" s="36">
        <f>Current!D4</f>
        <v>160</v>
      </c>
      <c r="E15" s="36">
        <f>Current!E4</f>
        <v>184</v>
      </c>
      <c r="F15" s="36">
        <f>Current!F4</f>
        <v>160</v>
      </c>
      <c r="G15" s="36">
        <f>Current!G4</f>
        <v>184</v>
      </c>
      <c r="H15" s="36">
        <f>Current!H4</f>
        <v>168</v>
      </c>
      <c r="I15" s="36">
        <f>Current!I4</f>
        <v>160</v>
      </c>
      <c r="J15" s="36">
        <f>Current!J4</f>
        <v>184</v>
      </c>
      <c r="K15" s="36">
        <f>Current!K4</f>
        <v>160</v>
      </c>
      <c r="L15" s="36">
        <f>Current!L4</f>
        <v>176</v>
      </c>
      <c r="M15" s="36">
        <f>Current!M4</f>
        <v>168</v>
      </c>
      <c r="N15" s="36">
        <f>Current!N4</f>
        <v>168</v>
      </c>
      <c r="P15" s="36">
        <f>SUM(C15:E15)</f>
        <v>512</v>
      </c>
      <c r="Q15" s="36">
        <f>SUM(F15:H15)</f>
        <v>512</v>
      </c>
      <c r="R15" s="36">
        <f>SUM(I15:K15)</f>
        <v>504</v>
      </c>
      <c r="S15" s="36">
        <f>SUM(L15:N15)</f>
        <v>512</v>
      </c>
      <c r="U15" s="36">
        <f>SUM(C15:N15)</f>
        <v>2040</v>
      </c>
    </row>
    <row r="16" spans="2:21" ht="15" customHeight="1" x14ac:dyDescent="0.2">
      <c r="B16" s="25" t="s">
        <v>3</v>
      </c>
      <c r="C16" s="36">
        <f>Current!C8</f>
        <v>128</v>
      </c>
      <c r="D16" s="36">
        <f>Current!D8</f>
        <v>128</v>
      </c>
      <c r="E16" s="36">
        <f>Current!E8</f>
        <v>128</v>
      </c>
      <c r="F16" s="36">
        <f>Current!F8</f>
        <v>136</v>
      </c>
      <c r="G16" s="36">
        <f>Current!G8</f>
        <v>144</v>
      </c>
      <c r="H16" s="36">
        <f>Current!H8</f>
        <v>144</v>
      </c>
      <c r="I16" s="36">
        <f>Current!I8</f>
        <v>144</v>
      </c>
      <c r="J16" s="36">
        <f>Current!J8</f>
        <v>152</v>
      </c>
      <c r="K16" s="36">
        <f>Current!K8</f>
        <v>152</v>
      </c>
      <c r="L16" s="36">
        <f>Current!L8</f>
        <v>152</v>
      </c>
      <c r="M16" s="36">
        <f>Current!M8</f>
        <v>152</v>
      </c>
      <c r="N16" s="36">
        <f>Current!N8</f>
        <v>160</v>
      </c>
      <c r="P16" s="36">
        <f>SUM(C16:E16)</f>
        <v>384</v>
      </c>
      <c r="Q16" s="36">
        <f>SUM(F16:H16)</f>
        <v>424</v>
      </c>
      <c r="R16" s="36">
        <f>SUM(I16:K16)</f>
        <v>448</v>
      </c>
      <c r="S16" s="36">
        <f>SUM(L16:N16)</f>
        <v>464</v>
      </c>
      <c r="U16" s="36">
        <f>SUM(C16:N16)</f>
        <v>1720</v>
      </c>
    </row>
    <row r="17" spans="2:21" ht="15" customHeight="1" x14ac:dyDescent="0.2">
      <c r="B17" s="25" t="s">
        <v>29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P17" s="2">
        <f>SUM(C17:E17)</f>
        <v>0</v>
      </c>
      <c r="Q17" s="2">
        <f>SUM(F17:H17)</f>
        <v>0</v>
      </c>
      <c r="R17" s="2">
        <f>SUM(I17:K17)</f>
        <v>0</v>
      </c>
      <c r="S17" s="2">
        <f>SUM(L17:N17)</f>
        <v>0</v>
      </c>
      <c r="U17" s="2">
        <f>SUM(P17:S17)</f>
        <v>0</v>
      </c>
    </row>
    <row r="18" spans="2:21" ht="15" customHeight="1" x14ac:dyDescent="0.2">
      <c r="B18" s="25" t="s">
        <v>30</v>
      </c>
      <c r="C18" s="36">
        <f>Current!C7</f>
        <v>225</v>
      </c>
      <c r="D18" s="36">
        <f>Current!D7</f>
        <v>225</v>
      </c>
      <c r="E18" s="36">
        <f>Current!E7</f>
        <v>225</v>
      </c>
      <c r="F18" s="36">
        <f>Current!F7</f>
        <v>235</v>
      </c>
      <c r="G18" s="36">
        <f>Current!G7</f>
        <v>235</v>
      </c>
      <c r="H18" s="36">
        <f>Current!H7</f>
        <v>235</v>
      </c>
      <c r="I18" s="36">
        <f>Current!I7</f>
        <v>235</v>
      </c>
      <c r="J18" s="36">
        <f>Current!J7</f>
        <v>235</v>
      </c>
      <c r="K18" s="36">
        <f>Current!K7</f>
        <v>235</v>
      </c>
      <c r="L18" s="36">
        <f>Current!L7</f>
        <v>235</v>
      </c>
      <c r="M18" s="36">
        <f>Current!M7</f>
        <v>235</v>
      </c>
      <c r="N18" s="36">
        <f>Current!N7</f>
        <v>235</v>
      </c>
      <c r="P18" s="36">
        <f>SUMPRODUCT(C18:E18,C$20:E$20)/SUM(C$20:E$20)</f>
        <v>225</v>
      </c>
      <c r="Q18" s="36">
        <f t="shared" ref="Q18:Q19" si="12">SUMPRODUCT(F18:H18,F$20:H$20)/SUM(F$20:H$20)</f>
        <v>235</v>
      </c>
      <c r="R18" s="36">
        <f t="shared" ref="R18:R19" si="13">SUMPRODUCT(I18:K18,I$20:K$20)/SUM(I$20:K$20)</f>
        <v>235</v>
      </c>
      <c r="S18" s="36">
        <f t="shared" ref="S18:S19" si="14">SUMPRODUCT(L18:N18,L$20:N$20)/SUM(L$20:N$20)</f>
        <v>235</v>
      </c>
      <c r="U18" s="36">
        <f t="shared" ref="U18:U19" si="15">SUMPRODUCT(C18:N18,C$20:N$20)/SUM(C$20:N$20)</f>
        <v>232.83360380401808</v>
      </c>
    </row>
    <row r="19" spans="2:21" ht="15" customHeight="1" x14ac:dyDescent="0.2">
      <c r="B19" s="33" t="s">
        <v>7</v>
      </c>
      <c r="C19" s="37">
        <f>Current!C10</f>
        <v>0.625</v>
      </c>
      <c r="D19" s="37">
        <f>Current!D10</f>
        <v>0.625</v>
      </c>
      <c r="E19" s="37">
        <f>Current!E10</f>
        <v>0.625</v>
      </c>
      <c r="F19" s="37">
        <f>Current!F10</f>
        <v>0.625</v>
      </c>
      <c r="G19" s="37">
        <f>Current!G10</f>
        <v>0.625</v>
      </c>
      <c r="H19" s="37">
        <f>Current!H10</f>
        <v>0.625</v>
      </c>
      <c r="I19" s="37">
        <f>Current!I10</f>
        <v>0.625</v>
      </c>
      <c r="J19" s="37">
        <f>Current!J10</f>
        <v>0.625</v>
      </c>
      <c r="K19" s="37">
        <f>Current!K10</f>
        <v>0.625</v>
      </c>
      <c r="L19" s="37">
        <f>Current!L10</f>
        <v>0.625</v>
      </c>
      <c r="M19" s="37">
        <f>Current!M10</f>
        <v>0.625</v>
      </c>
      <c r="N19" s="37">
        <f>Current!N10</f>
        <v>0.625</v>
      </c>
      <c r="P19" s="37">
        <f t="shared" ref="P19" si="16">SUMPRODUCT(C19:E19,C$20:E$20)/SUM(C$20:E$20)</f>
        <v>0.625</v>
      </c>
      <c r="Q19" s="37">
        <f t="shared" si="12"/>
        <v>0.625</v>
      </c>
      <c r="R19" s="37">
        <f t="shared" si="13"/>
        <v>0.625</v>
      </c>
      <c r="S19" s="37">
        <f t="shared" si="14"/>
        <v>0.625</v>
      </c>
      <c r="U19" s="37">
        <f t="shared" si="15"/>
        <v>0.625</v>
      </c>
    </row>
    <row r="20" spans="2:21" ht="15" customHeight="1" x14ac:dyDescent="0.2">
      <c r="B20" s="24" t="s">
        <v>26</v>
      </c>
      <c r="C20" s="30">
        <f>((C14*C15)-C16-C17)*C18*C19</f>
        <v>360000</v>
      </c>
      <c r="D20" s="30">
        <f t="shared" ref="D20:N20" si="17">((D14*D15)-D16-D17)*D18*D19</f>
        <v>342000</v>
      </c>
      <c r="E20" s="30">
        <f t="shared" si="17"/>
        <v>396000</v>
      </c>
      <c r="F20" s="30">
        <f t="shared" si="17"/>
        <v>379525</v>
      </c>
      <c r="G20" s="30">
        <f t="shared" si="17"/>
        <v>465300</v>
      </c>
      <c r="H20" s="30">
        <f t="shared" si="17"/>
        <v>423000</v>
      </c>
      <c r="I20" s="30">
        <f t="shared" si="17"/>
        <v>401850</v>
      </c>
      <c r="J20" s="30">
        <f t="shared" si="17"/>
        <v>491150</v>
      </c>
      <c r="K20" s="30">
        <f t="shared" si="17"/>
        <v>424175</v>
      </c>
      <c r="L20" s="30">
        <f t="shared" si="17"/>
        <v>468825</v>
      </c>
      <c r="M20" s="30">
        <f t="shared" si="17"/>
        <v>446500</v>
      </c>
      <c r="N20" s="30">
        <f t="shared" si="17"/>
        <v>470000</v>
      </c>
      <c r="P20" s="30">
        <f>SUM(C20:E20)</f>
        <v>1098000</v>
      </c>
      <c r="Q20" s="30">
        <f>SUM(F20:H20)</f>
        <v>1267825</v>
      </c>
      <c r="R20" s="30">
        <f>SUM(I20:K20)</f>
        <v>1317175</v>
      </c>
      <c r="S20" s="30">
        <f>SUM(L20:N20)</f>
        <v>1385325</v>
      </c>
      <c r="U20" s="30">
        <f>SUM(C20:N20)</f>
        <v>5068325</v>
      </c>
    </row>
    <row r="21" spans="2:21" s="40" customFormat="1" ht="15" hidden="1" customHeight="1" outlineLevel="1" x14ac:dyDescent="0.2">
      <c r="B21" s="40" t="s">
        <v>32</v>
      </c>
      <c r="C21" s="41">
        <f t="shared" ref="C21:N21" si="18">((C14*C15)-C16-C17)*C18*C19-C20</f>
        <v>0</v>
      </c>
      <c r="D21" s="41">
        <f t="shared" si="18"/>
        <v>0</v>
      </c>
      <c r="E21" s="41">
        <f t="shared" si="18"/>
        <v>0</v>
      </c>
      <c r="F21" s="41">
        <f t="shared" si="18"/>
        <v>0</v>
      </c>
      <c r="G21" s="41">
        <f t="shared" si="18"/>
        <v>0</v>
      </c>
      <c r="H21" s="41">
        <f t="shared" si="18"/>
        <v>0</v>
      </c>
      <c r="I21" s="41">
        <f t="shared" si="18"/>
        <v>0</v>
      </c>
      <c r="J21" s="41">
        <f t="shared" si="18"/>
        <v>0</v>
      </c>
      <c r="K21" s="41">
        <f t="shared" si="18"/>
        <v>0</v>
      </c>
      <c r="L21" s="41">
        <f t="shared" si="18"/>
        <v>0</v>
      </c>
      <c r="M21" s="41">
        <f t="shared" si="18"/>
        <v>0</v>
      </c>
      <c r="N21" s="41">
        <f t="shared" si="18"/>
        <v>0</v>
      </c>
      <c r="P21" s="41"/>
      <c r="Q21" s="41"/>
      <c r="R21" s="41"/>
      <c r="S21" s="41"/>
      <c r="U21" s="41"/>
    </row>
    <row r="22" spans="2:21" ht="15" customHeight="1" collapsed="1" x14ac:dyDescent="0.2">
      <c r="P22" s="39"/>
      <c r="Q22" s="39"/>
      <c r="R22" s="39"/>
      <c r="S22" s="39"/>
      <c r="U22" s="39"/>
    </row>
    <row r="23" spans="2:21" ht="15" customHeight="1" x14ac:dyDescent="0.2">
      <c r="B23" s="24" t="s">
        <v>31</v>
      </c>
    </row>
    <row r="24" spans="2:21" ht="15" customHeight="1" x14ac:dyDescent="0.2">
      <c r="B24" s="25" t="s">
        <v>27</v>
      </c>
      <c r="C24" s="36">
        <f>Current!C13</f>
        <v>5</v>
      </c>
      <c r="D24" s="36">
        <f>Current!D13</f>
        <v>5</v>
      </c>
      <c r="E24" s="36">
        <f>Current!E13</f>
        <v>5</v>
      </c>
      <c r="F24" s="36">
        <f>Current!F13</f>
        <v>6</v>
      </c>
      <c r="G24" s="36">
        <f>Current!G13</f>
        <v>6</v>
      </c>
      <c r="H24" s="36">
        <f>Current!H13</f>
        <v>6</v>
      </c>
      <c r="I24" s="36">
        <f>Current!I13</f>
        <v>6</v>
      </c>
      <c r="J24" s="36">
        <f>Current!J13</f>
        <v>6</v>
      </c>
      <c r="K24" s="36">
        <f>Current!K13</f>
        <v>6</v>
      </c>
      <c r="L24" s="36">
        <f>Current!L13</f>
        <v>7</v>
      </c>
      <c r="M24" s="36">
        <f>Current!M13</f>
        <v>7</v>
      </c>
      <c r="N24" s="36">
        <f>Current!N13</f>
        <v>7</v>
      </c>
      <c r="P24" s="36">
        <f>SUMPRODUCT(C24:E24,C$30:E$30)/SUM(C$30:E$30)</f>
        <v>5</v>
      </c>
      <c r="Q24" s="36">
        <f>SUMPRODUCT(F24:H24,F$30:H$30)/SUM(F$30:H$30)</f>
        <v>6</v>
      </c>
      <c r="R24" s="36">
        <f>SUMPRODUCT(I24:K24,I$30:K$30)/SUM(I$30:K$30)</f>
        <v>6</v>
      </c>
      <c r="S24" s="36">
        <f>SUMPRODUCT(L24:N24,L$30:N$30)/SUM(L$30:N$30)</f>
        <v>7</v>
      </c>
      <c r="U24" s="36">
        <f>SUMPRODUCT(C24:N24,C$30:N$30)/SUM(C$30:N$30)</f>
        <v>6.0906966864910794</v>
      </c>
    </row>
    <row r="25" spans="2:21" ht="15" customHeight="1" x14ac:dyDescent="0.2">
      <c r="B25" s="25" t="s">
        <v>28</v>
      </c>
      <c r="C25" s="36">
        <f>Current!C4</f>
        <v>168</v>
      </c>
      <c r="D25" s="36">
        <f>Current!D4</f>
        <v>160</v>
      </c>
      <c r="E25" s="36">
        <f>Current!E4</f>
        <v>184</v>
      </c>
      <c r="F25" s="36">
        <f>Current!F4</f>
        <v>160</v>
      </c>
      <c r="G25" s="36">
        <f>Current!G4</f>
        <v>184</v>
      </c>
      <c r="H25" s="36">
        <f>Current!H4</f>
        <v>168</v>
      </c>
      <c r="I25" s="36">
        <f>Current!I4</f>
        <v>160</v>
      </c>
      <c r="J25" s="36">
        <f>Current!J4</f>
        <v>184</v>
      </c>
      <c r="K25" s="36">
        <f>Current!K4</f>
        <v>160</v>
      </c>
      <c r="L25" s="36">
        <f>Current!L4</f>
        <v>176</v>
      </c>
      <c r="M25" s="36">
        <f>Current!M4</f>
        <v>168</v>
      </c>
      <c r="N25" s="36">
        <f>Current!N4</f>
        <v>168</v>
      </c>
      <c r="P25" s="36">
        <f>SUM(C25:E25)</f>
        <v>512</v>
      </c>
      <c r="Q25" s="36">
        <f>SUM(F25:H25)</f>
        <v>512</v>
      </c>
      <c r="R25" s="36">
        <f>SUM(I25:K25)</f>
        <v>504</v>
      </c>
      <c r="S25" s="36">
        <f>SUM(L25:N25)</f>
        <v>512</v>
      </c>
      <c r="U25" s="36">
        <f>SUM(P25:S25)</f>
        <v>2040</v>
      </c>
    </row>
    <row r="26" spans="2:21" ht="15" customHeight="1" x14ac:dyDescent="0.2">
      <c r="B26" s="25" t="s">
        <v>3</v>
      </c>
      <c r="C26" s="36">
        <f>Current!C15</f>
        <v>40</v>
      </c>
      <c r="D26" s="36">
        <f>Current!D15</f>
        <v>40</v>
      </c>
      <c r="E26" s="36">
        <f>Current!E15</f>
        <v>40</v>
      </c>
      <c r="F26" s="36">
        <f>Current!F15</f>
        <v>48</v>
      </c>
      <c r="G26" s="36">
        <f>Current!G15</f>
        <v>48</v>
      </c>
      <c r="H26" s="36">
        <f>Current!H15</f>
        <v>48</v>
      </c>
      <c r="I26" s="36">
        <f>Current!I15</f>
        <v>48</v>
      </c>
      <c r="J26" s="36">
        <f>Current!J15</f>
        <v>48</v>
      </c>
      <c r="K26" s="36">
        <f>Current!K15</f>
        <v>48</v>
      </c>
      <c r="L26" s="36">
        <f>Current!L15</f>
        <v>56</v>
      </c>
      <c r="M26" s="36">
        <f>Current!M15</f>
        <v>56</v>
      </c>
      <c r="N26" s="36">
        <f>Current!N15</f>
        <v>56</v>
      </c>
      <c r="P26" s="36">
        <f>SUM(C26:E26)</f>
        <v>120</v>
      </c>
      <c r="Q26" s="36">
        <f>SUM(F26:H26)</f>
        <v>144</v>
      </c>
      <c r="R26" s="36">
        <f>SUM(I26:K26)</f>
        <v>144</v>
      </c>
      <c r="S26" s="36">
        <f>SUM(L26:N26)</f>
        <v>168</v>
      </c>
      <c r="U26" s="36">
        <f>SUM(P26:S26)</f>
        <v>576</v>
      </c>
    </row>
    <row r="27" spans="2:21" ht="15" customHeight="1" x14ac:dyDescent="0.2">
      <c r="B27" s="25" t="s">
        <v>29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P27" s="2">
        <f>SUM(C27:E27)</f>
        <v>0</v>
      </c>
      <c r="Q27" s="2">
        <f>SUM(F27:H27)</f>
        <v>0</v>
      </c>
      <c r="R27" s="2">
        <f>SUM(I27:K27)</f>
        <v>0</v>
      </c>
      <c r="S27" s="2">
        <f>SUM(L27:N27)</f>
        <v>0</v>
      </c>
      <c r="U27" s="2">
        <f>SUM(P27:S27)</f>
        <v>0</v>
      </c>
    </row>
    <row r="28" spans="2:21" ht="15" customHeight="1" x14ac:dyDescent="0.2">
      <c r="B28" s="25" t="s">
        <v>30</v>
      </c>
      <c r="C28" s="36">
        <f>Current!C14</f>
        <v>315</v>
      </c>
      <c r="D28" s="36">
        <f>Current!D14</f>
        <v>315</v>
      </c>
      <c r="E28" s="36">
        <f>Current!E14</f>
        <v>315</v>
      </c>
      <c r="F28" s="36">
        <f>Current!F14</f>
        <v>325</v>
      </c>
      <c r="G28" s="36">
        <f>Current!G14</f>
        <v>325</v>
      </c>
      <c r="H28" s="36">
        <f>Current!H14</f>
        <v>325</v>
      </c>
      <c r="I28" s="36">
        <f>Current!I14</f>
        <v>325</v>
      </c>
      <c r="J28" s="36">
        <f>Current!J14</f>
        <v>325</v>
      </c>
      <c r="K28" s="36">
        <f>Current!K14</f>
        <v>325</v>
      </c>
      <c r="L28" s="36">
        <f>Current!L14</f>
        <v>325</v>
      </c>
      <c r="M28" s="36">
        <f>Current!M14</f>
        <v>325</v>
      </c>
      <c r="N28" s="36">
        <f>Current!N14</f>
        <v>325</v>
      </c>
      <c r="P28" s="36">
        <f>SUMPRODUCT(C28:E28,C$30:E$30)/SUM(C$30:E$30)</f>
        <v>315</v>
      </c>
      <c r="Q28" s="36">
        <f>SUMPRODUCT(F28:H28,F$30:H$30)/SUM(F$30:H$30)</f>
        <v>325</v>
      </c>
      <c r="R28" s="36">
        <f>SUMPRODUCT(I28:K28,I$30:K$30)/SUM(I$30:K$30)</f>
        <v>325</v>
      </c>
      <c r="S28" s="36">
        <f>SUMPRODUCT(L28:N28,L$30:N$30)/SUM(L$30:N$30)</f>
        <v>325</v>
      </c>
      <c r="U28" s="36">
        <f t="shared" ref="U28:U29" si="19">SUMPRODUCT(C28:N28,C$30:N$30)/SUM(C$30:N$30)</f>
        <v>322.95932455395069</v>
      </c>
    </row>
    <row r="29" spans="2:21" ht="15" customHeight="1" x14ac:dyDescent="0.2">
      <c r="B29" s="33" t="s">
        <v>7</v>
      </c>
      <c r="C29" s="37">
        <f>Current!C16</f>
        <v>0.375</v>
      </c>
      <c r="D29" s="37">
        <f>Current!D16</f>
        <v>0.375</v>
      </c>
      <c r="E29" s="37">
        <f>Current!E16</f>
        <v>0.375</v>
      </c>
      <c r="F29" s="37">
        <f>Current!F16</f>
        <v>0.375</v>
      </c>
      <c r="G29" s="37">
        <f>Current!G16</f>
        <v>0.375</v>
      </c>
      <c r="H29" s="37">
        <f>Current!H16</f>
        <v>0.375</v>
      </c>
      <c r="I29" s="37">
        <f>Current!I16</f>
        <v>0.375</v>
      </c>
      <c r="J29" s="37">
        <f>Current!J16</f>
        <v>0.375</v>
      </c>
      <c r="K29" s="37">
        <f>Current!K16</f>
        <v>0.375</v>
      </c>
      <c r="L29" s="37">
        <f>Current!L16</f>
        <v>0.375</v>
      </c>
      <c r="M29" s="37">
        <f>Current!M16</f>
        <v>0.375</v>
      </c>
      <c r="N29" s="37">
        <f>Current!N16</f>
        <v>0.375</v>
      </c>
      <c r="P29" s="37">
        <f>SUMPRODUCT(C29:E29,C$30:E$30)/SUM(C$30:E$30)</f>
        <v>0.375</v>
      </c>
      <c r="Q29" s="37">
        <f>SUMPRODUCT(F29:H29,F$30:H$30)/SUM(F$30:H$30)</f>
        <v>0.375</v>
      </c>
      <c r="R29" s="37">
        <f>SUMPRODUCT(I29:K29,I$30:K$30)/SUM(I$30:K$30)</f>
        <v>0.375</v>
      </c>
      <c r="S29" s="37">
        <f>SUMPRODUCT(L29:N29,L$30:N$30)/SUM(L$30:N$30)</f>
        <v>0.375</v>
      </c>
      <c r="U29" s="37">
        <f t="shared" si="19"/>
        <v>0.375</v>
      </c>
    </row>
    <row r="30" spans="2:21" ht="15" customHeight="1" x14ac:dyDescent="0.2">
      <c r="B30" s="24" t="s">
        <v>31</v>
      </c>
      <c r="C30" s="30">
        <f>((C24*C25)-C26-C27)*C28*C29</f>
        <v>94500</v>
      </c>
      <c r="D30" s="30">
        <f t="shared" ref="D30:N30" si="20">((D24*D25)-D26-D27)*D28*D29</f>
        <v>89775</v>
      </c>
      <c r="E30" s="30">
        <f t="shared" si="20"/>
        <v>103950</v>
      </c>
      <c r="F30" s="30">
        <f t="shared" si="20"/>
        <v>111150</v>
      </c>
      <c r="G30" s="30">
        <f t="shared" si="20"/>
        <v>128700</v>
      </c>
      <c r="H30" s="30">
        <f t="shared" si="20"/>
        <v>117000</v>
      </c>
      <c r="I30" s="30">
        <f t="shared" si="20"/>
        <v>111150</v>
      </c>
      <c r="J30" s="30">
        <f t="shared" si="20"/>
        <v>128700</v>
      </c>
      <c r="K30" s="30">
        <f t="shared" si="20"/>
        <v>111150</v>
      </c>
      <c r="L30" s="30">
        <f t="shared" si="20"/>
        <v>143325</v>
      </c>
      <c r="M30" s="30">
        <f t="shared" si="20"/>
        <v>136500</v>
      </c>
      <c r="N30" s="30">
        <f t="shared" si="20"/>
        <v>136500</v>
      </c>
      <c r="P30" s="30">
        <f>SUM(C30:E30)</f>
        <v>288225</v>
      </c>
      <c r="Q30" s="30">
        <f>SUM(F30:H30)</f>
        <v>356850</v>
      </c>
      <c r="R30" s="30">
        <f>SUM(I30:K30)</f>
        <v>351000</v>
      </c>
      <c r="S30" s="30">
        <f>SUM(L30:N30)</f>
        <v>416325</v>
      </c>
      <c r="U30" s="30">
        <f>SUM(P30:S30)</f>
        <v>1412400</v>
      </c>
    </row>
    <row r="31" spans="2:21" ht="15" hidden="1" customHeight="1" outlineLevel="1" x14ac:dyDescent="0.2">
      <c r="B31" s="40" t="s">
        <v>32</v>
      </c>
      <c r="C31" s="41">
        <f t="shared" ref="C31:N31" si="21">((C24*C25)-C26-C27)*C28*C29-C30</f>
        <v>0</v>
      </c>
      <c r="D31" s="41">
        <f t="shared" si="21"/>
        <v>0</v>
      </c>
      <c r="E31" s="41">
        <f t="shared" si="21"/>
        <v>0</v>
      </c>
      <c r="F31" s="41">
        <f t="shared" si="21"/>
        <v>0</v>
      </c>
      <c r="G31" s="41">
        <f t="shared" si="21"/>
        <v>0</v>
      </c>
      <c r="H31" s="41">
        <f t="shared" si="21"/>
        <v>0</v>
      </c>
      <c r="I31" s="41">
        <f t="shared" si="21"/>
        <v>0</v>
      </c>
      <c r="J31" s="41">
        <f t="shared" si="21"/>
        <v>0</v>
      </c>
      <c r="K31" s="41">
        <f t="shared" si="21"/>
        <v>0</v>
      </c>
      <c r="L31" s="41">
        <f t="shared" si="21"/>
        <v>0</v>
      </c>
      <c r="M31" s="41">
        <f t="shared" si="21"/>
        <v>0</v>
      </c>
      <c r="N31" s="41">
        <f t="shared" si="21"/>
        <v>0</v>
      </c>
      <c r="O31" s="40"/>
      <c r="P31" s="41"/>
      <c r="Q31" s="41"/>
      <c r="R31" s="41"/>
      <c r="S31" s="41"/>
      <c r="T31" s="40"/>
      <c r="U31" s="41"/>
    </row>
    <row r="32" spans="2:21" ht="15" customHeight="1" collapsed="1" x14ac:dyDescent="0.2">
      <c r="P32" s="39"/>
      <c r="Q32" s="39"/>
      <c r="R32" s="39"/>
      <c r="S32" s="39"/>
      <c r="U32" s="39"/>
    </row>
    <row r="33" spans="2:21" ht="15" customHeight="1" x14ac:dyDescent="0.2">
      <c r="B33" s="24" t="s">
        <v>23</v>
      </c>
    </row>
    <row r="34" spans="2:21" ht="15" customHeight="1" x14ac:dyDescent="0.2">
      <c r="B34" s="24" t="s">
        <v>24</v>
      </c>
      <c r="C34" s="44">
        <v>2100000</v>
      </c>
      <c r="D34" s="44">
        <f>C38</f>
        <v>1866222.9098961866</v>
      </c>
      <c r="E34" s="44">
        <f t="shared" ref="E34:N34" si="22">D38</f>
        <v>1702683.0885406779</v>
      </c>
      <c r="F34" s="44">
        <f t="shared" si="22"/>
        <v>1554526.2137847058</v>
      </c>
      <c r="G34" s="44">
        <f t="shared" si="22"/>
        <v>1394173.4035766392</v>
      </c>
      <c r="H34" s="44">
        <f t="shared" si="22"/>
        <v>1124759.5342026879</v>
      </c>
      <c r="I34" s="44">
        <f t="shared" si="22"/>
        <v>1148514.3926584567</v>
      </c>
      <c r="J34" s="44">
        <f t="shared" si="22"/>
        <v>955362.03962573083</v>
      </c>
      <c r="K34" s="44">
        <f t="shared" si="22"/>
        <v>666831.80492477468</v>
      </c>
      <c r="L34" s="44">
        <f t="shared" si="22"/>
        <v>673938.48691605846</v>
      </c>
      <c r="M34" s="44">
        <f t="shared" si="22"/>
        <v>548231.2435707706</v>
      </c>
      <c r="N34" s="44">
        <f t="shared" si="22"/>
        <v>379848.56371353345</v>
      </c>
      <c r="O34" s="44"/>
      <c r="P34" s="44">
        <f>C34</f>
        <v>2100000</v>
      </c>
      <c r="Q34" s="44">
        <f>P38</f>
        <v>1554526.2137847058</v>
      </c>
      <c r="R34" s="44">
        <f t="shared" ref="R34:S34" si="23">Q38</f>
        <v>1148514.3926584567</v>
      </c>
      <c r="S34" s="44">
        <f t="shared" si="23"/>
        <v>673938.4869160587</v>
      </c>
      <c r="T34" s="44"/>
      <c r="U34" s="44">
        <f>P34</f>
        <v>2100000</v>
      </c>
    </row>
    <row r="35" spans="2:21" ht="15" customHeight="1" x14ac:dyDescent="0.2">
      <c r="B35" s="31" t="s">
        <v>18</v>
      </c>
      <c r="C35" s="42">
        <f t="shared" ref="C35:N35" si="24">C11</f>
        <v>220722.9098961867</v>
      </c>
      <c r="D35" s="42">
        <f t="shared" si="24"/>
        <v>268235.17864449124</v>
      </c>
      <c r="E35" s="42">
        <f t="shared" si="24"/>
        <v>351793.12524402793</v>
      </c>
      <c r="F35" s="42">
        <f t="shared" si="24"/>
        <v>330322.1897919334</v>
      </c>
      <c r="G35" s="42">
        <f t="shared" si="24"/>
        <v>324586.1306260486</v>
      </c>
      <c r="H35" s="42">
        <f t="shared" si="24"/>
        <v>563754.85845576867</v>
      </c>
      <c r="I35" s="42">
        <f t="shared" si="24"/>
        <v>319847.6469672742</v>
      </c>
      <c r="J35" s="42">
        <f t="shared" si="24"/>
        <v>331319.76529904379</v>
      </c>
      <c r="K35" s="42">
        <f t="shared" si="24"/>
        <v>542431.68199128378</v>
      </c>
      <c r="L35" s="42">
        <f t="shared" si="24"/>
        <v>486442.75665471214</v>
      </c>
      <c r="M35" s="42">
        <f t="shared" si="24"/>
        <v>414617.32014276285</v>
      </c>
      <c r="N35" s="42">
        <f t="shared" si="24"/>
        <v>576349.24923303747</v>
      </c>
      <c r="O35" s="42"/>
      <c r="P35" s="42">
        <f t="shared" ref="P35:P37" si="25">SUM(C35:E35)</f>
        <v>840751.21378470585</v>
      </c>
      <c r="Q35" s="42">
        <f t="shared" ref="Q35:Q37" si="26">SUM(F35:H35)</f>
        <v>1218663.1788737508</v>
      </c>
      <c r="R35" s="42">
        <f t="shared" ref="R35:R37" si="27">SUM(I35:K35)</f>
        <v>1193599.0942576018</v>
      </c>
      <c r="S35" s="42">
        <f t="shared" ref="S35:S37" si="28">SUM(L35:N35)</f>
        <v>1477409.3260305123</v>
      </c>
      <c r="T35" s="42"/>
      <c r="U35" s="42">
        <f t="shared" ref="U35:U37" si="29">SUM(P35:S35)</f>
        <v>4730422.812946571</v>
      </c>
    </row>
    <row r="36" spans="2:21" ht="15" customHeight="1" x14ac:dyDescent="0.2">
      <c r="B36" s="31" t="s">
        <v>26</v>
      </c>
      <c r="C36" s="42">
        <f>-C20</f>
        <v>-360000</v>
      </c>
      <c r="D36" s="42">
        <f t="shared" ref="D36:N36" si="30">-D20</f>
        <v>-342000</v>
      </c>
      <c r="E36" s="42">
        <f t="shared" si="30"/>
        <v>-396000</v>
      </c>
      <c r="F36" s="42">
        <f t="shared" si="30"/>
        <v>-379525</v>
      </c>
      <c r="G36" s="42">
        <f t="shared" si="30"/>
        <v>-465300</v>
      </c>
      <c r="H36" s="42">
        <f t="shared" si="30"/>
        <v>-423000</v>
      </c>
      <c r="I36" s="42">
        <f t="shared" si="30"/>
        <v>-401850</v>
      </c>
      <c r="J36" s="42">
        <f t="shared" si="30"/>
        <v>-491150</v>
      </c>
      <c r="K36" s="42">
        <f t="shared" si="30"/>
        <v>-424175</v>
      </c>
      <c r="L36" s="42">
        <f t="shared" si="30"/>
        <v>-468825</v>
      </c>
      <c r="M36" s="42">
        <f t="shared" si="30"/>
        <v>-446500</v>
      </c>
      <c r="N36" s="42">
        <f t="shared" si="30"/>
        <v>-470000</v>
      </c>
      <c r="O36" s="42"/>
      <c r="P36" s="42">
        <f t="shared" si="25"/>
        <v>-1098000</v>
      </c>
      <c r="Q36" s="42">
        <f t="shared" si="26"/>
        <v>-1267825</v>
      </c>
      <c r="R36" s="42">
        <f t="shared" si="27"/>
        <v>-1317175</v>
      </c>
      <c r="S36" s="42">
        <f t="shared" si="28"/>
        <v>-1385325</v>
      </c>
      <c r="T36" s="42"/>
      <c r="U36" s="42">
        <f t="shared" si="29"/>
        <v>-5068325</v>
      </c>
    </row>
    <row r="37" spans="2:21" ht="15" customHeight="1" x14ac:dyDescent="0.2">
      <c r="B37" s="32" t="s">
        <v>31</v>
      </c>
      <c r="C37" s="43">
        <f>-C30</f>
        <v>-94500</v>
      </c>
      <c r="D37" s="43">
        <f t="shared" ref="D37:N37" si="31">-D30</f>
        <v>-89775</v>
      </c>
      <c r="E37" s="43">
        <f t="shared" si="31"/>
        <v>-103950</v>
      </c>
      <c r="F37" s="43">
        <f t="shared" si="31"/>
        <v>-111150</v>
      </c>
      <c r="G37" s="43">
        <f t="shared" si="31"/>
        <v>-128700</v>
      </c>
      <c r="H37" s="43">
        <f t="shared" si="31"/>
        <v>-117000</v>
      </c>
      <c r="I37" s="43">
        <f t="shared" si="31"/>
        <v>-111150</v>
      </c>
      <c r="J37" s="43">
        <f t="shared" si="31"/>
        <v>-128700</v>
      </c>
      <c r="K37" s="43">
        <f t="shared" si="31"/>
        <v>-111150</v>
      </c>
      <c r="L37" s="43">
        <f t="shared" si="31"/>
        <v>-143325</v>
      </c>
      <c r="M37" s="43">
        <f t="shared" si="31"/>
        <v>-136500</v>
      </c>
      <c r="N37" s="43">
        <f t="shared" si="31"/>
        <v>-136500</v>
      </c>
      <c r="O37" s="42"/>
      <c r="P37" s="43">
        <f t="shared" si="25"/>
        <v>-288225</v>
      </c>
      <c r="Q37" s="43">
        <f t="shared" si="26"/>
        <v>-356850</v>
      </c>
      <c r="R37" s="43">
        <f t="shared" si="27"/>
        <v>-351000</v>
      </c>
      <c r="S37" s="43">
        <f t="shared" si="28"/>
        <v>-416325</v>
      </c>
      <c r="T37" s="42"/>
      <c r="U37" s="43">
        <f t="shared" si="29"/>
        <v>-1412400</v>
      </c>
    </row>
    <row r="38" spans="2:21" ht="15" customHeight="1" x14ac:dyDescent="0.2">
      <c r="B38" s="24" t="s">
        <v>25</v>
      </c>
      <c r="C38" s="44">
        <f>SUM(C34:C37)</f>
        <v>1866222.9098961866</v>
      </c>
      <c r="D38" s="44">
        <f t="shared" ref="D38:N38" si="32">SUM(D34:D37)</f>
        <v>1702683.0885406779</v>
      </c>
      <c r="E38" s="44">
        <f t="shared" si="32"/>
        <v>1554526.2137847058</v>
      </c>
      <c r="F38" s="44">
        <f t="shared" si="32"/>
        <v>1394173.4035766392</v>
      </c>
      <c r="G38" s="44">
        <f t="shared" si="32"/>
        <v>1124759.5342026879</v>
      </c>
      <c r="H38" s="44">
        <f t="shared" si="32"/>
        <v>1148514.3926584567</v>
      </c>
      <c r="I38" s="44">
        <f t="shared" si="32"/>
        <v>955362.03962573083</v>
      </c>
      <c r="J38" s="44">
        <f t="shared" si="32"/>
        <v>666831.80492477468</v>
      </c>
      <c r="K38" s="44">
        <f t="shared" si="32"/>
        <v>673938.48691605846</v>
      </c>
      <c r="L38" s="44">
        <f t="shared" si="32"/>
        <v>548231.2435707706</v>
      </c>
      <c r="M38" s="44">
        <f t="shared" si="32"/>
        <v>379848.56371353345</v>
      </c>
      <c r="N38" s="44">
        <f t="shared" si="32"/>
        <v>349697.81294657092</v>
      </c>
      <c r="O38" s="44"/>
      <c r="P38" s="44">
        <f t="shared" ref="P38:S38" si="33">SUM(P34:P37)</f>
        <v>1554526.2137847058</v>
      </c>
      <c r="Q38" s="44">
        <f t="shared" si="33"/>
        <v>1148514.3926584567</v>
      </c>
      <c r="R38" s="44">
        <f t="shared" si="33"/>
        <v>673938.4869160587</v>
      </c>
      <c r="S38" s="44">
        <f t="shared" si="33"/>
        <v>349697.81294657104</v>
      </c>
      <c r="T38" s="44"/>
      <c r="U38" s="44">
        <f t="shared" ref="U38" si="34">SUM(U34:U37)</f>
        <v>349697.81294657104</v>
      </c>
    </row>
    <row r="40" spans="2:21" ht="15" customHeight="1" x14ac:dyDescent="0.2">
      <c r="B40" s="24" t="s">
        <v>73</v>
      </c>
    </row>
    <row r="41" spans="2:21" ht="15" customHeight="1" x14ac:dyDescent="0.2">
      <c r="B41" s="25" t="s">
        <v>76</v>
      </c>
      <c r="C41" s="28">
        <f>(Current!C4*Current!C6)*(Current!$S$4*Current!C7)</f>
        <v>54432</v>
      </c>
      <c r="D41" s="28">
        <f>(Current!D4*Current!D6)*(Current!$S$4*Current!D7)</f>
        <v>51840</v>
      </c>
      <c r="E41" s="28">
        <f>(Current!E4*Current!E6)*(Current!$S$4*Current!E7)</f>
        <v>59616</v>
      </c>
      <c r="F41" s="28">
        <f>(Current!F4*Current!F6)*(Current!$S$4*Current!F7)</f>
        <v>57527.999999999993</v>
      </c>
      <c r="G41" s="28">
        <f>(Current!G4*Current!G6)*(Current!$S$4*Current!G7)</f>
        <v>70048.799999999988</v>
      </c>
      <c r="H41" s="28">
        <f>(Current!H4*Current!H6)*(Current!$S$4*Current!H7)</f>
        <v>63957.599999999999</v>
      </c>
      <c r="I41" s="28">
        <f>(Current!I4*Current!I6)*(Current!$S$4*Current!I7)</f>
        <v>60911.999999999993</v>
      </c>
      <c r="J41" s="28">
        <f>(Current!J4*Current!J6)*(Current!$S$4*Current!J7)</f>
        <v>73940.399999999994</v>
      </c>
      <c r="K41" s="28">
        <f>(Current!K4*Current!K6)*(Current!$S$4*Current!K7)</f>
        <v>64295.999999999993</v>
      </c>
      <c r="L41" s="28">
        <f>(Current!L4*Current!L6)*(Current!$S$4*Current!L7)</f>
        <v>70725.599999999991</v>
      </c>
      <c r="M41" s="28">
        <f>(Current!M4*Current!M6)*(Current!$S$4*Current!M7)</f>
        <v>67510.799999999988</v>
      </c>
      <c r="N41" s="28">
        <f>(Current!N4*Current!N6)*(Current!$S$4*Current!N7)</f>
        <v>71064</v>
      </c>
      <c r="P41" s="28">
        <f t="shared" ref="P41:P44" si="35">SUM(C41:E41)</f>
        <v>165888</v>
      </c>
      <c r="Q41" s="28">
        <f t="shared" ref="Q41:Q44" si="36">SUM(F41:H41)</f>
        <v>191534.4</v>
      </c>
      <c r="R41" s="28">
        <f t="shared" ref="R41:R44" si="37">SUM(I41:K41)</f>
        <v>199148.4</v>
      </c>
      <c r="S41" s="28">
        <f t="shared" ref="S41:S44" si="38">SUM(L41:N41)</f>
        <v>209300.39999999997</v>
      </c>
      <c r="U41" s="28">
        <f t="shared" ref="U41:U44" si="39">SUM(P41:S41)</f>
        <v>765871.2</v>
      </c>
    </row>
    <row r="42" spans="2:21" ht="15" customHeight="1" x14ac:dyDescent="0.2">
      <c r="B42" s="25" t="s">
        <v>77</v>
      </c>
      <c r="C42" s="35">
        <f>(Current!C4*Current!C13)*(Current!$S$5*Current!C14)</f>
        <v>34398</v>
      </c>
      <c r="D42" s="35">
        <f>(Current!D4*Current!D13)*(Current!$S$5*Current!D14)</f>
        <v>32760.000000000004</v>
      </c>
      <c r="E42" s="35">
        <f>(Current!E4*Current!E13)*(Current!$S$5*Current!E14)</f>
        <v>37674</v>
      </c>
      <c r="F42" s="35">
        <f>(Current!F4*Current!F13)*(Current!$S$5*Current!F14)</f>
        <v>40560</v>
      </c>
      <c r="G42" s="35">
        <f>(Current!G4*Current!G13)*(Current!$S$5*Current!G14)</f>
        <v>46644</v>
      </c>
      <c r="H42" s="35">
        <f>(Current!H4*Current!H13)*(Current!$S$5*Current!H14)</f>
        <v>42588</v>
      </c>
      <c r="I42" s="35">
        <f>(Current!I4*Current!I13)*(Current!$S$5*Current!I14)</f>
        <v>40560</v>
      </c>
      <c r="J42" s="35">
        <f>(Current!J4*Current!J13)*(Current!$S$5*Current!J14)</f>
        <v>46644</v>
      </c>
      <c r="K42" s="35">
        <f>(Current!K4*Current!K13)*(Current!$S$5*Current!K14)</f>
        <v>40560</v>
      </c>
      <c r="L42" s="35">
        <f>(Current!L4*Current!L13)*(Current!$S$5*Current!L14)</f>
        <v>52052</v>
      </c>
      <c r="M42" s="35">
        <f>(Current!M4*Current!M13)*(Current!$S$5*Current!M14)</f>
        <v>49686</v>
      </c>
      <c r="N42" s="35">
        <f>(Current!N4*Current!N13)*(Current!$S$5*Current!N14)</f>
        <v>49686</v>
      </c>
      <c r="P42" s="35">
        <f t="shared" si="35"/>
        <v>104832</v>
      </c>
      <c r="Q42" s="35">
        <f t="shared" si="36"/>
        <v>129792</v>
      </c>
      <c r="R42" s="35">
        <f t="shared" si="37"/>
        <v>127764</v>
      </c>
      <c r="S42" s="35">
        <f t="shared" si="38"/>
        <v>151424</v>
      </c>
      <c r="U42" s="35">
        <f t="shared" si="39"/>
        <v>513812</v>
      </c>
    </row>
    <row r="43" spans="2:21" ht="15" customHeight="1" x14ac:dyDescent="0.2">
      <c r="B43" s="33" t="s">
        <v>81</v>
      </c>
      <c r="C43" s="34">
        <f>Current!C27*Current!$S$6</f>
        <v>22978.53495173949</v>
      </c>
      <c r="D43" s="34">
        <f>Current!D27*Current!$S$6</f>
        <v>25363.624733213503</v>
      </c>
      <c r="E43" s="34">
        <f>Current!E27*Current!$S$6</f>
        <v>39787.775995352786</v>
      </c>
      <c r="F43" s="34">
        <f>Current!F27*Current!$S$6</f>
        <v>24514.061580338046</v>
      </c>
      <c r="G43" s="34">
        <f>Current!G27*Current!$S$6</f>
        <v>28245.545697242967</v>
      </c>
      <c r="H43" s="34">
        <f>Current!H27*Current!$S$6</f>
        <v>41631.606013879624</v>
      </c>
      <c r="I43" s="34">
        <f>Current!I27*Current!$S$6</f>
        <v>35366.035251830028</v>
      </c>
      <c r="J43" s="34">
        <f>Current!J27*Current!$S$6</f>
        <v>30706.791727776828</v>
      </c>
      <c r="K43" s="34">
        <f>Current!K27*Current!$S$6</f>
        <v>40959.427710628945</v>
      </c>
      <c r="L43" s="34">
        <f>Current!L27*Current!$S$6</f>
        <v>29209.086458936905</v>
      </c>
      <c r="M43" s="34">
        <f>Current!M27*Current!$S$6</f>
        <v>36196.67383949722</v>
      </c>
      <c r="N43" s="34">
        <f>Current!N27*Current!$S$6</f>
        <v>38756.318595031647</v>
      </c>
      <c r="P43" s="34">
        <f t="shared" si="35"/>
        <v>88129.935680305774</v>
      </c>
      <c r="Q43" s="34">
        <f t="shared" si="36"/>
        <v>94391.213291460648</v>
      </c>
      <c r="R43" s="34">
        <f t="shared" si="37"/>
        <v>107032.2546902358</v>
      </c>
      <c r="S43" s="34">
        <f t="shared" si="38"/>
        <v>104162.07889346578</v>
      </c>
      <c r="U43" s="34">
        <f t="shared" si="39"/>
        <v>393715.48255546798</v>
      </c>
    </row>
    <row r="44" spans="2:21" ht="15" customHeight="1" x14ac:dyDescent="0.2">
      <c r="B44" s="24" t="s">
        <v>74</v>
      </c>
      <c r="C44" s="54">
        <f t="shared" ref="C44:N44" si="40">SUM(C41:C43)</f>
        <v>111808.53495173949</v>
      </c>
      <c r="D44" s="54">
        <f t="shared" si="40"/>
        <v>109963.62473321351</v>
      </c>
      <c r="E44" s="54">
        <f t="shared" si="40"/>
        <v>137077.77599535277</v>
      </c>
      <c r="F44" s="54">
        <f t="shared" si="40"/>
        <v>122602.06158033805</v>
      </c>
      <c r="G44" s="54">
        <f t="shared" si="40"/>
        <v>144938.34569724294</v>
      </c>
      <c r="H44" s="54">
        <f t="shared" si="40"/>
        <v>148177.20601387962</v>
      </c>
      <c r="I44" s="54">
        <f t="shared" si="40"/>
        <v>136838.03525183004</v>
      </c>
      <c r="J44" s="54">
        <f t="shared" si="40"/>
        <v>151291.19172777684</v>
      </c>
      <c r="K44" s="54">
        <f t="shared" si="40"/>
        <v>145815.42771062895</v>
      </c>
      <c r="L44" s="54">
        <f t="shared" si="40"/>
        <v>151986.68645893689</v>
      </c>
      <c r="M44" s="54">
        <f t="shared" si="40"/>
        <v>153393.47383949719</v>
      </c>
      <c r="N44" s="54">
        <f t="shared" si="40"/>
        <v>159506.31859503165</v>
      </c>
      <c r="P44" s="54">
        <f t="shared" si="35"/>
        <v>358849.93568030576</v>
      </c>
      <c r="Q44" s="54">
        <f t="shared" si="36"/>
        <v>415717.61329146061</v>
      </c>
      <c r="R44" s="54">
        <f t="shared" si="37"/>
        <v>433944.65469023585</v>
      </c>
      <c r="S44" s="54">
        <f t="shared" si="38"/>
        <v>464886.47889346571</v>
      </c>
      <c r="U44" s="54">
        <f t="shared" si="39"/>
        <v>1673398.6825554678</v>
      </c>
    </row>
    <row r="46" spans="2:21" ht="15" customHeight="1" x14ac:dyDescent="0.2">
      <c r="B46" s="24" t="s">
        <v>82</v>
      </c>
      <c r="C46" s="39">
        <f>(C20+C30)-C44</f>
        <v>342691.46504826052</v>
      </c>
      <c r="D46" s="39">
        <f t="shared" ref="D46:N46" si="41">(D20+D30)-D44</f>
        <v>321811.37526678649</v>
      </c>
      <c r="E46" s="39">
        <f t="shared" si="41"/>
        <v>362872.22400464723</v>
      </c>
      <c r="F46" s="39">
        <f t="shared" si="41"/>
        <v>368072.93841966195</v>
      </c>
      <c r="G46" s="39">
        <f t="shared" si="41"/>
        <v>449061.65430275706</v>
      </c>
      <c r="H46" s="39">
        <f t="shared" si="41"/>
        <v>391822.79398612038</v>
      </c>
      <c r="I46" s="39">
        <f t="shared" si="41"/>
        <v>376161.96474816999</v>
      </c>
      <c r="J46" s="39">
        <f t="shared" si="41"/>
        <v>468558.80827222316</v>
      </c>
      <c r="K46" s="39">
        <f t="shared" si="41"/>
        <v>389509.57228937105</v>
      </c>
      <c r="L46" s="39">
        <f t="shared" si="41"/>
        <v>460163.31354106311</v>
      </c>
      <c r="M46" s="39">
        <f t="shared" si="41"/>
        <v>429606.52616050281</v>
      </c>
      <c r="N46" s="39">
        <f t="shared" si="41"/>
        <v>446993.68140496837</v>
      </c>
      <c r="P46" s="39">
        <f t="shared" ref="P46:S46" si="42">(P20+P30)-P44</f>
        <v>1027375.0643196942</v>
      </c>
      <c r="Q46" s="39">
        <f t="shared" si="42"/>
        <v>1208957.3867085394</v>
      </c>
      <c r="R46" s="39">
        <f t="shared" si="42"/>
        <v>1234230.3453097641</v>
      </c>
      <c r="S46" s="39">
        <f t="shared" si="42"/>
        <v>1336763.5211065342</v>
      </c>
      <c r="U46" s="39">
        <f t="shared" ref="U46" si="43">(U20+U30)-U44</f>
        <v>4807326.3174445322</v>
      </c>
    </row>
    <row r="47" spans="2:21" ht="15" customHeight="1" x14ac:dyDescent="0.2">
      <c r="B47" s="24" t="s">
        <v>83</v>
      </c>
      <c r="C47" s="55">
        <f>C46/(C20+C30)</f>
        <v>0.75399662276845003</v>
      </c>
      <c r="D47" s="55">
        <f t="shared" ref="D47:N47" si="44">D46/(D20+D30)</f>
        <v>0.74532192754741822</v>
      </c>
      <c r="E47" s="55">
        <f t="shared" si="44"/>
        <v>0.72581702971226569</v>
      </c>
      <c r="F47" s="55">
        <f t="shared" si="44"/>
        <v>0.75013591159048643</v>
      </c>
      <c r="G47" s="55">
        <f t="shared" si="44"/>
        <v>0.75599605101474254</v>
      </c>
      <c r="H47" s="55">
        <f t="shared" si="44"/>
        <v>0.72559776664096365</v>
      </c>
      <c r="I47" s="55">
        <f t="shared" si="44"/>
        <v>0.73325919054224176</v>
      </c>
      <c r="J47" s="55">
        <f t="shared" si="44"/>
        <v>0.75592289791437151</v>
      </c>
      <c r="K47" s="55">
        <f t="shared" si="44"/>
        <v>0.7276132672476926</v>
      </c>
      <c r="L47" s="55">
        <f t="shared" si="44"/>
        <v>0.75171659485593911</v>
      </c>
      <c r="M47" s="55">
        <f t="shared" si="44"/>
        <v>0.73688941022384702</v>
      </c>
      <c r="N47" s="55">
        <f t="shared" si="44"/>
        <v>0.7370052455151993</v>
      </c>
      <c r="P47" s="55">
        <f t="shared" ref="P47:S47" si="45">P46/(P20+P30)</f>
        <v>0.74113153659737352</v>
      </c>
      <c r="Q47" s="55">
        <f t="shared" si="45"/>
        <v>0.74412260095621552</v>
      </c>
      <c r="R47" s="55">
        <f t="shared" si="45"/>
        <v>0.73986862607925674</v>
      </c>
      <c r="S47" s="55">
        <f t="shared" si="45"/>
        <v>0.74196626487194195</v>
      </c>
      <c r="U47" s="55">
        <f t="shared" ref="U47" si="46">U46/(U20+U30)</f>
        <v>0.74178835198909565</v>
      </c>
    </row>
    <row r="48" spans="2:21" ht="15" customHeight="1" x14ac:dyDescent="0.2">
      <c r="C48" s="55"/>
    </row>
    <row r="49" spans="2:21" ht="15" customHeight="1" x14ac:dyDescent="0.2">
      <c r="B49" s="24" t="s">
        <v>78</v>
      </c>
    </row>
    <row r="50" spans="2:21" ht="15" customHeight="1" x14ac:dyDescent="0.2">
      <c r="B50" s="25" t="s">
        <v>79</v>
      </c>
      <c r="C50" s="35">
        <f>(Current!C6*Current!C4*Current!$S$9)+(Current!C13*Current!C4*Current!$S$10)</f>
        <v>141277.5</v>
      </c>
      <c r="D50" s="35">
        <f>(Current!D6*Current!D4*Current!$S$9)+(Current!D13*Current!D4*Current!$S$10)</f>
        <v>134550</v>
      </c>
      <c r="E50" s="35">
        <f>(Current!E6*Current!E4*Current!$S$9)+(Current!E13*Current!E4*Current!$S$10)</f>
        <v>154732.5</v>
      </c>
      <c r="F50" s="35">
        <f>(Current!F6*Current!F4*Current!$S$9)+(Current!F13*Current!F4*Current!$S$10)</f>
        <v>148590</v>
      </c>
      <c r="G50" s="35">
        <f>(Current!G6*Current!G4*Current!$S$9)+(Current!G13*Current!G4*Current!$S$10)</f>
        <v>177606</v>
      </c>
      <c r="H50" s="35">
        <f>(Current!H6*Current!H4*Current!$S$9)+(Current!H13*Current!H4*Current!$S$10)</f>
        <v>162162</v>
      </c>
      <c r="I50" s="35">
        <f>(Current!I6*Current!I4*Current!$S$9)+(Current!I13*Current!I4*Current!$S$10)</f>
        <v>154440</v>
      </c>
      <c r="J50" s="35">
        <f>(Current!J6*Current!J4*Current!$S$9)+(Current!J13*Current!J4*Current!$S$10)</f>
        <v>184333.5</v>
      </c>
      <c r="K50" s="35">
        <f>(Current!K6*Current!K4*Current!$S$9)+(Current!K13*Current!K4*Current!$S$10)</f>
        <v>160290</v>
      </c>
      <c r="L50" s="35">
        <f>(Current!L6*Current!L4*Current!$S$9)+(Current!L13*Current!L4*Current!$S$10)</f>
        <v>185328</v>
      </c>
      <c r="M50" s="35">
        <f>(Current!M6*Current!M4*Current!$S$9)+(Current!M13*Current!M4*Current!$S$10)</f>
        <v>176904</v>
      </c>
      <c r="N50" s="35">
        <f>(Current!N6*Current!N4*Current!$S$9)+(Current!N13*Current!N4*Current!$S$10)</f>
        <v>183046.5</v>
      </c>
      <c r="P50" s="35">
        <f t="shared" ref="P50:P52" si="47">SUM(C50:E50)</f>
        <v>430560</v>
      </c>
      <c r="Q50" s="35">
        <f t="shared" ref="Q50:Q52" si="48">SUM(F50:H50)</f>
        <v>488358</v>
      </c>
      <c r="R50" s="35">
        <f t="shared" ref="R50:R52" si="49">SUM(I50:K50)</f>
        <v>499063.5</v>
      </c>
      <c r="S50" s="35">
        <f t="shared" ref="S50:S52" si="50">SUM(L50:N50)</f>
        <v>545278.5</v>
      </c>
      <c r="U50" s="35">
        <f t="shared" ref="U50:U52" si="51">SUM(P50:S50)</f>
        <v>1963260</v>
      </c>
    </row>
    <row r="51" spans="2:21" ht="15" customHeight="1" x14ac:dyDescent="0.2">
      <c r="B51" s="33" t="s">
        <v>80</v>
      </c>
      <c r="C51" s="34">
        <f>Current!C27*Current!$S$11</f>
        <v>76595.116505798287</v>
      </c>
      <c r="D51" s="34">
        <f>Current!D27*Current!$S$11</f>
        <v>84545.415777378337</v>
      </c>
      <c r="E51" s="34">
        <f>Current!E27*Current!$S$11</f>
        <v>132625.91998450927</v>
      </c>
      <c r="F51" s="34">
        <f>Current!F27*Current!$S$11</f>
        <v>81713.538601126813</v>
      </c>
      <c r="G51" s="34">
        <f>Current!G27*Current!$S$11</f>
        <v>94151.818990809872</v>
      </c>
      <c r="H51" s="34">
        <f>Current!H27*Current!$S$11</f>
        <v>138772.02004626539</v>
      </c>
      <c r="I51" s="34">
        <f>Current!I27*Current!$S$11</f>
        <v>117886.78417276674</v>
      </c>
      <c r="J51" s="34">
        <f>Current!J27*Current!$S$11</f>
        <v>102355.97242592275</v>
      </c>
      <c r="K51" s="34">
        <f>Current!K27*Current!$S$11</f>
        <v>136531.42570209646</v>
      </c>
      <c r="L51" s="34">
        <f>Current!L27*Current!$S$11</f>
        <v>97363.621529789671</v>
      </c>
      <c r="M51" s="34">
        <f>Current!M27*Current!$S$11</f>
        <v>120655.57946499072</v>
      </c>
      <c r="N51" s="34">
        <f>Current!N27*Current!$S$11</f>
        <v>129187.72865010549</v>
      </c>
      <c r="P51" s="34">
        <f t="shared" si="47"/>
        <v>293766.45226768591</v>
      </c>
      <c r="Q51" s="34">
        <f t="shared" si="48"/>
        <v>314637.37763820204</v>
      </c>
      <c r="R51" s="34">
        <f t="shared" si="49"/>
        <v>356774.18230078591</v>
      </c>
      <c r="S51" s="34">
        <f t="shared" si="50"/>
        <v>347206.92964488588</v>
      </c>
      <c r="U51" s="34">
        <f t="shared" si="51"/>
        <v>1312384.9418515598</v>
      </c>
    </row>
    <row r="52" spans="2:21" ht="15" customHeight="1" x14ac:dyDescent="0.2">
      <c r="B52" s="24" t="s">
        <v>74</v>
      </c>
      <c r="C52" s="54">
        <f t="shared" ref="C52:N52" si="52">SUM(C50:C51)</f>
        <v>217872.6165057983</v>
      </c>
      <c r="D52" s="54">
        <f t="shared" si="52"/>
        <v>219095.41577737834</v>
      </c>
      <c r="E52" s="54">
        <f t="shared" si="52"/>
        <v>287358.41998450924</v>
      </c>
      <c r="F52" s="54">
        <f t="shared" si="52"/>
        <v>230303.53860112681</v>
      </c>
      <c r="G52" s="54">
        <f t="shared" si="52"/>
        <v>271757.81899080984</v>
      </c>
      <c r="H52" s="54">
        <f t="shared" si="52"/>
        <v>300934.02004626539</v>
      </c>
      <c r="I52" s="54">
        <f t="shared" si="52"/>
        <v>272326.78417276673</v>
      </c>
      <c r="J52" s="54">
        <f t="shared" si="52"/>
        <v>286689.47242592275</v>
      </c>
      <c r="K52" s="54">
        <f t="shared" si="52"/>
        <v>296821.42570209643</v>
      </c>
      <c r="L52" s="54">
        <f t="shared" si="52"/>
        <v>282691.62152978964</v>
      </c>
      <c r="M52" s="54">
        <f t="shared" si="52"/>
        <v>297559.5794649907</v>
      </c>
      <c r="N52" s="54">
        <f t="shared" si="52"/>
        <v>312234.22865010548</v>
      </c>
      <c r="P52" s="54">
        <f t="shared" si="47"/>
        <v>724326.45226768591</v>
      </c>
      <c r="Q52" s="54">
        <f t="shared" si="48"/>
        <v>802995.37763820204</v>
      </c>
      <c r="R52" s="54">
        <f t="shared" si="49"/>
        <v>855837.68230078591</v>
      </c>
      <c r="S52" s="54">
        <f t="shared" si="50"/>
        <v>892485.42964488571</v>
      </c>
      <c r="U52" s="54">
        <f t="shared" si="51"/>
        <v>3275644.94185156</v>
      </c>
    </row>
    <row r="54" spans="2:21" ht="15" customHeight="1" x14ac:dyDescent="0.2">
      <c r="B54" s="24" t="s">
        <v>87</v>
      </c>
      <c r="C54" s="39">
        <f t="shared" ref="C54:N54" si="53">C46-C52</f>
        <v>124818.84854246222</v>
      </c>
      <c r="D54" s="39">
        <f t="shared" si="53"/>
        <v>102715.95948940815</v>
      </c>
      <c r="E54" s="39">
        <f t="shared" si="53"/>
        <v>75513.804020137992</v>
      </c>
      <c r="F54" s="39">
        <f t="shared" si="53"/>
        <v>137769.39981853514</v>
      </c>
      <c r="G54" s="39">
        <f t="shared" si="53"/>
        <v>177303.83531194722</v>
      </c>
      <c r="H54" s="39">
        <f t="shared" si="53"/>
        <v>90888.773939854989</v>
      </c>
      <c r="I54" s="39">
        <f t="shared" si="53"/>
        <v>103835.18057540327</v>
      </c>
      <c r="J54" s="39">
        <f t="shared" si="53"/>
        <v>181869.33584630041</v>
      </c>
      <c r="K54" s="39">
        <f t="shared" si="53"/>
        <v>92688.146587274619</v>
      </c>
      <c r="L54" s="39">
        <f t="shared" si="53"/>
        <v>177471.69201127347</v>
      </c>
      <c r="M54" s="39">
        <f t="shared" si="53"/>
        <v>132046.9466955121</v>
      </c>
      <c r="N54" s="39">
        <f t="shared" si="53"/>
        <v>134759.4527548629</v>
      </c>
      <c r="P54" s="39">
        <f t="shared" ref="P54:S54" si="54">P46-P52</f>
        <v>303048.61205200828</v>
      </c>
      <c r="Q54" s="39">
        <f t="shared" si="54"/>
        <v>405962.0090703374</v>
      </c>
      <c r="R54" s="39">
        <f t="shared" si="54"/>
        <v>378392.66300897824</v>
      </c>
      <c r="S54" s="39">
        <f t="shared" si="54"/>
        <v>444278.09146164847</v>
      </c>
      <c r="U54" s="39">
        <f t="shared" ref="U54" si="55">U46-U52</f>
        <v>1531681.3755929722</v>
      </c>
    </row>
    <row r="55" spans="2:21" ht="15" customHeight="1" x14ac:dyDescent="0.2">
      <c r="B55" s="24" t="s">
        <v>88</v>
      </c>
      <c r="C55" s="55">
        <f>C54/(C20+C30)</f>
        <v>0.27462892968638553</v>
      </c>
      <c r="D55" s="55">
        <f t="shared" ref="D55:N55" si="56">D54/(D20+D30)</f>
        <v>0.23789232699764495</v>
      </c>
      <c r="E55" s="55">
        <f t="shared" si="56"/>
        <v>0.15104271231150712</v>
      </c>
      <c r="F55" s="55">
        <f t="shared" si="56"/>
        <v>0.28077525820254778</v>
      </c>
      <c r="G55" s="55">
        <f t="shared" si="56"/>
        <v>0.29849130523896839</v>
      </c>
      <c r="H55" s="55">
        <f t="shared" si="56"/>
        <v>0.16831254433306481</v>
      </c>
      <c r="I55" s="55">
        <f t="shared" si="56"/>
        <v>0.2024077594062442</v>
      </c>
      <c r="J55" s="55">
        <f t="shared" si="56"/>
        <v>0.29340862441929566</v>
      </c>
      <c r="K55" s="55">
        <f t="shared" si="56"/>
        <v>0.17314369137864777</v>
      </c>
      <c r="L55" s="55">
        <f t="shared" si="56"/>
        <v>0.2899153671669909</v>
      </c>
      <c r="M55" s="55">
        <f t="shared" si="56"/>
        <v>0.22649562040396587</v>
      </c>
      <c r="N55" s="55">
        <f t="shared" si="56"/>
        <v>0.22219200783983989</v>
      </c>
      <c r="P55" s="55">
        <f t="shared" ref="P55:U55" si="57">P54/(P20+P30)</f>
        <v>0.21861430291042816</v>
      </c>
      <c r="Q55" s="55">
        <f t="shared" si="57"/>
        <v>0.24987274936238779</v>
      </c>
      <c r="R55" s="55">
        <f t="shared" si="57"/>
        <v>0.22683031636907294</v>
      </c>
      <c r="S55" s="55">
        <f t="shared" si="57"/>
        <v>0.24659511639977158</v>
      </c>
      <c r="U55" s="55">
        <f t="shared" si="57"/>
        <v>0.23634413982895003</v>
      </c>
    </row>
  </sheetData>
  <pageMargins left="0.7" right="0.7" top="0.75" bottom="0.75" header="0.3" footer="0.3"/>
  <ignoredErrors>
    <ignoredError sqref="P17:S17 P27:S2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6C553-BF66-40C7-B22E-3D9A9E70AE47}">
  <dimension ref="B2:U55"/>
  <sheetViews>
    <sheetView showGridLines="0" workbookViewId="0">
      <selection activeCell="B2" sqref="B2"/>
    </sheetView>
  </sheetViews>
  <sheetFormatPr defaultRowHeight="15" customHeight="1" outlineLevelRow="1" x14ac:dyDescent="0.2"/>
  <cols>
    <col min="1" max="1" width="5.7109375" style="25" customWidth="1"/>
    <col min="2" max="2" width="20.7109375" style="25" customWidth="1"/>
    <col min="3" max="14" width="10.7109375" style="25" customWidth="1"/>
    <col min="15" max="15" width="5.7109375" style="25" customWidth="1"/>
    <col min="16" max="19" width="10.7109375" style="25" customWidth="1"/>
    <col min="20" max="20" width="5.7109375" style="25" customWidth="1"/>
    <col min="21" max="21" width="10.7109375" style="25" customWidth="1"/>
    <col min="22" max="16384" width="9.140625" style="25"/>
  </cols>
  <sheetData>
    <row r="2" spans="2:21" ht="21" customHeight="1" x14ac:dyDescent="0.2">
      <c r="B2" s="50" t="s">
        <v>144</v>
      </c>
    </row>
    <row r="3" spans="2:21" ht="15" customHeight="1" x14ac:dyDescent="0.2">
      <c r="B3" s="24" t="s">
        <v>18</v>
      </c>
      <c r="C3" s="3">
        <v>44927</v>
      </c>
      <c r="D3" s="3">
        <v>44958</v>
      </c>
      <c r="E3" s="3">
        <v>44986</v>
      </c>
      <c r="F3" s="3">
        <v>45017</v>
      </c>
      <c r="G3" s="3">
        <v>45047</v>
      </c>
      <c r="H3" s="3">
        <v>45078</v>
      </c>
      <c r="I3" s="3">
        <v>45108</v>
      </c>
      <c r="J3" s="3">
        <v>45139</v>
      </c>
      <c r="K3" s="3">
        <v>45170</v>
      </c>
      <c r="L3" s="3">
        <v>45200</v>
      </c>
      <c r="M3" s="3">
        <v>45231</v>
      </c>
      <c r="N3" s="3">
        <v>45261</v>
      </c>
      <c r="P3" s="3" t="s">
        <v>19</v>
      </c>
      <c r="Q3" s="3" t="s">
        <v>20</v>
      </c>
      <c r="R3" s="3" t="s">
        <v>21</v>
      </c>
      <c r="S3" s="3" t="s">
        <v>22</v>
      </c>
      <c r="U3" s="3" t="s">
        <v>22</v>
      </c>
    </row>
    <row r="4" spans="2:21" ht="15" customHeight="1" x14ac:dyDescent="0.2">
      <c r="B4" s="25" t="s">
        <v>10</v>
      </c>
      <c r="C4" s="28">
        <v>61883.925660884226</v>
      </c>
      <c r="D4" s="28">
        <v>159160.73774827071</v>
      </c>
      <c r="E4" s="28">
        <v>169489.24245703485</v>
      </c>
      <c r="F4" s="28">
        <v>133754.00785259152</v>
      </c>
      <c r="G4" s="28">
        <v>109347.12699846107</v>
      </c>
      <c r="H4" s="28">
        <v>254820.73843299187</v>
      </c>
      <c r="I4" s="28">
        <v>138807.41490168459</v>
      </c>
      <c r="J4" s="28">
        <v>167515.06771249001</v>
      </c>
      <c r="K4" s="28">
        <v>256863.60511241251</v>
      </c>
      <c r="L4" s="28">
        <v>236649.97691604012</v>
      </c>
      <c r="M4" s="28">
        <v>188373.8117023636</v>
      </c>
      <c r="N4" s="28">
        <v>310945.81246760016</v>
      </c>
      <c r="P4" s="28">
        <v>390533.90586618974</v>
      </c>
      <c r="Q4" s="28">
        <v>497921.87328404444</v>
      </c>
      <c r="R4" s="28">
        <v>563186.08772658708</v>
      </c>
      <c r="S4" s="28">
        <v>735969.60108600394</v>
      </c>
      <c r="U4" s="28">
        <v>2187611.4679628252</v>
      </c>
    </row>
    <row r="5" spans="2:21" s="26" customFormat="1" ht="15" hidden="1" customHeight="1" outlineLevel="1" x14ac:dyDescent="0.2">
      <c r="B5" s="27" t="s">
        <v>11</v>
      </c>
      <c r="C5" s="29">
        <v>51480.562074912355</v>
      </c>
      <c r="D5" s="29">
        <v>135779.98247258135</v>
      </c>
      <c r="E5" s="29">
        <v>159918.04480336962</v>
      </c>
      <c r="F5" s="29">
        <v>119561.46039556412</v>
      </c>
      <c r="G5" s="29">
        <v>90208.691791257457</v>
      </c>
      <c r="H5" s="29">
        <v>189556.52399044923</v>
      </c>
      <c r="I5" s="29">
        <v>115045.6498410554</v>
      </c>
      <c r="J5" s="29">
        <v>131603.62187425402</v>
      </c>
      <c r="K5" s="29">
        <v>215898.75222508344</v>
      </c>
      <c r="L5" s="29">
        <v>167300.02911465627</v>
      </c>
      <c r="M5" s="29">
        <v>157300.73431538697</v>
      </c>
      <c r="N5" s="29">
        <v>253853.06474273995</v>
      </c>
      <c r="P5" s="29">
        <v>347178.58935086336</v>
      </c>
      <c r="Q5" s="29">
        <v>399326.67617727083</v>
      </c>
      <c r="R5" s="29">
        <v>462548.02394039289</v>
      </c>
      <c r="S5" s="29">
        <v>578453.82817278313</v>
      </c>
      <c r="U5" s="29">
        <v>1787507.1176413102</v>
      </c>
    </row>
    <row r="6" spans="2:21" s="26" customFormat="1" ht="15" hidden="1" customHeight="1" outlineLevel="1" x14ac:dyDescent="0.2">
      <c r="B6" s="27" t="s">
        <v>12</v>
      </c>
      <c r="C6" s="29">
        <v>10403.363585971867</v>
      </c>
      <c r="D6" s="29">
        <v>23380.755275689353</v>
      </c>
      <c r="E6" s="29">
        <v>9571.1976536652473</v>
      </c>
      <c r="F6" s="29">
        <v>14192.547457027391</v>
      </c>
      <c r="G6" s="29">
        <v>19138.435207203609</v>
      </c>
      <c r="H6" s="29">
        <v>65264.214442542638</v>
      </c>
      <c r="I6" s="29">
        <v>23761.765060629197</v>
      </c>
      <c r="J6" s="29">
        <v>35911.445838235988</v>
      </c>
      <c r="K6" s="29">
        <v>40964.852887329063</v>
      </c>
      <c r="L6" s="29">
        <v>69349.947801383867</v>
      </c>
      <c r="M6" s="29">
        <v>31073.077386976638</v>
      </c>
      <c r="N6" s="29">
        <v>57092.747724860208</v>
      </c>
      <c r="P6" s="29">
        <v>43355.316515326471</v>
      </c>
      <c r="Q6" s="29">
        <v>98595.197106773645</v>
      </c>
      <c r="R6" s="29">
        <v>100638.06378619425</v>
      </c>
      <c r="S6" s="29">
        <v>157515.77291322072</v>
      </c>
      <c r="U6" s="29">
        <v>400104.35032151511</v>
      </c>
    </row>
    <row r="7" spans="2:21" ht="15" customHeight="1" collapsed="1" x14ac:dyDescent="0.2">
      <c r="B7" s="25" t="s">
        <v>13</v>
      </c>
      <c r="C7" s="28">
        <v>128701.40518728085</v>
      </c>
      <c r="D7" s="28">
        <v>98671.077310248656</v>
      </c>
      <c r="E7" s="28">
        <v>107442.56543639135</v>
      </c>
      <c r="F7" s="28">
        <v>119131.38319989662</v>
      </c>
      <c r="G7" s="28">
        <v>100745.58308511114</v>
      </c>
      <c r="H7" s="28">
        <v>143000.66755944269</v>
      </c>
      <c r="I7" s="28">
        <v>108379.45330820919</v>
      </c>
      <c r="J7" s="28">
        <v>62576.231969620785</v>
      </c>
      <c r="K7" s="28">
        <v>147301.43951611768</v>
      </c>
      <c r="L7" s="28">
        <v>93219.23216092994</v>
      </c>
      <c r="M7" s="28">
        <v>121711.8463739016</v>
      </c>
      <c r="N7" s="28">
        <v>133431.44995584089</v>
      </c>
      <c r="P7" s="28">
        <v>334815.04793392087</v>
      </c>
      <c r="Q7" s="28">
        <v>362877.63384445047</v>
      </c>
      <c r="R7" s="28">
        <v>318257.12479394767</v>
      </c>
      <c r="S7" s="28">
        <v>348362.52849067241</v>
      </c>
      <c r="U7" s="28">
        <v>1364312.3350629914</v>
      </c>
    </row>
    <row r="8" spans="2:21" s="26" customFormat="1" ht="15" hidden="1" customHeight="1" outlineLevel="1" x14ac:dyDescent="0.2">
      <c r="B8" s="27" t="s">
        <v>11</v>
      </c>
      <c r="C8" s="29">
        <v>71536.531049930272</v>
      </c>
      <c r="D8" s="29">
        <v>49121.036313145531</v>
      </c>
      <c r="E8" s="29">
        <v>54597.812422630079</v>
      </c>
      <c r="F8" s="29">
        <v>68274.75481221512</v>
      </c>
      <c r="G8" s="29">
        <v>58598.017909696442</v>
      </c>
      <c r="H8" s="29">
        <v>83327.456660577518</v>
      </c>
      <c r="I8" s="29">
        <v>69995.063594885098</v>
      </c>
      <c r="J8" s="29">
        <v>27202.38262596917</v>
      </c>
      <c r="K8" s="29">
        <v>106981.70242228986</v>
      </c>
      <c r="L8" s="29">
        <v>64726.617947958279</v>
      </c>
      <c r="M8" s="29">
        <v>93111.712862013053</v>
      </c>
      <c r="N8" s="29">
        <v>94186.9058511818</v>
      </c>
      <c r="P8" s="29">
        <v>175255.37978570588</v>
      </c>
      <c r="Q8" s="29">
        <v>210200.22938248908</v>
      </c>
      <c r="R8" s="29">
        <v>204179.14864314412</v>
      </c>
      <c r="S8" s="29">
        <v>252025.23666115312</v>
      </c>
      <c r="U8" s="29">
        <v>841659.99447249225</v>
      </c>
    </row>
    <row r="9" spans="2:21" s="26" customFormat="1" ht="15" hidden="1" customHeight="1" outlineLevel="1" x14ac:dyDescent="0.2">
      <c r="B9" s="27" t="s">
        <v>12</v>
      </c>
      <c r="C9" s="29">
        <v>57164.874137350569</v>
      </c>
      <c r="D9" s="29">
        <v>49550.040997103133</v>
      </c>
      <c r="E9" s="29">
        <v>52844.75301376127</v>
      </c>
      <c r="F9" s="29">
        <v>50856.6283876815</v>
      </c>
      <c r="G9" s="29">
        <v>42147.565175414704</v>
      </c>
      <c r="H9" s="29">
        <v>59673.210898865189</v>
      </c>
      <c r="I9" s="29">
        <v>38384.389713324097</v>
      </c>
      <c r="J9" s="29">
        <v>35373.849343651615</v>
      </c>
      <c r="K9" s="29">
        <v>40319.737093827825</v>
      </c>
      <c r="L9" s="29">
        <v>28492.614212971665</v>
      </c>
      <c r="M9" s="29">
        <v>28600.133511888544</v>
      </c>
      <c r="N9" s="29">
        <v>39244.5441046591</v>
      </c>
      <c r="P9" s="29">
        <v>159559.66814821499</v>
      </c>
      <c r="Q9" s="29">
        <v>152677.40446196139</v>
      </c>
      <c r="R9" s="29">
        <v>114077.97615080353</v>
      </c>
      <c r="S9" s="29">
        <v>96337.291829519309</v>
      </c>
      <c r="U9" s="38">
        <v>522652.34059049923</v>
      </c>
    </row>
    <row r="10" spans="2:21" ht="15" customHeight="1" collapsed="1" x14ac:dyDescent="0.2">
      <c r="B10" s="33" t="s">
        <v>14</v>
      </c>
      <c r="C10" s="34">
        <v>30137.579048021606</v>
      </c>
      <c r="D10" s="34">
        <v>10403.363585971869</v>
      </c>
      <c r="E10" s="34">
        <v>74861.317350601734</v>
      </c>
      <c r="F10" s="34">
        <v>31933.231778311638</v>
      </c>
      <c r="G10" s="34">
        <v>69780.024997051354</v>
      </c>
      <c r="H10" s="34">
        <v>88273.344410753736</v>
      </c>
      <c r="I10" s="34">
        <v>28600.133511888536</v>
      </c>
      <c r="J10" s="34">
        <v>55587.47754002396</v>
      </c>
      <c r="K10" s="34">
        <v>63543.905659872653</v>
      </c>
      <c r="L10" s="34">
        <v>89563.575997756241</v>
      </c>
      <c r="M10" s="34">
        <v>47416.01082234153</v>
      </c>
      <c r="N10" s="34">
        <v>52576.937170351492</v>
      </c>
      <c r="P10" s="34">
        <v>115402.25998459521</v>
      </c>
      <c r="Q10" s="34">
        <v>189986.60118611675</v>
      </c>
      <c r="R10" s="34">
        <v>147731.51671178514</v>
      </c>
      <c r="S10" s="34">
        <v>189556.52399044926</v>
      </c>
      <c r="U10" s="34">
        <v>642676.9018729463</v>
      </c>
    </row>
    <row r="11" spans="2:21" ht="15" customHeight="1" x14ac:dyDescent="0.2">
      <c r="B11" s="24" t="s">
        <v>15</v>
      </c>
      <c r="C11" s="30">
        <v>220722.9098961867</v>
      </c>
      <c r="D11" s="30">
        <v>268235.17864449124</v>
      </c>
      <c r="E11" s="30">
        <v>351793.12524402793</v>
      </c>
      <c r="F11" s="30">
        <v>284818.62283079978</v>
      </c>
      <c r="G11" s="30">
        <v>279872.73508062353</v>
      </c>
      <c r="H11" s="30">
        <v>486094.75040318834</v>
      </c>
      <c r="I11" s="30">
        <v>275787.00172178232</v>
      </c>
      <c r="J11" s="30">
        <v>285678.77722213475</v>
      </c>
      <c r="K11" s="30">
        <v>467708.95028840279</v>
      </c>
      <c r="L11" s="30">
        <v>419432.78507472633</v>
      </c>
      <c r="M11" s="30">
        <v>357501.66889860673</v>
      </c>
      <c r="N11" s="30">
        <v>496954.19959379255</v>
      </c>
      <c r="P11" s="30">
        <v>840751.21378470585</v>
      </c>
      <c r="Q11" s="30">
        <v>1050786.1083146117</v>
      </c>
      <c r="R11" s="30">
        <v>1029174.7292323199</v>
      </c>
      <c r="S11" s="30">
        <v>1273888.6535671256</v>
      </c>
      <c r="U11" s="30">
        <v>4194600.7048987634</v>
      </c>
    </row>
    <row r="13" spans="2:21" ht="15" customHeight="1" x14ac:dyDescent="0.2">
      <c r="B13" s="24" t="s">
        <v>26</v>
      </c>
    </row>
    <row r="14" spans="2:21" ht="15" customHeight="1" x14ac:dyDescent="0.2">
      <c r="B14" s="25" t="s">
        <v>27</v>
      </c>
      <c r="C14" s="36">
        <v>16</v>
      </c>
      <c r="D14" s="36">
        <v>16</v>
      </c>
      <c r="E14" s="36">
        <v>16</v>
      </c>
      <c r="F14" s="36">
        <v>17</v>
      </c>
      <c r="G14" s="36">
        <v>18</v>
      </c>
      <c r="H14" s="36">
        <v>18</v>
      </c>
      <c r="I14" s="36">
        <v>18</v>
      </c>
      <c r="J14" s="36">
        <v>19</v>
      </c>
      <c r="K14" s="36">
        <v>19</v>
      </c>
      <c r="L14" s="36">
        <v>19</v>
      </c>
      <c r="M14" s="36">
        <v>19</v>
      </c>
      <c r="N14" s="36">
        <v>20</v>
      </c>
      <c r="P14" s="36">
        <v>16</v>
      </c>
      <c r="Q14" s="36">
        <v>17.70064874884152</v>
      </c>
      <c r="R14" s="36">
        <v>18.694915254237287</v>
      </c>
      <c r="S14" s="36">
        <v>19.339270568278202</v>
      </c>
      <c r="U14" s="36">
        <v>18.019058553386913</v>
      </c>
    </row>
    <row r="15" spans="2:21" ht="15" customHeight="1" x14ac:dyDescent="0.2">
      <c r="B15" s="25" t="s">
        <v>28</v>
      </c>
      <c r="C15" s="36">
        <v>168</v>
      </c>
      <c r="D15" s="36">
        <v>160</v>
      </c>
      <c r="E15" s="36">
        <v>184</v>
      </c>
      <c r="F15" s="36">
        <v>160</v>
      </c>
      <c r="G15" s="36">
        <v>184</v>
      </c>
      <c r="H15" s="36">
        <v>168</v>
      </c>
      <c r="I15" s="36">
        <v>160</v>
      </c>
      <c r="J15" s="36">
        <v>184</v>
      </c>
      <c r="K15" s="36">
        <v>160</v>
      </c>
      <c r="L15" s="36">
        <v>176</v>
      </c>
      <c r="M15" s="36">
        <v>168</v>
      </c>
      <c r="N15" s="36">
        <v>168</v>
      </c>
      <c r="P15" s="36">
        <v>512</v>
      </c>
      <c r="Q15" s="36">
        <v>512</v>
      </c>
      <c r="R15" s="36">
        <v>504</v>
      </c>
      <c r="S15" s="36">
        <v>512</v>
      </c>
      <c r="U15" s="36">
        <v>2040</v>
      </c>
    </row>
    <row r="16" spans="2:21" ht="15" customHeight="1" x14ac:dyDescent="0.2">
      <c r="B16" s="25" t="s">
        <v>3</v>
      </c>
      <c r="C16" s="36">
        <v>128</v>
      </c>
      <c r="D16" s="36">
        <v>128</v>
      </c>
      <c r="E16" s="36">
        <v>128</v>
      </c>
      <c r="F16" s="36">
        <v>136</v>
      </c>
      <c r="G16" s="36">
        <v>144</v>
      </c>
      <c r="H16" s="36">
        <v>144</v>
      </c>
      <c r="I16" s="36">
        <v>144</v>
      </c>
      <c r="J16" s="36">
        <v>152</v>
      </c>
      <c r="K16" s="36">
        <v>152</v>
      </c>
      <c r="L16" s="36">
        <v>152</v>
      </c>
      <c r="M16" s="36">
        <v>152</v>
      </c>
      <c r="N16" s="36">
        <v>160</v>
      </c>
      <c r="P16" s="36">
        <v>384</v>
      </c>
      <c r="Q16" s="36">
        <v>424</v>
      </c>
      <c r="R16" s="36">
        <v>448</v>
      </c>
      <c r="S16" s="36">
        <v>464</v>
      </c>
      <c r="U16" s="36">
        <v>1720</v>
      </c>
    </row>
    <row r="17" spans="2:21" ht="15" customHeight="1" x14ac:dyDescent="0.2">
      <c r="B17" s="25" t="s">
        <v>29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P17" s="2">
        <v>0</v>
      </c>
      <c r="Q17" s="2">
        <v>0</v>
      </c>
      <c r="R17" s="2">
        <v>0</v>
      </c>
      <c r="S17" s="2">
        <v>0</v>
      </c>
      <c r="U17" s="2">
        <v>0</v>
      </c>
    </row>
    <row r="18" spans="2:21" ht="15" customHeight="1" x14ac:dyDescent="0.2">
      <c r="B18" s="25" t="s">
        <v>30</v>
      </c>
      <c r="C18" s="36">
        <v>225</v>
      </c>
      <c r="D18" s="36">
        <v>225</v>
      </c>
      <c r="E18" s="36">
        <v>225</v>
      </c>
      <c r="F18" s="36">
        <v>225</v>
      </c>
      <c r="G18" s="36">
        <v>225</v>
      </c>
      <c r="H18" s="36">
        <v>225</v>
      </c>
      <c r="I18" s="36">
        <v>225</v>
      </c>
      <c r="J18" s="36">
        <v>225</v>
      </c>
      <c r="K18" s="36">
        <v>225</v>
      </c>
      <c r="L18" s="36">
        <v>225</v>
      </c>
      <c r="M18" s="36">
        <v>225</v>
      </c>
      <c r="N18" s="36">
        <v>225</v>
      </c>
      <c r="P18" s="36">
        <v>225</v>
      </c>
      <c r="Q18" s="36">
        <v>225</v>
      </c>
      <c r="R18" s="36">
        <v>225</v>
      </c>
      <c r="S18" s="36">
        <v>225</v>
      </c>
      <c r="U18" s="36">
        <v>225</v>
      </c>
    </row>
    <row r="19" spans="2:21" ht="15" customHeight="1" x14ac:dyDescent="0.2">
      <c r="B19" s="33" t="s">
        <v>7</v>
      </c>
      <c r="C19" s="37">
        <v>0.625</v>
      </c>
      <c r="D19" s="37">
        <v>0.625</v>
      </c>
      <c r="E19" s="37">
        <v>0.625</v>
      </c>
      <c r="F19" s="37">
        <v>0.625</v>
      </c>
      <c r="G19" s="37">
        <v>0.625</v>
      </c>
      <c r="H19" s="37">
        <v>0.625</v>
      </c>
      <c r="I19" s="37">
        <v>0.625</v>
      </c>
      <c r="J19" s="37">
        <v>0.625</v>
      </c>
      <c r="K19" s="37">
        <v>0.625</v>
      </c>
      <c r="L19" s="37">
        <v>0.625</v>
      </c>
      <c r="M19" s="37">
        <v>0.625</v>
      </c>
      <c r="N19" s="37">
        <v>0.625</v>
      </c>
      <c r="P19" s="37">
        <v>0.625</v>
      </c>
      <c r="Q19" s="37">
        <v>0.625</v>
      </c>
      <c r="R19" s="37">
        <v>0.625</v>
      </c>
      <c r="S19" s="37">
        <v>0.625</v>
      </c>
      <c r="U19" s="37">
        <v>0.625</v>
      </c>
    </row>
    <row r="20" spans="2:21" ht="15" customHeight="1" x14ac:dyDescent="0.2">
      <c r="B20" s="24" t="s">
        <v>26</v>
      </c>
      <c r="C20" s="30">
        <v>360000</v>
      </c>
      <c r="D20" s="30">
        <v>342000</v>
      </c>
      <c r="E20" s="30">
        <v>396000</v>
      </c>
      <c r="F20" s="30">
        <v>363375</v>
      </c>
      <c r="G20" s="30">
        <v>445500</v>
      </c>
      <c r="H20" s="30">
        <v>405000</v>
      </c>
      <c r="I20" s="30">
        <v>384750</v>
      </c>
      <c r="J20" s="30">
        <v>470250</v>
      </c>
      <c r="K20" s="30">
        <v>406125</v>
      </c>
      <c r="L20" s="30">
        <v>448875</v>
      </c>
      <c r="M20" s="30">
        <v>427500</v>
      </c>
      <c r="N20" s="30">
        <v>450000</v>
      </c>
      <c r="P20" s="30">
        <v>1098000</v>
      </c>
      <c r="Q20" s="30">
        <v>1213875</v>
      </c>
      <c r="R20" s="30">
        <v>1261125</v>
      </c>
      <c r="S20" s="30">
        <v>1326375</v>
      </c>
      <c r="U20" s="30">
        <v>4899375</v>
      </c>
    </row>
    <row r="21" spans="2:21" s="40" customFormat="1" ht="15" hidden="1" customHeight="1" outlineLevel="1" x14ac:dyDescent="0.2">
      <c r="B21" s="40" t="s">
        <v>32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P21" s="41"/>
      <c r="Q21" s="41"/>
      <c r="R21" s="41"/>
      <c r="S21" s="41"/>
      <c r="U21" s="41"/>
    </row>
    <row r="22" spans="2:21" ht="15" customHeight="1" collapsed="1" x14ac:dyDescent="0.2">
      <c r="P22" s="39"/>
      <c r="Q22" s="39"/>
      <c r="R22" s="39"/>
      <c r="S22" s="39"/>
      <c r="U22" s="39"/>
    </row>
    <row r="23" spans="2:21" ht="15" customHeight="1" x14ac:dyDescent="0.2">
      <c r="B23" s="24" t="s">
        <v>31</v>
      </c>
    </row>
    <row r="24" spans="2:21" ht="15" customHeight="1" x14ac:dyDescent="0.2">
      <c r="B24" s="25" t="s">
        <v>27</v>
      </c>
      <c r="C24" s="36">
        <v>5</v>
      </c>
      <c r="D24" s="36">
        <v>5</v>
      </c>
      <c r="E24" s="36">
        <v>5</v>
      </c>
      <c r="F24" s="36">
        <v>6</v>
      </c>
      <c r="G24" s="36">
        <v>6</v>
      </c>
      <c r="H24" s="36">
        <v>6</v>
      </c>
      <c r="I24" s="36">
        <v>6</v>
      </c>
      <c r="J24" s="36">
        <v>6</v>
      </c>
      <c r="K24" s="36">
        <v>6</v>
      </c>
      <c r="L24" s="36">
        <v>7</v>
      </c>
      <c r="M24" s="36">
        <v>7</v>
      </c>
      <c r="N24" s="36">
        <v>7</v>
      </c>
      <c r="P24" s="36">
        <v>5</v>
      </c>
      <c r="Q24" s="36">
        <v>6</v>
      </c>
      <c r="R24" s="36">
        <v>6</v>
      </c>
      <c r="S24" s="36">
        <v>7</v>
      </c>
      <c r="U24" s="36">
        <v>6.0836762688614536</v>
      </c>
    </row>
    <row r="25" spans="2:21" ht="15" customHeight="1" x14ac:dyDescent="0.2">
      <c r="B25" s="25" t="s">
        <v>28</v>
      </c>
      <c r="C25" s="36">
        <v>168</v>
      </c>
      <c r="D25" s="36">
        <v>160</v>
      </c>
      <c r="E25" s="36">
        <v>184</v>
      </c>
      <c r="F25" s="36">
        <v>160</v>
      </c>
      <c r="G25" s="36">
        <v>184</v>
      </c>
      <c r="H25" s="36">
        <v>168</v>
      </c>
      <c r="I25" s="36">
        <v>160</v>
      </c>
      <c r="J25" s="36">
        <v>184</v>
      </c>
      <c r="K25" s="36">
        <v>160</v>
      </c>
      <c r="L25" s="36">
        <v>176</v>
      </c>
      <c r="M25" s="36">
        <v>168</v>
      </c>
      <c r="N25" s="36">
        <v>168</v>
      </c>
      <c r="P25" s="36">
        <v>512</v>
      </c>
      <c r="Q25" s="36">
        <v>512</v>
      </c>
      <c r="R25" s="36">
        <v>504</v>
      </c>
      <c r="S25" s="36">
        <v>512</v>
      </c>
      <c r="U25" s="36">
        <v>2040</v>
      </c>
    </row>
    <row r="26" spans="2:21" ht="15" customHeight="1" x14ac:dyDescent="0.2">
      <c r="B26" s="25" t="s">
        <v>3</v>
      </c>
      <c r="C26" s="36">
        <v>40</v>
      </c>
      <c r="D26" s="36">
        <v>40</v>
      </c>
      <c r="E26" s="36">
        <v>40</v>
      </c>
      <c r="F26" s="36">
        <v>48</v>
      </c>
      <c r="G26" s="36">
        <v>48</v>
      </c>
      <c r="H26" s="36">
        <v>48</v>
      </c>
      <c r="I26" s="36">
        <v>48</v>
      </c>
      <c r="J26" s="36">
        <v>48</v>
      </c>
      <c r="K26" s="36">
        <v>48</v>
      </c>
      <c r="L26" s="36">
        <v>56</v>
      </c>
      <c r="M26" s="36">
        <v>56</v>
      </c>
      <c r="N26" s="36">
        <v>56</v>
      </c>
      <c r="P26" s="36">
        <v>120</v>
      </c>
      <c r="Q26" s="36">
        <v>144</v>
      </c>
      <c r="R26" s="36">
        <v>144</v>
      </c>
      <c r="S26" s="36">
        <v>168</v>
      </c>
      <c r="U26" s="36">
        <v>576</v>
      </c>
    </row>
    <row r="27" spans="2:21" ht="15" customHeight="1" x14ac:dyDescent="0.2">
      <c r="B27" s="25" t="s">
        <v>29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P27" s="2">
        <v>0</v>
      </c>
      <c r="Q27" s="2">
        <v>0</v>
      </c>
      <c r="R27" s="2">
        <v>0</v>
      </c>
      <c r="S27" s="2">
        <v>0</v>
      </c>
      <c r="U27" s="2">
        <v>0</v>
      </c>
    </row>
    <row r="28" spans="2:21" ht="15" customHeight="1" x14ac:dyDescent="0.2">
      <c r="B28" s="25" t="s">
        <v>30</v>
      </c>
      <c r="C28" s="36">
        <v>315</v>
      </c>
      <c r="D28" s="36">
        <v>315</v>
      </c>
      <c r="E28" s="36">
        <v>315</v>
      </c>
      <c r="F28" s="36">
        <v>315</v>
      </c>
      <c r="G28" s="36">
        <v>315</v>
      </c>
      <c r="H28" s="36">
        <v>315</v>
      </c>
      <c r="I28" s="36">
        <v>315</v>
      </c>
      <c r="J28" s="36">
        <v>315</v>
      </c>
      <c r="K28" s="36">
        <v>315</v>
      </c>
      <c r="L28" s="36">
        <v>315</v>
      </c>
      <c r="M28" s="36">
        <v>315</v>
      </c>
      <c r="N28" s="36">
        <v>315</v>
      </c>
      <c r="P28" s="36">
        <v>315</v>
      </c>
      <c r="Q28" s="36">
        <v>315</v>
      </c>
      <c r="R28" s="36">
        <v>315</v>
      </c>
      <c r="S28" s="36">
        <v>315</v>
      </c>
      <c r="U28" s="36">
        <v>315</v>
      </c>
    </row>
    <row r="29" spans="2:21" ht="15" customHeight="1" x14ac:dyDescent="0.2">
      <c r="B29" s="33" t="s">
        <v>7</v>
      </c>
      <c r="C29" s="37">
        <v>0.375</v>
      </c>
      <c r="D29" s="37">
        <v>0.375</v>
      </c>
      <c r="E29" s="37">
        <v>0.375</v>
      </c>
      <c r="F29" s="37">
        <v>0.375</v>
      </c>
      <c r="G29" s="37">
        <v>0.375</v>
      </c>
      <c r="H29" s="37">
        <v>0.375</v>
      </c>
      <c r="I29" s="37">
        <v>0.375</v>
      </c>
      <c r="J29" s="37">
        <v>0.375</v>
      </c>
      <c r="K29" s="37">
        <v>0.375</v>
      </c>
      <c r="L29" s="37">
        <v>0.375</v>
      </c>
      <c r="M29" s="37">
        <v>0.375</v>
      </c>
      <c r="N29" s="37">
        <v>0.375</v>
      </c>
      <c r="P29" s="37">
        <v>0.375</v>
      </c>
      <c r="Q29" s="37">
        <v>0.375</v>
      </c>
      <c r="R29" s="37">
        <v>0.375</v>
      </c>
      <c r="S29" s="37">
        <v>0.375</v>
      </c>
      <c r="U29" s="37">
        <v>0.375</v>
      </c>
    </row>
    <row r="30" spans="2:21" ht="15" customHeight="1" x14ac:dyDescent="0.2">
      <c r="B30" s="24" t="s">
        <v>31</v>
      </c>
      <c r="C30" s="30">
        <v>94500</v>
      </c>
      <c r="D30" s="30">
        <v>89775</v>
      </c>
      <c r="E30" s="30">
        <v>103950</v>
      </c>
      <c r="F30" s="30">
        <v>107730</v>
      </c>
      <c r="G30" s="30">
        <v>124740</v>
      </c>
      <c r="H30" s="30">
        <v>113400</v>
      </c>
      <c r="I30" s="30">
        <v>107730</v>
      </c>
      <c r="J30" s="30">
        <v>124740</v>
      </c>
      <c r="K30" s="30">
        <v>107730</v>
      </c>
      <c r="L30" s="30">
        <v>138915</v>
      </c>
      <c r="M30" s="30">
        <v>132300</v>
      </c>
      <c r="N30" s="30">
        <v>132300</v>
      </c>
      <c r="P30" s="30">
        <v>288225</v>
      </c>
      <c r="Q30" s="30">
        <v>345870</v>
      </c>
      <c r="R30" s="30">
        <v>340200</v>
      </c>
      <c r="S30" s="30">
        <v>403515</v>
      </c>
      <c r="U30" s="30">
        <v>1377810</v>
      </c>
    </row>
    <row r="31" spans="2:21" ht="15" hidden="1" customHeight="1" outlineLevel="1" x14ac:dyDescent="0.2">
      <c r="B31" s="40" t="s">
        <v>32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0"/>
      <c r="P31" s="41"/>
      <c r="Q31" s="41"/>
      <c r="R31" s="41"/>
      <c r="S31" s="41"/>
      <c r="T31" s="40"/>
      <c r="U31" s="41"/>
    </row>
    <row r="32" spans="2:21" ht="15" customHeight="1" collapsed="1" x14ac:dyDescent="0.2">
      <c r="P32" s="39"/>
      <c r="Q32" s="39"/>
      <c r="R32" s="39"/>
      <c r="S32" s="39"/>
      <c r="U32" s="39"/>
    </row>
    <row r="33" spans="2:21" ht="15" customHeight="1" x14ac:dyDescent="0.2">
      <c r="B33" s="24" t="s">
        <v>23</v>
      </c>
    </row>
    <row r="34" spans="2:21" ht="15" customHeight="1" x14ac:dyDescent="0.2">
      <c r="B34" s="24" t="s">
        <v>24</v>
      </c>
      <c r="C34" s="44">
        <v>2100000</v>
      </c>
      <c r="D34" s="44">
        <v>1866222.9098961866</v>
      </c>
      <c r="E34" s="44">
        <v>1702683.0885406779</v>
      </c>
      <c r="F34" s="44">
        <v>1554526.2137847058</v>
      </c>
      <c r="G34" s="44">
        <v>1368239.8366155056</v>
      </c>
      <c r="H34" s="44">
        <v>1077872.5716961292</v>
      </c>
      <c r="I34" s="44">
        <v>1045567.3220993176</v>
      </c>
      <c r="J34" s="44">
        <v>828874.32382109994</v>
      </c>
      <c r="K34" s="44">
        <v>519563.10104323458</v>
      </c>
      <c r="L34" s="44">
        <v>473417.05133163743</v>
      </c>
      <c r="M34" s="44">
        <v>305059.83640636376</v>
      </c>
      <c r="N34" s="44">
        <v>102761.50530497055</v>
      </c>
      <c r="O34" s="44"/>
      <c r="P34" s="44">
        <v>2100000</v>
      </c>
      <c r="Q34" s="44">
        <v>1554526.2137847058</v>
      </c>
      <c r="R34" s="44">
        <v>1045567.3220993178</v>
      </c>
      <c r="S34" s="44">
        <v>473417.05133163766</v>
      </c>
      <c r="T34" s="44"/>
      <c r="U34" s="44">
        <v>2100000</v>
      </c>
    </row>
    <row r="35" spans="2:21" ht="15" customHeight="1" x14ac:dyDescent="0.2">
      <c r="B35" s="31" t="s">
        <v>18</v>
      </c>
      <c r="C35" s="42">
        <v>220722.9098961867</v>
      </c>
      <c r="D35" s="42">
        <v>268235.17864449124</v>
      </c>
      <c r="E35" s="42">
        <v>351793.12524402793</v>
      </c>
      <c r="F35" s="42">
        <v>284818.62283079978</v>
      </c>
      <c r="G35" s="42">
        <v>279872.73508062353</v>
      </c>
      <c r="H35" s="42">
        <v>486094.75040318834</v>
      </c>
      <c r="I35" s="42">
        <v>275787.00172178232</v>
      </c>
      <c r="J35" s="42">
        <v>285678.77722213475</v>
      </c>
      <c r="K35" s="42">
        <v>467708.95028840279</v>
      </c>
      <c r="L35" s="42">
        <v>419432.78507472633</v>
      </c>
      <c r="M35" s="42">
        <v>357501.66889860673</v>
      </c>
      <c r="N35" s="42">
        <v>496954.19959379255</v>
      </c>
      <c r="O35" s="42"/>
      <c r="P35" s="42">
        <v>840751.21378470585</v>
      </c>
      <c r="Q35" s="42">
        <v>1050786.1083146117</v>
      </c>
      <c r="R35" s="42">
        <v>1029174.7292323199</v>
      </c>
      <c r="S35" s="42">
        <v>1273888.6535671256</v>
      </c>
      <c r="T35" s="42"/>
      <c r="U35" s="42">
        <v>4194600.7048987634</v>
      </c>
    </row>
    <row r="36" spans="2:21" ht="15" customHeight="1" x14ac:dyDescent="0.2">
      <c r="B36" s="31" t="s">
        <v>26</v>
      </c>
      <c r="C36" s="42">
        <v>-360000</v>
      </c>
      <c r="D36" s="42">
        <v>-342000</v>
      </c>
      <c r="E36" s="42">
        <v>-396000</v>
      </c>
      <c r="F36" s="42">
        <v>-363375</v>
      </c>
      <c r="G36" s="42">
        <v>-445500</v>
      </c>
      <c r="H36" s="42">
        <v>-405000</v>
      </c>
      <c r="I36" s="42">
        <v>-384750</v>
      </c>
      <c r="J36" s="42">
        <v>-470250</v>
      </c>
      <c r="K36" s="42">
        <v>-406125</v>
      </c>
      <c r="L36" s="42">
        <v>-448875</v>
      </c>
      <c r="M36" s="42">
        <v>-427500</v>
      </c>
      <c r="N36" s="42">
        <v>-450000</v>
      </c>
      <c r="O36" s="42"/>
      <c r="P36" s="42">
        <v>-1098000</v>
      </c>
      <c r="Q36" s="42">
        <v>-1213875</v>
      </c>
      <c r="R36" s="42">
        <v>-1261125</v>
      </c>
      <c r="S36" s="42">
        <v>-1326375</v>
      </c>
      <c r="T36" s="42"/>
      <c r="U36" s="42">
        <v>-4899375</v>
      </c>
    </row>
    <row r="37" spans="2:21" ht="15" customHeight="1" x14ac:dyDescent="0.2">
      <c r="B37" s="32" t="s">
        <v>31</v>
      </c>
      <c r="C37" s="43">
        <v>-94500</v>
      </c>
      <c r="D37" s="43">
        <v>-89775</v>
      </c>
      <c r="E37" s="43">
        <v>-103950</v>
      </c>
      <c r="F37" s="43">
        <v>-107730</v>
      </c>
      <c r="G37" s="43">
        <v>-124740</v>
      </c>
      <c r="H37" s="43">
        <v>-113400</v>
      </c>
      <c r="I37" s="43">
        <v>-107730</v>
      </c>
      <c r="J37" s="43">
        <v>-124740</v>
      </c>
      <c r="K37" s="43">
        <v>-107730</v>
      </c>
      <c r="L37" s="43">
        <v>-138915</v>
      </c>
      <c r="M37" s="43">
        <v>-132300</v>
      </c>
      <c r="N37" s="43">
        <v>-132300</v>
      </c>
      <c r="O37" s="42"/>
      <c r="P37" s="43">
        <v>-288225</v>
      </c>
      <c r="Q37" s="43">
        <v>-345870</v>
      </c>
      <c r="R37" s="43">
        <v>-340200</v>
      </c>
      <c r="S37" s="43">
        <v>-403515</v>
      </c>
      <c r="T37" s="42"/>
      <c r="U37" s="43">
        <v>-1377810</v>
      </c>
    </row>
    <row r="38" spans="2:21" ht="15" customHeight="1" x14ac:dyDescent="0.2">
      <c r="B38" s="24" t="s">
        <v>25</v>
      </c>
      <c r="C38" s="44">
        <v>1866222.9098961866</v>
      </c>
      <c r="D38" s="44">
        <v>1702683.0885406779</v>
      </c>
      <c r="E38" s="44">
        <v>1554526.2137847058</v>
      </c>
      <c r="F38" s="44">
        <v>1368239.8366155056</v>
      </c>
      <c r="G38" s="44">
        <v>1077872.5716961292</v>
      </c>
      <c r="H38" s="44">
        <v>1045567.3220993176</v>
      </c>
      <c r="I38" s="44">
        <v>828874.32382109994</v>
      </c>
      <c r="J38" s="44">
        <v>519563.10104323458</v>
      </c>
      <c r="K38" s="44">
        <v>473417.05133163743</v>
      </c>
      <c r="L38" s="44">
        <v>305059.83640636376</v>
      </c>
      <c r="M38" s="44">
        <v>102761.50530497055</v>
      </c>
      <c r="N38" s="44">
        <v>17415.704898763099</v>
      </c>
      <c r="O38" s="44"/>
      <c r="P38" s="44">
        <v>1554526.2137847058</v>
      </c>
      <c r="Q38" s="44">
        <v>1045567.3220993178</v>
      </c>
      <c r="R38" s="44">
        <v>473417.05133163766</v>
      </c>
      <c r="S38" s="44">
        <v>17415.704898763215</v>
      </c>
      <c r="T38" s="44"/>
      <c r="U38" s="44">
        <v>17415.704898763448</v>
      </c>
    </row>
    <row r="40" spans="2:21" ht="15" customHeight="1" x14ac:dyDescent="0.2">
      <c r="B40" s="24" t="s">
        <v>73</v>
      </c>
    </row>
    <row r="41" spans="2:21" ht="15" customHeight="1" x14ac:dyDescent="0.2">
      <c r="B41" s="25" t="s">
        <v>76</v>
      </c>
      <c r="C41" s="28">
        <v>54432</v>
      </c>
      <c r="D41" s="28">
        <v>51840</v>
      </c>
      <c r="E41" s="28">
        <v>59616</v>
      </c>
      <c r="F41" s="28">
        <v>55080</v>
      </c>
      <c r="G41" s="28">
        <v>67068</v>
      </c>
      <c r="H41" s="28">
        <v>61236</v>
      </c>
      <c r="I41" s="28">
        <v>58320</v>
      </c>
      <c r="J41" s="28">
        <v>70794</v>
      </c>
      <c r="K41" s="28">
        <v>61560</v>
      </c>
      <c r="L41" s="28">
        <v>67716</v>
      </c>
      <c r="M41" s="28">
        <v>64638</v>
      </c>
      <c r="N41" s="28">
        <v>68040</v>
      </c>
      <c r="P41" s="28">
        <v>165888</v>
      </c>
      <c r="Q41" s="28">
        <v>183384</v>
      </c>
      <c r="R41" s="28">
        <v>190674</v>
      </c>
      <c r="S41" s="28">
        <v>200394</v>
      </c>
      <c r="U41" s="28">
        <v>740340</v>
      </c>
    </row>
    <row r="42" spans="2:21" ht="15" customHeight="1" x14ac:dyDescent="0.2">
      <c r="B42" s="25" t="s">
        <v>77</v>
      </c>
      <c r="C42" s="35">
        <v>34398</v>
      </c>
      <c r="D42" s="35">
        <v>32760.000000000004</v>
      </c>
      <c r="E42" s="35">
        <v>37674</v>
      </c>
      <c r="F42" s="35">
        <v>39312</v>
      </c>
      <c r="G42" s="35">
        <v>45208.800000000003</v>
      </c>
      <c r="H42" s="35">
        <v>41277.600000000006</v>
      </c>
      <c r="I42" s="35">
        <v>39312</v>
      </c>
      <c r="J42" s="35">
        <v>45208.800000000003</v>
      </c>
      <c r="K42" s="35">
        <v>39312</v>
      </c>
      <c r="L42" s="35">
        <v>50450.400000000001</v>
      </c>
      <c r="M42" s="35">
        <v>48157.200000000004</v>
      </c>
      <c r="N42" s="35">
        <v>48157.200000000004</v>
      </c>
      <c r="P42" s="35">
        <v>104832</v>
      </c>
      <c r="Q42" s="35">
        <v>125798.40000000001</v>
      </c>
      <c r="R42" s="35">
        <v>123832.8</v>
      </c>
      <c r="S42" s="35">
        <v>146764.80000000002</v>
      </c>
      <c r="U42" s="35">
        <v>501228</v>
      </c>
    </row>
    <row r="43" spans="2:21" ht="15" customHeight="1" x14ac:dyDescent="0.2">
      <c r="B43" s="33" t="s">
        <v>81</v>
      </c>
      <c r="C43" s="34">
        <v>22978.53495173949</v>
      </c>
      <c r="D43" s="34">
        <v>25363.624733213503</v>
      </c>
      <c r="E43" s="34">
        <v>39787.775995352786</v>
      </c>
      <c r="F43" s="34">
        <v>22763.057181742468</v>
      </c>
      <c r="G43" s="34">
        <v>26228.006718868466</v>
      </c>
      <c r="H43" s="34">
        <v>38657.919870031081</v>
      </c>
      <c r="I43" s="34">
        <v>32839.889876699308</v>
      </c>
      <c r="J43" s="34">
        <v>28513.449461507054</v>
      </c>
      <c r="K43" s="34">
        <v>38033.754302726877</v>
      </c>
      <c r="L43" s="34">
        <v>27122.72314044142</v>
      </c>
      <c r="M43" s="34">
        <v>33611.19713667599</v>
      </c>
      <c r="N43" s="34">
        <v>35988.01012395796</v>
      </c>
      <c r="P43" s="34">
        <v>88129.935680305774</v>
      </c>
      <c r="Q43" s="34">
        <v>87648.983770642022</v>
      </c>
      <c r="R43" s="34">
        <v>99387.09364093325</v>
      </c>
      <c r="S43" s="34">
        <v>96721.930401075369</v>
      </c>
      <c r="U43" s="34">
        <v>371887.94349295646</v>
      </c>
    </row>
    <row r="44" spans="2:21" ht="15" customHeight="1" x14ac:dyDescent="0.2">
      <c r="B44" s="24" t="s">
        <v>74</v>
      </c>
      <c r="C44" s="54">
        <v>111808.53495173949</v>
      </c>
      <c r="D44" s="54">
        <v>109963.62473321351</v>
      </c>
      <c r="E44" s="54">
        <v>137077.77599535277</v>
      </c>
      <c r="F44" s="54">
        <v>117155.05718174246</v>
      </c>
      <c r="G44" s="54">
        <v>138504.80671886847</v>
      </c>
      <c r="H44" s="54">
        <v>141171.5198700311</v>
      </c>
      <c r="I44" s="54">
        <v>130471.88987669931</v>
      </c>
      <c r="J44" s="54">
        <v>144516.24946150705</v>
      </c>
      <c r="K44" s="54">
        <v>138905.75430272688</v>
      </c>
      <c r="L44" s="54">
        <v>145289.12314044143</v>
      </c>
      <c r="M44" s="54">
        <v>146406.39713667601</v>
      </c>
      <c r="N44" s="54">
        <v>152185.21012395798</v>
      </c>
      <c r="P44" s="54">
        <v>358849.93568030576</v>
      </c>
      <c r="Q44" s="54">
        <v>396831.38377064205</v>
      </c>
      <c r="R44" s="54">
        <v>413893.89364093327</v>
      </c>
      <c r="S44" s="54">
        <v>443880.73040107545</v>
      </c>
      <c r="U44" s="54">
        <v>1613455.9434929565</v>
      </c>
    </row>
    <row r="46" spans="2:21" ht="15" customHeight="1" x14ac:dyDescent="0.2">
      <c r="B46" s="24" t="s">
        <v>82</v>
      </c>
      <c r="C46" s="39">
        <v>342691.46504826052</v>
      </c>
      <c r="D46" s="39">
        <v>321811.37526678649</v>
      </c>
      <c r="E46" s="39">
        <v>362872.22400464723</v>
      </c>
      <c r="F46" s="39">
        <v>353949.94281825755</v>
      </c>
      <c r="G46" s="39">
        <v>431735.19328113156</v>
      </c>
      <c r="H46" s="39">
        <v>377228.4801299689</v>
      </c>
      <c r="I46" s="39">
        <v>362008.11012330069</v>
      </c>
      <c r="J46" s="39">
        <v>450473.75053849292</v>
      </c>
      <c r="K46" s="39">
        <v>374949.24569727312</v>
      </c>
      <c r="L46" s="39">
        <v>442500.87685955857</v>
      </c>
      <c r="M46" s="39">
        <v>413393.60286332399</v>
      </c>
      <c r="N46" s="39">
        <v>430114.78987604205</v>
      </c>
      <c r="P46" s="39">
        <v>1027375.0643196942</v>
      </c>
      <c r="Q46" s="39">
        <v>1162913.6162293579</v>
      </c>
      <c r="R46" s="39">
        <v>1187431.1063590667</v>
      </c>
      <c r="S46" s="39">
        <v>1286009.2695989246</v>
      </c>
      <c r="U46" s="39">
        <v>4663729.0565070435</v>
      </c>
    </row>
    <row r="47" spans="2:21" ht="15" customHeight="1" x14ac:dyDescent="0.2">
      <c r="B47" s="24" t="s">
        <v>83</v>
      </c>
      <c r="C47" s="55">
        <v>0.75399662276845003</v>
      </c>
      <c r="D47" s="55">
        <v>0.74532192754741822</v>
      </c>
      <c r="E47" s="55">
        <v>0.72581702971226569</v>
      </c>
      <c r="F47" s="55">
        <v>0.75131858676570518</v>
      </c>
      <c r="G47" s="55">
        <v>0.75711137991219757</v>
      </c>
      <c r="H47" s="55">
        <v>0.72767839531244005</v>
      </c>
      <c r="I47" s="55">
        <v>0.73507169859344679</v>
      </c>
      <c r="J47" s="55">
        <v>0.75711146496326476</v>
      </c>
      <c r="K47" s="55">
        <v>0.7296790839775289</v>
      </c>
      <c r="L47" s="55">
        <v>0.75282137644321712</v>
      </c>
      <c r="M47" s="55">
        <v>0.73846660032748124</v>
      </c>
      <c r="N47" s="55">
        <v>0.73864810213986265</v>
      </c>
      <c r="P47" s="55">
        <v>0.74113153659737352</v>
      </c>
      <c r="Q47" s="55">
        <v>0.7455793198435372</v>
      </c>
      <c r="R47" s="55">
        <v>0.74153036164368047</v>
      </c>
      <c r="S47" s="55">
        <v>0.74340522784623564</v>
      </c>
      <c r="U47" s="55">
        <v>0.74296504826718401</v>
      </c>
    </row>
    <row r="48" spans="2:21" ht="15" customHeight="1" x14ac:dyDescent="0.2">
      <c r="C48" s="55"/>
    </row>
    <row r="49" spans="2:21" ht="15" customHeight="1" x14ac:dyDescent="0.2">
      <c r="B49" s="24" t="s">
        <v>78</v>
      </c>
    </row>
    <row r="50" spans="2:21" ht="15" customHeight="1" x14ac:dyDescent="0.2">
      <c r="B50" s="25" t="s">
        <v>79</v>
      </c>
      <c r="C50" s="35">
        <v>141277.5</v>
      </c>
      <c r="D50" s="35">
        <v>134550</v>
      </c>
      <c r="E50" s="35">
        <v>154732.5</v>
      </c>
      <c r="F50" s="35">
        <v>148590</v>
      </c>
      <c r="G50" s="35">
        <v>177606</v>
      </c>
      <c r="H50" s="35">
        <v>162162</v>
      </c>
      <c r="I50" s="35">
        <v>154440</v>
      </c>
      <c r="J50" s="35">
        <v>184333.5</v>
      </c>
      <c r="K50" s="35">
        <v>160290</v>
      </c>
      <c r="L50" s="35">
        <v>185328</v>
      </c>
      <c r="M50" s="35">
        <v>176904</v>
      </c>
      <c r="N50" s="35">
        <v>183046.5</v>
      </c>
      <c r="P50" s="35">
        <v>430560</v>
      </c>
      <c r="Q50" s="35">
        <v>488358</v>
      </c>
      <c r="R50" s="35">
        <v>499063.5</v>
      </c>
      <c r="S50" s="35">
        <v>545278.5</v>
      </c>
      <c r="U50" s="35">
        <v>1963260</v>
      </c>
    </row>
    <row r="51" spans="2:21" ht="15" customHeight="1" x14ac:dyDescent="0.2">
      <c r="B51" s="33" t="s">
        <v>80</v>
      </c>
      <c r="C51" s="34">
        <v>76595.116505798287</v>
      </c>
      <c r="D51" s="34">
        <v>84545.415777378337</v>
      </c>
      <c r="E51" s="34">
        <v>132625.91998450927</v>
      </c>
      <c r="F51" s="34">
        <v>75876.857272474881</v>
      </c>
      <c r="G51" s="34">
        <v>87426.689062894875</v>
      </c>
      <c r="H51" s="34">
        <v>128859.73290010358</v>
      </c>
      <c r="I51" s="34">
        <v>109466.29958899769</v>
      </c>
      <c r="J51" s="34">
        <v>95044.831538356841</v>
      </c>
      <c r="K51" s="34">
        <v>126779.18100908957</v>
      </c>
      <c r="L51" s="34">
        <v>90409.077134804713</v>
      </c>
      <c r="M51" s="34">
        <v>112037.32378891995</v>
      </c>
      <c r="N51" s="34">
        <v>119960.03374652653</v>
      </c>
      <c r="P51" s="34">
        <v>293766.45226768591</v>
      </c>
      <c r="Q51" s="34">
        <v>292163.27923547337</v>
      </c>
      <c r="R51" s="34">
        <v>331290.31213644409</v>
      </c>
      <c r="S51" s="34">
        <v>322406.43467025121</v>
      </c>
      <c r="U51" s="34">
        <v>1239626.4783098544</v>
      </c>
    </row>
    <row r="52" spans="2:21" ht="15" customHeight="1" x14ac:dyDescent="0.2">
      <c r="B52" s="24" t="s">
        <v>74</v>
      </c>
      <c r="C52" s="54">
        <v>217872.6165057983</v>
      </c>
      <c r="D52" s="54">
        <v>219095.41577737834</v>
      </c>
      <c r="E52" s="54">
        <v>287358.41998450924</v>
      </c>
      <c r="F52" s="54">
        <v>224466.85727247488</v>
      </c>
      <c r="G52" s="54">
        <v>265032.6890628949</v>
      </c>
      <c r="H52" s="54">
        <v>291021.73290010355</v>
      </c>
      <c r="I52" s="54">
        <v>263906.29958899767</v>
      </c>
      <c r="J52" s="54">
        <v>279378.33153835684</v>
      </c>
      <c r="K52" s="54">
        <v>287069.18100908957</v>
      </c>
      <c r="L52" s="54">
        <v>275737.07713480468</v>
      </c>
      <c r="M52" s="54">
        <v>288941.32378891995</v>
      </c>
      <c r="N52" s="54">
        <v>303006.53374652652</v>
      </c>
      <c r="P52" s="54">
        <v>724326.45226768591</v>
      </c>
      <c r="Q52" s="54">
        <v>780521.27923547337</v>
      </c>
      <c r="R52" s="54">
        <v>830353.81213644403</v>
      </c>
      <c r="S52" s="54">
        <v>867684.9346702511</v>
      </c>
      <c r="U52" s="54">
        <v>3202886.4783098539</v>
      </c>
    </row>
    <row r="54" spans="2:21" ht="15" customHeight="1" x14ac:dyDescent="0.2">
      <c r="B54" s="24" t="s">
        <v>87</v>
      </c>
      <c r="C54" s="39">
        <v>124818.84854246222</v>
      </c>
      <c r="D54" s="39">
        <v>102715.95948940815</v>
      </c>
      <c r="E54" s="39">
        <v>75513.804020137992</v>
      </c>
      <c r="F54" s="39">
        <v>129483.08554578267</v>
      </c>
      <c r="G54" s="39">
        <v>166702.50421823666</v>
      </c>
      <c r="H54" s="39">
        <v>86206.747229865345</v>
      </c>
      <c r="I54" s="39">
        <v>98101.810534303018</v>
      </c>
      <c r="J54" s="39">
        <v>171095.41900013608</v>
      </c>
      <c r="K54" s="39">
        <v>87880.064688183542</v>
      </c>
      <c r="L54" s="39">
        <v>166763.79972475389</v>
      </c>
      <c r="M54" s="39">
        <v>124452.27907440404</v>
      </c>
      <c r="N54" s="39">
        <v>127108.25612951553</v>
      </c>
      <c r="P54" s="39">
        <v>303048.61205200828</v>
      </c>
      <c r="Q54" s="39">
        <v>382392.33699388453</v>
      </c>
      <c r="R54" s="39">
        <v>357077.29422262264</v>
      </c>
      <c r="S54" s="39">
        <v>418324.33492867346</v>
      </c>
      <c r="U54" s="39">
        <v>1460842.5781971896</v>
      </c>
    </row>
    <row r="55" spans="2:21" ht="15" customHeight="1" x14ac:dyDescent="0.2">
      <c r="B55" s="24" t="s">
        <v>88</v>
      </c>
      <c r="C55" s="55">
        <v>0.27462892968638553</v>
      </c>
      <c r="D55" s="55">
        <v>0.23789232699764495</v>
      </c>
      <c r="E55" s="55">
        <v>0.15104271231150712</v>
      </c>
      <c r="F55" s="55">
        <v>0.27484973741688723</v>
      </c>
      <c r="G55" s="55">
        <v>0.2923374442659874</v>
      </c>
      <c r="H55" s="55">
        <v>0.16629387968724024</v>
      </c>
      <c r="I55" s="55">
        <v>0.19919958279382516</v>
      </c>
      <c r="J55" s="55">
        <v>0.28756015899449755</v>
      </c>
      <c r="K55" s="55">
        <v>0.17102113375988079</v>
      </c>
      <c r="L55" s="55">
        <v>0.28371323044753038</v>
      </c>
      <c r="M55" s="55">
        <v>0.22231561106538772</v>
      </c>
      <c r="N55" s="55">
        <v>0.21828654667613864</v>
      </c>
      <c r="P55" s="55">
        <v>0.21861430291042816</v>
      </c>
      <c r="Q55" s="55">
        <v>0.24516336772606068</v>
      </c>
      <c r="R55" s="55">
        <v>0.22298864641632563</v>
      </c>
      <c r="S55" s="55">
        <v>0.24182134987119033</v>
      </c>
      <c r="U55" s="55">
        <v>0.23272256245390086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0FCC-EFB7-494A-9D69-70D0D3F39263}">
  <dimension ref="B2:U56"/>
  <sheetViews>
    <sheetView showGridLines="0" workbookViewId="0"/>
  </sheetViews>
  <sheetFormatPr defaultRowHeight="15" customHeight="1" outlineLevelRow="1" x14ac:dyDescent="0.2"/>
  <cols>
    <col min="1" max="1" width="5.7109375" style="25" customWidth="1"/>
    <col min="2" max="2" width="20.7109375" style="25" customWidth="1"/>
    <col min="3" max="14" width="10.7109375" style="25" customWidth="1"/>
    <col min="15" max="15" width="5.7109375" style="25" customWidth="1"/>
    <col min="16" max="19" width="10.7109375" style="25" customWidth="1"/>
    <col min="20" max="20" width="5.7109375" style="25" customWidth="1"/>
    <col min="21" max="21" width="10.7109375" style="25" customWidth="1"/>
    <col min="22" max="16384" width="9.140625" style="25"/>
  </cols>
  <sheetData>
    <row r="2" spans="2:21" ht="21" customHeight="1" x14ac:dyDescent="0.2">
      <c r="B2" s="50" t="s">
        <v>72</v>
      </c>
    </row>
    <row r="3" spans="2:21" ht="15" customHeight="1" x14ac:dyDescent="0.2">
      <c r="B3" s="24" t="s">
        <v>18</v>
      </c>
      <c r="C3" s="3">
        <v>44927</v>
      </c>
      <c r="D3" s="3">
        <v>44958</v>
      </c>
      <c r="E3" s="3">
        <v>44986</v>
      </c>
      <c r="F3" s="3">
        <v>45017</v>
      </c>
      <c r="G3" s="3">
        <v>45047</v>
      </c>
      <c r="H3" s="3">
        <v>45078</v>
      </c>
      <c r="I3" s="3">
        <v>45108</v>
      </c>
      <c r="J3" s="3">
        <v>45139</v>
      </c>
      <c r="K3" s="3">
        <v>45170</v>
      </c>
      <c r="L3" s="3">
        <v>45200</v>
      </c>
      <c r="M3" s="3">
        <v>45231</v>
      </c>
      <c r="N3" s="3">
        <v>45261</v>
      </c>
      <c r="P3" s="3" t="s">
        <v>19</v>
      </c>
      <c r="Q3" s="3" t="s">
        <v>20</v>
      </c>
      <c r="R3" s="3" t="s">
        <v>21</v>
      </c>
      <c r="S3" s="3" t="s">
        <v>22</v>
      </c>
      <c r="U3" s="3" t="s">
        <v>22</v>
      </c>
    </row>
    <row r="4" spans="2:21" ht="15" customHeight="1" x14ac:dyDescent="0.2">
      <c r="B4" s="25" t="s">
        <v>10</v>
      </c>
      <c r="C4" s="28">
        <v>61306.250000000007</v>
      </c>
      <c r="D4" s="28">
        <v>157675</v>
      </c>
      <c r="E4" s="28">
        <v>167907.08991736459</v>
      </c>
      <c r="F4" s="28">
        <v>132175</v>
      </c>
      <c r="G4" s="28">
        <v>108056.25</v>
      </c>
      <c r="H4" s="28">
        <v>251812.5</v>
      </c>
      <c r="I4" s="28">
        <v>137168.75</v>
      </c>
      <c r="J4" s="28">
        <v>165537.5</v>
      </c>
      <c r="K4" s="28">
        <v>253831.25</v>
      </c>
      <c r="L4" s="28">
        <v>233856.25</v>
      </c>
      <c r="M4" s="28">
        <v>186150</v>
      </c>
      <c r="N4" s="28">
        <v>307275</v>
      </c>
      <c r="P4" s="28">
        <v>386888.33991736459</v>
      </c>
      <c r="Q4" s="28">
        <v>492043.75</v>
      </c>
      <c r="R4" s="28">
        <v>556537.5</v>
      </c>
      <c r="S4" s="28">
        <v>727281.25</v>
      </c>
      <c r="U4" s="28">
        <v>2162750.8399173645</v>
      </c>
    </row>
    <row r="5" spans="2:21" s="26" customFormat="1" ht="15" hidden="1" customHeight="1" outlineLevel="1" x14ac:dyDescent="0.2">
      <c r="B5" s="27" t="s">
        <v>11</v>
      </c>
      <c r="C5" s="29">
        <v>51000.000000000007</v>
      </c>
      <c r="D5" s="29">
        <v>134512.5</v>
      </c>
      <c r="E5" s="29">
        <v>158425.23772572342</v>
      </c>
      <c r="F5" s="29">
        <v>118150.00000000001</v>
      </c>
      <c r="G5" s="29">
        <v>89143.75</v>
      </c>
      <c r="H5" s="29">
        <v>187318.75</v>
      </c>
      <c r="I5" s="29">
        <v>113687.5</v>
      </c>
      <c r="J5" s="29">
        <v>130050</v>
      </c>
      <c r="K5" s="29">
        <v>213350</v>
      </c>
      <c r="L5" s="29">
        <v>165325</v>
      </c>
      <c r="M5" s="29">
        <v>155443.75</v>
      </c>
      <c r="N5" s="29">
        <v>250856.24999999997</v>
      </c>
      <c r="P5" s="29">
        <v>343937.73772572342</v>
      </c>
      <c r="Q5" s="29">
        <v>394612.5</v>
      </c>
      <c r="R5" s="29">
        <v>457087.5</v>
      </c>
      <c r="S5" s="29">
        <v>571625</v>
      </c>
      <c r="U5" s="29">
        <v>1767262.7377257235</v>
      </c>
    </row>
    <row r="6" spans="2:21" s="26" customFormat="1" ht="15" hidden="1" customHeight="1" outlineLevel="1" x14ac:dyDescent="0.2">
      <c r="B6" s="27" t="s">
        <v>12</v>
      </c>
      <c r="C6" s="29">
        <v>10306.25</v>
      </c>
      <c r="D6" s="29">
        <v>23162.500000000004</v>
      </c>
      <c r="E6" s="29">
        <v>9481.8521916411828</v>
      </c>
      <c r="F6" s="29">
        <v>14025</v>
      </c>
      <c r="G6" s="29">
        <v>18912.5</v>
      </c>
      <c r="H6" s="29">
        <v>64493.75</v>
      </c>
      <c r="I6" s="29">
        <v>23481.25</v>
      </c>
      <c r="J6" s="29">
        <v>35487.5</v>
      </c>
      <c r="K6" s="29">
        <v>40481.25</v>
      </c>
      <c r="L6" s="29">
        <v>68531.25</v>
      </c>
      <c r="M6" s="29">
        <v>30706.25</v>
      </c>
      <c r="N6" s="29">
        <v>56418.75</v>
      </c>
      <c r="P6" s="29">
        <v>42950.602191641185</v>
      </c>
      <c r="Q6" s="29">
        <v>97431.25</v>
      </c>
      <c r="R6" s="29">
        <v>99450</v>
      </c>
      <c r="S6" s="29">
        <v>155656.25</v>
      </c>
      <c r="U6" s="29">
        <v>395488.10219164117</v>
      </c>
    </row>
    <row r="7" spans="2:21" ht="15" customHeight="1" collapsed="1" x14ac:dyDescent="0.2">
      <c r="B7" s="25" t="s">
        <v>13</v>
      </c>
      <c r="C7" s="28">
        <v>127500</v>
      </c>
      <c r="D7" s="28">
        <v>97750</v>
      </c>
      <c r="E7" s="28">
        <v>106439.6078131843</v>
      </c>
      <c r="F7" s="28">
        <v>117725</v>
      </c>
      <c r="G7" s="28">
        <v>99556.25</v>
      </c>
      <c r="H7" s="28">
        <v>141312.5</v>
      </c>
      <c r="I7" s="28">
        <v>107100</v>
      </c>
      <c r="J7" s="28">
        <v>61837.5</v>
      </c>
      <c r="K7" s="28">
        <v>145562.5</v>
      </c>
      <c r="L7" s="28">
        <v>92118.75</v>
      </c>
      <c r="M7" s="28">
        <v>120275</v>
      </c>
      <c r="N7" s="28">
        <v>131856.25</v>
      </c>
      <c r="P7" s="28">
        <v>331689.60781318427</v>
      </c>
      <c r="Q7" s="28">
        <v>358593.75</v>
      </c>
      <c r="R7" s="28">
        <v>314500</v>
      </c>
      <c r="S7" s="28">
        <v>344250</v>
      </c>
      <c r="U7" s="28">
        <v>1349033.3578131841</v>
      </c>
    </row>
    <row r="8" spans="2:21" s="26" customFormat="1" ht="15" hidden="1" customHeight="1" outlineLevel="1" x14ac:dyDescent="0.2">
      <c r="B8" s="27" t="s">
        <v>11</v>
      </c>
      <c r="C8" s="29">
        <v>70868.75</v>
      </c>
      <c r="D8" s="29">
        <v>48662.5</v>
      </c>
      <c r="E8" s="29">
        <v>54088.151358997675</v>
      </c>
      <c r="F8" s="29">
        <v>67468.75</v>
      </c>
      <c r="G8" s="29">
        <v>57906.25</v>
      </c>
      <c r="H8" s="29">
        <v>82343.75</v>
      </c>
      <c r="I8" s="29">
        <v>69168.75</v>
      </c>
      <c r="J8" s="29">
        <v>26881.25</v>
      </c>
      <c r="K8" s="29">
        <v>105718.75</v>
      </c>
      <c r="L8" s="29">
        <v>63962.5</v>
      </c>
      <c r="M8" s="29">
        <v>92012.5</v>
      </c>
      <c r="N8" s="29">
        <v>93074.999999999985</v>
      </c>
      <c r="P8" s="29">
        <v>173619.40135899768</v>
      </c>
      <c r="Q8" s="29">
        <v>207718.75</v>
      </c>
      <c r="R8" s="29">
        <v>201768.75</v>
      </c>
      <c r="S8" s="29">
        <v>249050</v>
      </c>
      <c r="U8" s="29">
        <v>832156.90135899768</v>
      </c>
    </row>
    <row r="9" spans="2:21" s="26" customFormat="1" ht="15" hidden="1" customHeight="1" outlineLevel="1" x14ac:dyDescent="0.2">
      <c r="B9" s="27" t="s">
        <v>12</v>
      </c>
      <c r="C9" s="29">
        <v>56631.25</v>
      </c>
      <c r="D9" s="29">
        <v>49087.5</v>
      </c>
      <c r="E9" s="29">
        <v>52351.456454186613</v>
      </c>
      <c r="F9" s="29">
        <v>50256.25</v>
      </c>
      <c r="G9" s="29">
        <v>41650</v>
      </c>
      <c r="H9" s="29">
        <v>58968.75</v>
      </c>
      <c r="I9" s="29">
        <v>37931.25</v>
      </c>
      <c r="J9" s="29">
        <v>34956.25</v>
      </c>
      <c r="K9" s="29">
        <v>39843.75</v>
      </c>
      <c r="L9" s="29">
        <v>28156.25</v>
      </c>
      <c r="M9" s="29">
        <v>28262.5</v>
      </c>
      <c r="N9" s="29">
        <v>38781.25</v>
      </c>
      <c r="P9" s="29">
        <v>158070.20645418661</v>
      </c>
      <c r="Q9" s="29">
        <v>150875</v>
      </c>
      <c r="R9" s="29">
        <v>112731.25</v>
      </c>
      <c r="S9" s="29">
        <v>95200</v>
      </c>
      <c r="U9" s="38">
        <v>516876.45645418658</v>
      </c>
    </row>
    <row r="10" spans="2:21" ht="15" customHeight="1" collapsed="1" x14ac:dyDescent="0.2">
      <c r="B10" s="33" t="s">
        <v>14</v>
      </c>
      <c r="C10" s="34">
        <v>29856.250000000004</v>
      </c>
      <c r="D10" s="34">
        <v>10306.25</v>
      </c>
      <c r="E10" s="34">
        <v>74162.5</v>
      </c>
      <c r="F10" s="34">
        <v>31556.25</v>
      </c>
      <c r="G10" s="34">
        <v>68956.25</v>
      </c>
      <c r="H10" s="34">
        <v>87231.25</v>
      </c>
      <c r="I10" s="34">
        <v>28262.5</v>
      </c>
      <c r="J10" s="34">
        <v>54931.25</v>
      </c>
      <c r="K10" s="34">
        <v>62793.75</v>
      </c>
      <c r="L10" s="34">
        <v>88506.25</v>
      </c>
      <c r="M10" s="34">
        <v>46856.25</v>
      </c>
      <c r="N10" s="34">
        <v>51956.25</v>
      </c>
      <c r="P10" s="34">
        <v>114325</v>
      </c>
      <c r="Q10" s="34">
        <v>187743.75</v>
      </c>
      <c r="R10" s="34">
        <v>145987.5</v>
      </c>
      <c r="S10" s="34">
        <v>187318.75</v>
      </c>
      <c r="U10" s="34">
        <v>635375</v>
      </c>
    </row>
    <row r="11" spans="2:21" ht="15" customHeight="1" x14ac:dyDescent="0.2">
      <c r="B11" s="24" t="s">
        <v>15</v>
      </c>
      <c r="C11" s="30">
        <v>218662.5</v>
      </c>
      <c r="D11" s="30">
        <v>265731.25</v>
      </c>
      <c r="E11" s="30">
        <v>348509.19773054891</v>
      </c>
      <c r="F11" s="30">
        <v>281456.25</v>
      </c>
      <c r="G11" s="30">
        <v>276568.75</v>
      </c>
      <c r="H11" s="30">
        <v>480356.25</v>
      </c>
      <c r="I11" s="30">
        <v>272531.25</v>
      </c>
      <c r="J11" s="30">
        <v>282306.25</v>
      </c>
      <c r="K11" s="30">
        <v>462187.5</v>
      </c>
      <c r="L11" s="30">
        <v>414481.25</v>
      </c>
      <c r="M11" s="30">
        <v>353281.25</v>
      </c>
      <c r="N11" s="30">
        <v>491087.5</v>
      </c>
      <c r="P11" s="30">
        <v>832902.94773054891</v>
      </c>
      <c r="Q11" s="30">
        <v>1038381.25</v>
      </c>
      <c r="R11" s="30">
        <v>1017025</v>
      </c>
      <c r="S11" s="30">
        <v>1258850</v>
      </c>
      <c r="U11" s="30">
        <v>4147159.1977305487</v>
      </c>
    </row>
    <row r="13" spans="2:21" ht="15" customHeight="1" x14ac:dyDescent="0.2">
      <c r="B13" s="24" t="s">
        <v>26</v>
      </c>
    </row>
    <row r="14" spans="2:21" ht="15" customHeight="1" x14ac:dyDescent="0.2">
      <c r="B14" s="25" t="s">
        <v>27</v>
      </c>
      <c r="C14" s="36">
        <v>15</v>
      </c>
      <c r="D14" s="36">
        <v>16</v>
      </c>
      <c r="E14" s="36">
        <v>16</v>
      </c>
      <c r="F14" s="36">
        <v>16</v>
      </c>
      <c r="G14" s="36">
        <v>18</v>
      </c>
      <c r="H14" s="36">
        <v>18</v>
      </c>
      <c r="I14" s="36">
        <v>18</v>
      </c>
      <c r="J14" s="36">
        <v>19</v>
      </c>
      <c r="K14" s="36">
        <v>19</v>
      </c>
      <c r="L14" s="36">
        <v>20</v>
      </c>
      <c r="M14" s="36">
        <v>20</v>
      </c>
      <c r="N14" s="36">
        <v>20</v>
      </c>
      <c r="P14" s="36">
        <v>15.686192468619247</v>
      </c>
      <c r="Q14" s="36">
        <v>17.426415094339621</v>
      </c>
      <c r="R14" s="36">
        <v>18.694915254237287</v>
      </c>
      <c r="S14" s="36">
        <v>20</v>
      </c>
      <c r="U14" s="36">
        <v>18.091576773008953</v>
      </c>
    </row>
    <row r="15" spans="2:21" ht="15" customHeight="1" x14ac:dyDescent="0.2">
      <c r="B15" s="25" t="s">
        <v>28</v>
      </c>
      <c r="C15" s="36">
        <v>168</v>
      </c>
      <c r="D15" s="36">
        <v>160</v>
      </c>
      <c r="E15" s="36">
        <v>184</v>
      </c>
      <c r="F15" s="36">
        <v>160</v>
      </c>
      <c r="G15" s="36">
        <v>184</v>
      </c>
      <c r="H15" s="36">
        <v>168</v>
      </c>
      <c r="I15" s="36">
        <v>160</v>
      </c>
      <c r="J15" s="36">
        <v>184</v>
      </c>
      <c r="K15" s="36">
        <v>160</v>
      </c>
      <c r="L15" s="36">
        <v>176</v>
      </c>
      <c r="M15" s="36">
        <v>168</v>
      </c>
      <c r="N15" s="36">
        <v>168</v>
      </c>
      <c r="P15" s="36">
        <v>512</v>
      </c>
      <c r="Q15" s="36">
        <v>512</v>
      </c>
      <c r="R15" s="36">
        <v>504</v>
      </c>
      <c r="S15" s="36">
        <v>512</v>
      </c>
      <c r="U15" s="36">
        <v>2040</v>
      </c>
    </row>
    <row r="16" spans="2:21" ht="15" customHeight="1" x14ac:dyDescent="0.2">
      <c r="B16" s="25" t="s">
        <v>3</v>
      </c>
      <c r="C16" s="36">
        <v>120</v>
      </c>
      <c r="D16" s="36">
        <v>128</v>
      </c>
      <c r="E16" s="36">
        <v>128</v>
      </c>
      <c r="F16" s="36">
        <v>128</v>
      </c>
      <c r="G16" s="36">
        <v>144</v>
      </c>
      <c r="H16" s="36">
        <v>144</v>
      </c>
      <c r="I16" s="36">
        <v>144</v>
      </c>
      <c r="J16" s="36">
        <v>152</v>
      </c>
      <c r="K16" s="36">
        <v>152</v>
      </c>
      <c r="L16" s="36">
        <v>160</v>
      </c>
      <c r="M16" s="36">
        <v>160</v>
      </c>
      <c r="N16" s="36">
        <v>160</v>
      </c>
      <c r="P16" s="36">
        <v>376</v>
      </c>
      <c r="Q16" s="36">
        <v>416</v>
      </c>
      <c r="R16" s="36">
        <v>448</v>
      </c>
      <c r="S16" s="36">
        <v>480</v>
      </c>
      <c r="U16" s="36">
        <v>1720</v>
      </c>
    </row>
    <row r="17" spans="2:21" ht="15" customHeight="1" x14ac:dyDescent="0.2">
      <c r="B17" s="25" t="s">
        <v>29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P17" s="2">
        <v>0</v>
      </c>
      <c r="Q17" s="2">
        <v>0</v>
      </c>
      <c r="R17" s="2">
        <v>0</v>
      </c>
      <c r="S17" s="2">
        <v>0</v>
      </c>
      <c r="U17" s="2">
        <v>0</v>
      </c>
    </row>
    <row r="18" spans="2:21" ht="15" customHeight="1" x14ac:dyDescent="0.2">
      <c r="B18" s="25" t="s">
        <v>30</v>
      </c>
      <c r="C18" s="36">
        <v>225</v>
      </c>
      <c r="D18" s="36">
        <v>225</v>
      </c>
      <c r="E18" s="36">
        <v>225</v>
      </c>
      <c r="F18" s="36">
        <v>225</v>
      </c>
      <c r="G18" s="36">
        <v>225</v>
      </c>
      <c r="H18" s="36">
        <v>225</v>
      </c>
      <c r="I18" s="36">
        <v>225</v>
      </c>
      <c r="J18" s="36">
        <v>225</v>
      </c>
      <c r="K18" s="36">
        <v>225</v>
      </c>
      <c r="L18" s="36">
        <v>225</v>
      </c>
      <c r="M18" s="36">
        <v>225</v>
      </c>
      <c r="N18" s="36">
        <v>225</v>
      </c>
      <c r="P18" s="36">
        <v>225</v>
      </c>
      <c r="Q18" s="36">
        <v>225</v>
      </c>
      <c r="R18" s="36">
        <v>225</v>
      </c>
      <c r="S18" s="36">
        <v>225</v>
      </c>
      <c r="U18" s="36">
        <v>225</v>
      </c>
    </row>
    <row r="19" spans="2:21" ht="15" customHeight="1" x14ac:dyDescent="0.2">
      <c r="B19" s="33" t="s">
        <v>7</v>
      </c>
      <c r="C19" s="37">
        <v>0.625</v>
      </c>
      <c r="D19" s="37">
        <v>0.625</v>
      </c>
      <c r="E19" s="37">
        <v>0.625</v>
      </c>
      <c r="F19" s="37">
        <v>0.625</v>
      </c>
      <c r="G19" s="37">
        <v>0.625</v>
      </c>
      <c r="H19" s="37">
        <v>0.625</v>
      </c>
      <c r="I19" s="37">
        <v>0.625</v>
      </c>
      <c r="J19" s="37">
        <v>0.625</v>
      </c>
      <c r="K19" s="37">
        <v>0.625</v>
      </c>
      <c r="L19" s="37">
        <v>0.625</v>
      </c>
      <c r="M19" s="37">
        <v>0.625</v>
      </c>
      <c r="N19" s="37">
        <v>0.625</v>
      </c>
      <c r="P19" s="37">
        <v>0.625</v>
      </c>
      <c r="Q19" s="37">
        <v>0.625</v>
      </c>
      <c r="R19" s="37">
        <v>0.625</v>
      </c>
      <c r="S19" s="37">
        <v>0.625</v>
      </c>
      <c r="U19" s="37">
        <v>0.625</v>
      </c>
    </row>
    <row r="20" spans="2:21" ht="15" customHeight="1" x14ac:dyDescent="0.2">
      <c r="B20" s="24" t="s">
        <v>26</v>
      </c>
      <c r="C20" s="30">
        <v>337500</v>
      </c>
      <c r="D20" s="30">
        <v>342000</v>
      </c>
      <c r="E20" s="30">
        <v>396000</v>
      </c>
      <c r="F20" s="30">
        <v>342000</v>
      </c>
      <c r="G20" s="30">
        <v>445500</v>
      </c>
      <c r="H20" s="30">
        <v>405000</v>
      </c>
      <c r="I20" s="30">
        <v>384750</v>
      </c>
      <c r="J20" s="30">
        <v>470250</v>
      </c>
      <c r="K20" s="30">
        <v>406125</v>
      </c>
      <c r="L20" s="30">
        <v>472500</v>
      </c>
      <c r="M20" s="30">
        <v>450000</v>
      </c>
      <c r="N20" s="30">
        <v>450000</v>
      </c>
      <c r="P20" s="30">
        <v>1075500</v>
      </c>
      <c r="Q20" s="30">
        <v>1192500</v>
      </c>
      <c r="R20" s="30">
        <v>1261125</v>
      </c>
      <c r="S20" s="30">
        <v>1372500</v>
      </c>
      <c r="U20" s="30">
        <v>4901625</v>
      </c>
    </row>
    <row r="21" spans="2:21" s="40" customFormat="1" ht="15" hidden="1" customHeight="1" outlineLevel="1" x14ac:dyDescent="0.2">
      <c r="B21" s="40" t="s">
        <v>32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P21" s="41"/>
      <c r="Q21" s="41"/>
      <c r="R21" s="41"/>
      <c r="S21" s="41"/>
      <c r="U21" s="41"/>
    </row>
    <row r="22" spans="2:21" ht="15" customHeight="1" collapsed="1" x14ac:dyDescent="0.2">
      <c r="P22" s="39"/>
      <c r="Q22" s="39"/>
      <c r="R22" s="39"/>
      <c r="S22" s="39"/>
      <c r="U22" s="39"/>
    </row>
    <row r="23" spans="2:21" ht="15" customHeight="1" x14ac:dyDescent="0.2">
      <c r="B23" s="24" t="s">
        <v>31</v>
      </c>
    </row>
    <row r="24" spans="2:21" ht="15" customHeight="1" x14ac:dyDescent="0.2">
      <c r="B24" s="25" t="s">
        <v>27</v>
      </c>
      <c r="C24" s="36">
        <v>4</v>
      </c>
      <c r="D24" s="36">
        <v>4</v>
      </c>
      <c r="E24" s="36">
        <v>4</v>
      </c>
      <c r="F24" s="36">
        <v>4</v>
      </c>
      <c r="G24" s="36">
        <v>5</v>
      </c>
      <c r="H24" s="36">
        <v>5</v>
      </c>
      <c r="I24" s="36">
        <v>5</v>
      </c>
      <c r="J24" s="36">
        <v>5</v>
      </c>
      <c r="K24" s="36">
        <v>5</v>
      </c>
      <c r="L24" s="36">
        <v>6</v>
      </c>
      <c r="M24" s="36">
        <v>6</v>
      </c>
      <c r="N24" s="36">
        <v>6</v>
      </c>
      <c r="P24" s="36">
        <v>4</v>
      </c>
      <c r="Q24" s="36">
        <v>4.7342657342657342</v>
      </c>
      <c r="R24" s="36">
        <v>5</v>
      </c>
      <c r="S24" s="36">
        <v>6</v>
      </c>
      <c r="U24" s="36">
        <v>5.0384615384615383</v>
      </c>
    </row>
    <row r="25" spans="2:21" ht="15" customHeight="1" x14ac:dyDescent="0.2">
      <c r="B25" s="25" t="s">
        <v>28</v>
      </c>
      <c r="C25" s="36">
        <v>168</v>
      </c>
      <c r="D25" s="36">
        <v>160</v>
      </c>
      <c r="E25" s="36">
        <v>184</v>
      </c>
      <c r="F25" s="36">
        <v>160</v>
      </c>
      <c r="G25" s="36">
        <v>184</v>
      </c>
      <c r="H25" s="36">
        <v>168</v>
      </c>
      <c r="I25" s="36">
        <v>160</v>
      </c>
      <c r="J25" s="36">
        <v>184</v>
      </c>
      <c r="K25" s="36">
        <v>160</v>
      </c>
      <c r="L25" s="36">
        <v>176</v>
      </c>
      <c r="M25" s="36">
        <v>168</v>
      </c>
      <c r="N25" s="36">
        <v>168</v>
      </c>
      <c r="P25" s="36">
        <v>512</v>
      </c>
      <c r="Q25" s="36">
        <v>512</v>
      </c>
      <c r="R25" s="36">
        <v>504</v>
      </c>
      <c r="S25" s="36">
        <v>512</v>
      </c>
      <c r="U25" s="36">
        <v>2040</v>
      </c>
    </row>
    <row r="26" spans="2:21" ht="15" customHeight="1" x14ac:dyDescent="0.2">
      <c r="B26" s="25" t="s">
        <v>3</v>
      </c>
      <c r="C26" s="36">
        <v>32</v>
      </c>
      <c r="D26" s="36">
        <v>32</v>
      </c>
      <c r="E26" s="36">
        <v>32</v>
      </c>
      <c r="F26" s="36">
        <v>32</v>
      </c>
      <c r="G26" s="36">
        <v>40</v>
      </c>
      <c r="H26" s="36">
        <v>40</v>
      </c>
      <c r="I26" s="36">
        <v>40</v>
      </c>
      <c r="J26" s="36">
        <v>40</v>
      </c>
      <c r="K26" s="36">
        <v>40</v>
      </c>
      <c r="L26" s="36">
        <v>48</v>
      </c>
      <c r="M26" s="36">
        <v>48</v>
      </c>
      <c r="N26" s="36">
        <v>48</v>
      </c>
      <c r="P26" s="36">
        <v>96</v>
      </c>
      <c r="Q26" s="36">
        <v>112</v>
      </c>
      <c r="R26" s="36">
        <v>120</v>
      </c>
      <c r="S26" s="36">
        <v>144</v>
      </c>
      <c r="U26" s="36">
        <v>472</v>
      </c>
    </row>
    <row r="27" spans="2:21" ht="15" customHeight="1" x14ac:dyDescent="0.2">
      <c r="B27" s="25" t="s">
        <v>29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P27" s="2">
        <v>0</v>
      </c>
      <c r="Q27" s="2">
        <v>0</v>
      </c>
      <c r="R27" s="2">
        <v>0</v>
      </c>
      <c r="S27" s="2">
        <v>0</v>
      </c>
      <c r="U27" s="2">
        <v>0</v>
      </c>
    </row>
    <row r="28" spans="2:21" ht="15" customHeight="1" x14ac:dyDescent="0.2">
      <c r="B28" s="25" t="s">
        <v>30</v>
      </c>
      <c r="C28" s="36">
        <v>315</v>
      </c>
      <c r="D28" s="36">
        <v>315</v>
      </c>
      <c r="E28" s="36">
        <v>315</v>
      </c>
      <c r="F28" s="36">
        <v>315</v>
      </c>
      <c r="G28" s="36">
        <v>315</v>
      </c>
      <c r="H28" s="36">
        <v>315</v>
      </c>
      <c r="I28" s="36">
        <v>315</v>
      </c>
      <c r="J28" s="36">
        <v>315</v>
      </c>
      <c r="K28" s="36">
        <v>315</v>
      </c>
      <c r="L28" s="36">
        <v>315</v>
      </c>
      <c r="M28" s="36">
        <v>315</v>
      </c>
      <c r="N28" s="36">
        <v>315</v>
      </c>
      <c r="P28" s="36">
        <v>315</v>
      </c>
      <c r="Q28" s="36">
        <v>315</v>
      </c>
      <c r="R28" s="36">
        <v>315</v>
      </c>
      <c r="S28" s="36">
        <v>315</v>
      </c>
      <c r="U28" s="36">
        <v>315</v>
      </c>
    </row>
    <row r="29" spans="2:21" ht="15" customHeight="1" x14ac:dyDescent="0.2">
      <c r="B29" s="33" t="s">
        <v>7</v>
      </c>
      <c r="C29" s="37">
        <v>0.375</v>
      </c>
      <c r="D29" s="37">
        <v>0.375</v>
      </c>
      <c r="E29" s="37">
        <v>0.375</v>
      </c>
      <c r="F29" s="37">
        <v>0.375</v>
      </c>
      <c r="G29" s="37">
        <v>0.375</v>
      </c>
      <c r="H29" s="37">
        <v>0.375</v>
      </c>
      <c r="I29" s="37">
        <v>0.375</v>
      </c>
      <c r="J29" s="37">
        <v>0.375</v>
      </c>
      <c r="K29" s="37">
        <v>0.375</v>
      </c>
      <c r="L29" s="37">
        <v>0.375</v>
      </c>
      <c r="M29" s="37">
        <v>0.375</v>
      </c>
      <c r="N29" s="37">
        <v>0.375</v>
      </c>
      <c r="P29" s="37">
        <v>0.375</v>
      </c>
      <c r="Q29" s="37">
        <v>0.375</v>
      </c>
      <c r="R29" s="37">
        <v>0.375</v>
      </c>
      <c r="S29" s="37">
        <v>0.375</v>
      </c>
      <c r="U29" s="37">
        <v>0.375</v>
      </c>
    </row>
    <row r="30" spans="2:21" ht="15" customHeight="1" x14ac:dyDescent="0.2">
      <c r="B30" s="24" t="s">
        <v>31</v>
      </c>
      <c r="C30" s="30">
        <v>75600</v>
      </c>
      <c r="D30" s="30">
        <v>71820</v>
      </c>
      <c r="E30" s="30">
        <v>83160</v>
      </c>
      <c r="F30" s="30">
        <v>71820</v>
      </c>
      <c r="G30" s="30">
        <v>103950</v>
      </c>
      <c r="H30" s="30">
        <v>94500</v>
      </c>
      <c r="I30" s="30">
        <v>89775</v>
      </c>
      <c r="J30" s="30">
        <v>103950</v>
      </c>
      <c r="K30" s="30">
        <v>89775</v>
      </c>
      <c r="L30" s="30">
        <v>119070</v>
      </c>
      <c r="M30" s="30">
        <v>113400</v>
      </c>
      <c r="N30" s="30">
        <v>113400</v>
      </c>
      <c r="P30" s="30">
        <v>230580</v>
      </c>
      <c r="Q30" s="30">
        <v>270270</v>
      </c>
      <c r="R30" s="30">
        <v>283500</v>
      </c>
      <c r="S30" s="30">
        <v>345870</v>
      </c>
      <c r="U30" s="30">
        <v>1130220</v>
      </c>
    </row>
    <row r="31" spans="2:21" ht="15" hidden="1" customHeight="1" outlineLevel="1" x14ac:dyDescent="0.2">
      <c r="B31" s="40" t="s">
        <v>32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0"/>
      <c r="P31" s="41"/>
      <c r="Q31" s="41"/>
      <c r="R31" s="41"/>
      <c r="S31" s="41"/>
      <c r="T31" s="40"/>
      <c r="U31" s="41"/>
    </row>
    <row r="32" spans="2:21" ht="15" customHeight="1" collapsed="1" x14ac:dyDescent="0.2">
      <c r="P32" s="39"/>
      <c r="Q32" s="39"/>
      <c r="R32" s="39"/>
      <c r="S32" s="39"/>
      <c r="U32" s="39"/>
    </row>
    <row r="33" spans="2:21" ht="15" customHeight="1" x14ac:dyDescent="0.2">
      <c r="B33" s="24" t="s">
        <v>23</v>
      </c>
    </row>
    <row r="34" spans="2:21" ht="15" customHeight="1" x14ac:dyDescent="0.2">
      <c r="B34" s="24" t="s">
        <v>24</v>
      </c>
      <c r="C34" s="44">
        <v>2100000</v>
      </c>
      <c r="D34" s="44">
        <v>1905562.5</v>
      </c>
      <c r="E34" s="44">
        <v>1757473.75</v>
      </c>
      <c r="F34" s="44">
        <v>1626822.9477305487</v>
      </c>
      <c r="G34" s="44">
        <v>1494459.1977305487</v>
      </c>
      <c r="H34" s="44">
        <v>1221577.9477305487</v>
      </c>
      <c r="I34" s="44">
        <v>1202434.1977305487</v>
      </c>
      <c r="J34" s="44">
        <v>1000440.4477305487</v>
      </c>
      <c r="K34" s="44">
        <v>708546.69773054868</v>
      </c>
      <c r="L34" s="44">
        <v>674834.19773054868</v>
      </c>
      <c r="M34" s="44">
        <v>497745.44773054868</v>
      </c>
      <c r="N34" s="44">
        <v>287626.69773054868</v>
      </c>
      <c r="O34" s="44"/>
      <c r="P34" s="44">
        <v>2100000</v>
      </c>
      <c r="Q34" s="44">
        <v>1626822.9477305487</v>
      </c>
      <c r="R34" s="44">
        <v>1202434.1977305487</v>
      </c>
      <c r="S34" s="44">
        <v>674834.19773054868</v>
      </c>
      <c r="T34" s="44"/>
      <c r="U34" s="44">
        <v>2100000</v>
      </c>
    </row>
    <row r="35" spans="2:21" ht="15" customHeight="1" x14ac:dyDescent="0.2">
      <c r="B35" s="31" t="s">
        <v>18</v>
      </c>
      <c r="C35" s="42">
        <v>218662.5</v>
      </c>
      <c r="D35" s="42">
        <v>265731.25</v>
      </c>
      <c r="E35" s="42">
        <v>348509.19773054891</v>
      </c>
      <c r="F35" s="42">
        <v>281456.25</v>
      </c>
      <c r="G35" s="42">
        <v>276568.75</v>
      </c>
      <c r="H35" s="42">
        <v>480356.25</v>
      </c>
      <c r="I35" s="42">
        <v>272531.25</v>
      </c>
      <c r="J35" s="42">
        <v>282306.25</v>
      </c>
      <c r="K35" s="42">
        <v>462187.5</v>
      </c>
      <c r="L35" s="42">
        <v>414481.25</v>
      </c>
      <c r="M35" s="42">
        <v>353281.25</v>
      </c>
      <c r="N35" s="42">
        <v>491087.5</v>
      </c>
      <c r="O35" s="42"/>
      <c r="P35" s="42">
        <v>832902.94773054891</v>
      </c>
      <c r="Q35" s="42">
        <v>1038381.25</v>
      </c>
      <c r="R35" s="42">
        <v>1017025</v>
      </c>
      <c r="S35" s="42">
        <v>1258850</v>
      </c>
      <c r="T35" s="42"/>
      <c r="U35" s="42">
        <v>4147159.1977305487</v>
      </c>
    </row>
    <row r="36" spans="2:21" ht="15" customHeight="1" x14ac:dyDescent="0.2">
      <c r="B36" s="31" t="s">
        <v>26</v>
      </c>
      <c r="C36" s="42">
        <v>-337500</v>
      </c>
      <c r="D36" s="42">
        <v>-342000</v>
      </c>
      <c r="E36" s="42">
        <v>-396000</v>
      </c>
      <c r="F36" s="42">
        <v>-342000</v>
      </c>
      <c r="G36" s="42">
        <v>-445500</v>
      </c>
      <c r="H36" s="42">
        <v>-405000</v>
      </c>
      <c r="I36" s="42">
        <v>-384750</v>
      </c>
      <c r="J36" s="42">
        <v>-470250</v>
      </c>
      <c r="K36" s="42">
        <v>-406125</v>
      </c>
      <c r="L36" s="42">
        <v>-472500</v>
      </c>
      <c r="M36" s="42">
        <v>-450000</v>
      </c>
      <c r="N36" s="42">
        <v>-450000</v>
      </c>
      <c r="O36" s="42"/>
      <c r="P36" s="42">
        <v>-1075500</v>
      </c>
      <c r="Q36" s="42">
        <v>-1192500</v>
      </c>
      <c r="R36" s="42">
        <v>-1261125</v>
      </c>
      <c r="S36" s="42">
        <v>-1372500</v>
      </c>
      <c r="T36" s="42"/>
      <c r="U36" s="42">
        <v>-4901625</v>
      </c>
    </row>
    <row r="37" spans="2:21" ht="15" customHeight="1" x14ac:dyDescent="0.2">
      <c r="B37" s="32" t="s">
        <v>31</v>
      </c>
      <c r="C37" s="43">
        <v>-75600</v>
      </c>
      <c r="D37" s="43">
        <v>-71820</v>
      </c>
      <c r="E37" s="43">
        <v>-83160</v>
      </c>
      <c r="F37" s="43">
        <v>-71820</v>
      </c>
      <c r="G37" s="43">
        <v>-103950</v>
      </c>
      <c r="H37" s="43">
        <v>-94500</v>
      </c>
      <c r="I37" s="43">
        <v>-89775</v>
      </c>
      <c r="J37" s="43">
        <v>-103950</v>
      </c>
      <c r="K37" s="43">
        <v>-89775</v>
      </c>
      <c r="L37" s="43">
        <v>-119070</v>
      </c>
      <c r="M37" s="43">
        <v>-113400</v>
      </c>
      <c r="N37" s="43">
        <v>-113400</v>
      </c>
      <c r="O37" s="42"/>
      <c r="P37" s="43">
        <v>-230580</v>
      </c>
      <c r="Q37" s="43">
        <v>-270270</v>
      </c>
      <c r="R37" s="43">
        <v>-283500</v>
      </c>
      <c r="S37" s="43">
        <v>-345870</v>
      </c>
      <c r="T37" s="42"/>
      <c r="U37" s="43">
        <v>-1130220</v>
      </c>
    </row>
    <row r="38" spans="2:21" ht="15" customHeight="1" x14ac:dyDescent="0.2">
      <c r="B38" s="24" t="s">
        <v>25</v>
      </c>
      <c r="C38" s="44">
        <v>1905562.5</v>
      </c>
      <c r="D38" s="44">
        <v>1757473.75</v>
      </c>
      <c r="E38" s="44">
        <v>1626822.9477305487</v>
      </c>
      <c r="F38" s="44">
        <v>1494459.1977305487</v>
      </c>
      <c r="G38" s="44">
        <v>1221577.9477305487</v>
      </c>
      <c r="H38" s="44">
        <v>1202434.1977305487</v>
      </c>
      <c r="I38" s="44">
        <v>1000440.4477305487</v>
      </c>
      <c r="J38" s="44">
        <v>708546.69773054868</v>
      </c>
      <c r="K38" s="44">
        <v>674834.19773054868</v>
      </c>
      <c r="L38" s="44">
        <v>497745.44773054868</v>
      </c>
      <c r="M38" s="44">
        <v>287626.69773054868</v>
      </c>
      <c r="N38" s="44">
        <v>215314.19773054868</v>
      </c>
      <c r="O38" s="44"/>
      <c r="P38" s="44">
        <v>1626822.9477305487</v>
      </c>
      <c r="Q38" s="44">
        <v>1202434.1977305487</v>
      </c>
      <c r="R38" s="44">
        <v>674834.19773054868</v>
      </c>
      <c r="S38" s="44">
        <v>215314.19773054868</v>
      </c>
      <c r="T38" s="44"/>
      <c r="U38" s="44">
        <v>215314.19773054868</v>
      </c>
    </row>
    <row r="40" spans="2:21" ht="15" customHeight="1" x14ac:dyDescent="0.2">
      <c r="B40" s="24" t="s">
        <v>73</v>
      </c>
    </row>
    <row r="41" spans="2:21" ht="15" customHeight="1" x14ac:dyDescent="0.2">
      <c r="B41" s="25" t="s">
        <v>76</v>
      </c>
      <c r="C41" s="28">
        <v>51030</v>
      </c>
      <c r="D41" s="28">
        <v>51840</v>
      </c>
      <c r="E41" s="28">
        <v>59616</v>
      </c>
      <c r="F41" s="28">
        <v>51840</v>
      </c>
      <c r="G41" s="28">
        <v>67068</v>
      </c>
      <c r="H41" s="28">
        <v>61236</v>
      </c>
      <c r="I41" s="28">
        <v>58320</v>
      </c>
      <c r="J41" s="28">
        <v>70794</v>
      </c>
      <c r="K41" s="28">
        <v>61560</v>
      </c>
      <c r="L41" s="28">
        <v>71280</v>
      </c>
      <c r="M41" s="28">
        <v>68040</v>
      </c>
      <c r="N41" s="28">
        <v>68040</v>
      </c>
      <c r="P41" s="28">
        <v>162486</v>
      </c>
      <c r="Q41" s="28">
        <v>180144</v>
      </c>
      <c r="R41" s="28">
        <v>190674</v>
      </c>
      <c r="S41" s="28">
        <v>207360</v>
      </c>
      <c r="U41" s="28">
        <v>740664</v>
      </c>
    </row>
    <row r="42" spans="2:21" ht="15" customHeight="1" x14ac:dyDescent="0.2">
      <c r="B42" s="25" t="s">
        <v>77</v>
      </c>
      <c r="C42" s="35">
        <v>27518.400000000001</v>
      </c>
      <c r="D42" s="35">
        <v>26208</v>
      </c>
      <c r="E42" s="35">
        <v>30139.200000000001</v>
      </c>
      <c r="F42" s="35">
        <v>26208</v>
      </c>
      <c r="G42" s="35">
        <v>37674</v>
      </c>
      <c r="H42" s="35">
        <v>34398</v>
      </c>
      <c r="I42" s="35">
        <v>32760.000000000004</v>
      </c>
      <c r="J42" s="35">
        <v>37674</v>
      </c>
      <c r="K42" s="35">
        <v>32760.000000000004</v>
      </c>
      <c r="L42" s="35">
        <v>43243.200000000004</v>
      </c>
      <c r="M42" s="35">
        <v>41277.600000000006</v>
      </c>
      <c r="N42" s="35">
        <v>41277.600000000006</v>
      </c>
      <c r="P42" s="35">
        <v>83865.600000000006</v>
      </c>
      <c r="Q42" s="35">
        <v>98280</v>
      </c>
      <c r="R42" s="35">
        <v>103194</v>
      </c>
      <c r="S42" s="35">
        <v>125798.40000000002</v>
      </c>
      <c r="U42" s="35">
        <v>411138</v>
      </c>
    </row>
    <row r="43" spans="2:21" ht="15" customHeight="1" x14ac:dyDescent="0.2">
      <c r="B43" s="33" t="s">
        <v>81</v>
      </c>
      <c r="C43" s="34">
        <v>25782.890625</v>
      </c>
      <c r="D43" s="34">
        <v>28459.0625</v>
      </c>
      <c r="E43" s="34">
        <v>44643.571875000001</v>
      </c>
      <c r="F43" s="34">
        <v>25477.421875</v>
      </c>
      <c r="G43" s="34">
        <v>29355.546875</v>
      </c>
      <c r="H43" s="34">
        <v>43267.65625</v>
      </c>
      <c r="I43" s="34">
        <v>36755.859375</v>
      </c>
      <c r="J43" s="34">
        <v>31913.515625</v>
      </c>
      <c r="K43" s="34">
        <v>42569.0625</v>
      </c>
      <c r="L43" s="34">
        <v>30356.953125</v>
      </c>
      <c r="M43" s="34">
        <v>37619.140625</v>
      </c>
      <c r="N43" s="34">
        <v>40279.375</v>
      </c>
      <c r="P43" s="34">
        <v>98885.524999999994</v>
      </c>
      <c r="Q43" s="34">
        <v>98100.625</v>
      </c>
      <c r="R43" s="34">
        <v>111238.4375</v>
      </c>
      <c r="S43" s="34">
        <v>108255.46875</v>
      </c>
      <c r="U43" s="34">
        <v>416480.05625000002</v>
      </c>
    </row>
    <row r="44" spans="2:21" ht="15" customHeight="1" x14ac:dyDescent="0.2">
      <c r="B44" s="24" t="s">
        <v>74</v>
      </c>
      <c r="C44" s="54">
        <v>104331.29062499999</v>
      </c>
      <c r="D44" s="54">
        <v>106507.0625</v>
      </c>
      <c r="E44" s="54">
        <v>134398.77187500001</v>
      </c>
      <c r="F44" s="54">
        <v>103525.421875</v>
      </c>
      <c r="G44" s="54">
        <v>134097.546875</v>
      </c>
      <c r="H44" s="54">
        <v>138901.65625</v>
      </c>
      <c r="I44" s="54">
        <v>127835.859375</v>
      </c>
      <c r="J44" s="54">
        <v>140381.515625</v>
      </c>
      <c r="K44" s="54">
        <v>136889.0625</v>
      </c>
      <c r="L44" s="54">
        <v>144880.15312500001</v>
      </c>
      <c r="M44" s="54">
        <v>146936.74062500001</v>
      </c>
      <c r="N44" s="54">
        <v>149596.97500000001</v>
      </c>
      <c r="P44" s="54">
        <v>345237.125</v>
      </c>
      <c r="Q44" s="54">
        <v>376524.625</v>
      </c>
      <c r="R44" s="54">
        <v>405106.4375</v>
      </c>
      <c r="S44" s="54">
        <v>441413.86875000002</v>
      </c>
      <c r="U44" s="54">
        <v>1568282.0562499999</v>
      </c>
    </row>
    <row r="46" spans="2:21" ht="15" customHeight="1" x14ac:dyDescent="0.2">
      <c r="B46" s="24" t="s">
        <v>82</v>
      </c>
      <c r="C46" s="39">
        <v>308768.70937499998</v>
      </c>
      <c r="D46" s="39">
        <v>307312.9375</v>
      </c>
      <c r="E46" s="39">
        <v>344761.22812500002</v>
      </c>
      <c r="F46" s="39">
        <v>310294.578125</v>
      </c>
      <c r="G46" s="39">
        <v>415352.453125</v>
      </c>
      <c r="H46" s="39">
        <v>360598.34375</v>
      </c>
      <c r="I46" s="39">
        <v>346689.140625</v>
      </c>
      <c r="J46" s="39">
        <v>433818.484375</v>
      </c>
      <c r="K46" s="39">
        <v>359010.9375</v>
      </c>
      <c r="L46" s="39">
        <v>446689.84687499999</v>
      </c>
      <c r="M46" s="39">
        <v>416463.25937500002</v>
      </c>
      <c r="N46" s="39">
        <v>413803.02500000002</v>
      </c>
      <c r="P46" s="39">
        <v>960842.875</v>
      </c>
      <c r="Q46" s="39">
        <v>1086245.375</v>
      </c>
      <c r="R46" s="39">
        <v>1139518.5625</v>
      </c>
      <c r="S46" s="39">
        <v>1276956.1312500001</v>
      </c>
      <c r="U46" s="39">
        <v>4463562.9437499996</v>
      </c>
    </row>
    <row r="47" spans="2:21" ht="15" customHeight="1" x14ac:dyDescent="0.2">
      <c r="B47" s="24" t="s">
        <v>83</v>
      </c>
      <c r="C47" s="55">
        <v>0.74744301470588226</v>
      </c>
      <c r="D47" s="55">
        <v>0.74262466168865693</v>
      </c>
      <c r="E47" s="55">
        <v>0.71951170407588283</v>
      </c>
      <c r="F47" s="55">
        <v>0.74982982486346716</v>
      </c>
      <c r="G47" s="55">
        <v>0.75594222062972061</v>
      </c>
      <c r="H47" s="55">
        <v>0.72191860610610614</v>
      </c>
      <c r="I47" s="55">
        <v>0.73060247747747753</v>
      </c>
      <c r="J47" s="55">
        <v>0.75551808494427031</v>
      </c>
      <c r="K47" s="55">
        <v>0.72395833333333337</v>
      </c>
      <c r="L47" s="55">
        <v>0.75509212244535728</v>
      </c>
      <c r="M47" s="55">
        <v>0.73919641351615195</v>
      </c>
      <c r="N47" s="55">
        <v>0.7344746627618034</v>
      </c>
      <c r="P47" s="55">
        <v>0.73566923542202622</v>
      </c>
      <c r="Q47" s="55">
        <v>0.74259478591986439</v>
      </c>
      <c r="R47" s="55">
        <v>0.73773152868819292</v>
      </c>
      <c r="S47" s="55">
        <v>0.74312059175264933</v>
      </c>
      <c r="U47" s="55">
        <v>0.73999960936496212</v>
      </c>
    </row>
    <row r="48" spans="2:21" ht="15" customHeight="1" x14ac:dyDescent="0.2">
      <c r="C48" s="55"/>
    </row>
    <row r="49" spans="2:21" ht="15" customHeight="1" x14ac:dyDescent="0.2">
      <c r="B49" s="24" t="s">
        <v>78</v>
      </c>
    </row>
    <row r="50" spans="2:21" ht="15" customHeight="1" x14ac:dyDescent="0.2">
      <c r="B50" s="25" t="s">
        <v>79</v>
      </c>
      <c r="C50" s="35">
        <v>126535.5</v>
      </c>
      <c r="D50" s="35">
        <v>126360</v>
      </c>
      <c r="E50" s="35">
        <v>145314</v>
      </c>
      <c r="F50" s="35">
        <v>126360</v>
      </c>
      <c r="G50" s="35">
        <v>168187.5</v>
      </c>
      <c r="H50" s="35">
        <v>153562.5</v>
      </c>
      <c r="I50" s="35">
        <v>146250</v>
      </c>
      <c r="J50" s="35">
        <v>174915</v>
      </c>
      <c r="K50" s="35">
        <v>152100</v>
      </c>
      <c r="L50" s="35">
        <v>182754</v>
      </c>
      <c r="M50" s="35">
        <v>174447</v>
      </c>
      <c r="N50" s="35">
        <v>174447</v>
      </c>
      <c r="P50" s="35">
        <v>398209.5</v>
      </c>
      <c r="Q50" s="35">
        <v>448110</v>
      </c>
      <c r="R50" s="35">
        <v>473265</v>
      </c>
      <c r="S50" s="35">
        <v>531648</v>
      </c>
      <c r="U50" s="35">
        <v>1851232.5</v>
      </c>
    </row>
    <row r="51" spans="2:21" ht="15" customHeight="1" x14ac:dyDescent="0.2">
      <c r="B51" s="33" t="s">
        <v>80</v>
      </c>
      <c r="C51" s="34">
        <v>85942.96875</v>
      </c>
      <c r="D51" s="34">
        <v>94863.541666666657</v>
      </c>
      <c r="E51" s="34">
        <v>148811.90625</v>
      </c>
      <c r="F51" s="34">
        <v>84924.739583333328</v>
      </c>
      <c r="G51" s="34">
        <v>97851.822916666657</v>
      </c>
      <c r="H51" s="34">
        <v>144225.52083333331</v>
      </c>
      <c r="I51" s="34">
        <v>122519.53125</v>
      </c>
      <c r="J51" s="34">
        <v>106378.38541666666</v>
      </c>
      <c r="K51" s="34">
        <v>141896.875</v>
      </c>
      <c r="L51" s="34">
        <v>101189.84375</v>
      </c>
      <c r="M51" s="34">
        <v>125397.13541666666</v>
      </c>
      <c r="N51" s="34">
        <v>134264.58333333331</v>
      </c>
      <c r="P51" s="34">
        <v>329618.41666666663</v>
      </c>
      <c r="Q51" s="34">
        <v>327002.08333333331</v>
      </c>
      <c r="R51" s="34">
        <v>370794.79166666663</v>
      </c>
      <c r="S51" s="34">
        <v>360851.5625</v>
      </c>
      <c r="U51" s="34">
        <v>1388266.8541666665</v>
      </c>
    </row>
    <row r="52" spans="2:21" ht="15" customHeight="1" x14ac:dyDescent="0.2">
      <c r="B52" s="24" t="s">
        <v>74</v>
      </c>
      <c r="C52" s="54">
        <v>212478.46875</v>
      </c>
      <c r="D52" s="54">
        <v>221223.54166666666</v>
      </c>
      <c r="E52" s="54">
        <v>294125.90625</v>
      </c>
      <c r="F52" s="54">
        <v>211284.73958333331</v>
      </c>
      <c r="G52" s="54">
        <v>266039.32291666663</v>
      </c>
      <c r="H52" s="54">
        <v>297788.02083333331</v>
      </c>
      <c r="I52" s="54">
        <v>268769.53125</v>
      </c>
      <c r="J52" s="54">
        <v>281293.38541666663</v>
      </c>
      <c r="K52" s="54">
        <v>293996.875</v>
      </c>
      <c r="L52" s="54">
        <v>283943.84375</v>
      </c>
      <c r="M52" s="54">
        <v>299844.13541666663</v>
      </c>
      <c r="N52" s="54">
        <v>308711.58333333331</v>
      </c>
      <c r="P52" s="54">
        <v>727827.91666666663</v>
      </c>
      <c r="Q52" s="54">
        <v>775112.08333333326</v>
      </c>
      <c r="R52" s="54">
        <v>844059.79166666663</v>
      </c>
      <c r="S52" s="54">
        <v>892499.5625</v>
      </c>
      <c r="U52" s="54">
        <v>3239499.3541666665</v>
      </c>
    </row>
    <row r="54" spans="2:21" ht="15" customHeight="1" x14ac:dyDescent="0.2">
      <c r="B54" s="24" t="s">
        <v>87</v>
      </c>
      <c r="C54" s="39">
        <v>96290.240624999977</v>
      </c>
      <c r="D54" s="39">
        <v>86089.395833333343</v>
      </c>
      <c r="E54" s="39">
        <v>50635.321875000023</v>
      </c>
      <c r="F54" s="39">
        <v>99009.838541666686</v>
      </c>
      <c r="G54" s="39">
        <v>149313.13020833337</v>
      </c>
      <c r="H54" s="39">
        <v>62810.322916666686</v>
      </c>
      <c r="I54" s="39">
        <v>77919.609375</v>
      </c>
      <c r="J54" s="39">
        <v>152525.09895833337</v>
      </c>
      <c r="K54" s="39">
        <v>65014.0625</v>
      </c>
      <c r="L54" s="39">
        <v>162746.00312499999</v>
      </c>
      <c r="M54" s="39">
        <v>116619.1239583334</v>
      </c>
      <c r="N54" s="39">
        <v>105091.44166666671</v>
      </c>
      <c r="P54" s="39">
        <v>233014.95833333337</v>
      </c>
      <c r="Q54" s="39">
        <v>311133.29166666674</v>
      </c>
      <c r="R54" s="39">
        <v>295458.77083333337</v>
      </c>
      <c r="S54" s="39">
        <v>384456.56875000009</v>
      </c>
      <c r="U54" s="39">
        <v>1224063.5895833331</v>
      </c>
    </row>
    <row r="55" spans="2:21" ht="15" customHeight="1" x14ac:dyDescent="0.2">
      <c r="B55" s="24" t="s">
        <v>88</v>
      </c>
      <c r="C55" s="55">
        <v>0.23309184368191715</v>
      </c>
      <c r="D55" s="55">
        <v>0.20803585093357824</v>
      </c>
      <c r="E55" s="55">
        <v>0.10567518548084152</v>
      </c>
      <c r="F55" s="55">
        <v>0.23925822469108957</v>
      </c>
      <c r="G55" s="55">
        <v>0.27175016872933544</v>
      </c>
      <c r="H55" s="55">
        <v>0.12574639222555892</v>
      </c>
      <c r="I55" s="55">
        <v>0.16420548838311996</v>
      </c>
      <c r="J55" s="55">
        <v>0.26563061469580873</v>
      </c>
      <c r="K55" s="55">
        <v>0.13110317100221819</v>
      </c>
      <c r="L55" s="55">
        <v>0.27510861457646602</v>
      </c>
      <c r="M55" s="55">
        <v>0.20699170031653069</v>
      </c>
      <c r="N55" s="55">
        <v>0.18653078038102008</v>
      </c>
      <c r="P55" s="55">
        <v>0.17840787572991959</v>
      </c>
      <c r="Q55" s="55">
        <v>0.21270144429176613</v>
      </c>
      <c r="R55" s="55">
        <v>0.19128187801785765</v>
      </c>
      <c r="S55" s="55">
        <v>0.22373328721404592</v>
      </c>
      <c r="U55" s="55">
        <v>0.20293352856105107</v>
      </c>
    </row>
    <row r="56" spans="2:21" ht="15" customHeight="1" x14ac:dyDescent="0.2">
      <c r="U56" s="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0FD95-415A-4F92-BCA1-3DE800236FA9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B057-1EA3-4679-AB11-C8978BB1EA40}">
  <dimension ref="B2:T62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14" width="10.7109375" customWidth="1"/>
    <col min="16" max="16" width="10.7109375" style="9" customWidth="1"/>
    <col min="19" max="19" width="8.7109375" style="9" customWidth="1"/>
  </cols>
  <sheetData>
    <row r="2" spans="2:20" x14ac:dyDescent="0.2">
      <c r="C2" s="63" t="s">
        <v>99</v>
      </c>
      <c r="D2" s="63" t="s">
        <v>99</v>
      </c>
      <c r="E2" s="63" t="s">
        <v>99</v>
      </c>
      <c r="F2" s="64" t="s">
        <v>100</v>
      </c>
      <c r="G2" s="64" t="s">
        <v>100</v>
      </c>
      <c r="H2" s="64" t="s">
        <v>100</v>
      </c>
      <c r="I2" s="64" t="s">
        <v>100</v>
      </c>
      <c r="J2" s="64" t="s">
        <v>100</v>
      </c>
      <c r="K2" s="64" t="s">
        <v>100</v>
      </c>
      <c r="L2" s="64" t="s">
        <v>100</v>
      </c>
      <c r="M2" s="64" t="s">
        <v>100</v>
      </c>
      <c r="N2" s="64" t="s">
        <v>100</v>
      </c>
    </row>
    <row r="3" spans="2:20" x14ac:dyDescent="0.2">
      <c r="B3" s="1" t="s">
        <v>0</v>
      </c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7" t="s">
        <v>8</v>
      </c>
      <c r="S3" s="53" t="s">
        <v>91</v>
      </c>
    </row>
    <row r="4" spans="2:20" x14ac:dyDescent="0.2">
      <c r="B4" t="s">
        <v>9</v>
      </c>
      <c r="C4" s="2">
        <f>NETWORKDAYS(C3,EOMONTH(C3,0)+1,$P$4:$P$26)*8</f>
        <v>168</v>
      </c>
      <c r="D4" s="2">
        <f t="shared" ref="D4:N4" si="1">NETWORKDAYS(D3,EOMONTH(D3,0)+1,$P$4:$P$26)*8</f>
        <v>160</v>
      </c>
      <c r="E4" s="2">
        <f t="shared" si="1"/>
        <v>184</v>
      </c>
      <c r="F4" s="2">
        <f t="shared" si="1"/>
        <v>160</v>
      </c>
      <c r="G4" s="2">
        <f t="shared" si="1"/>
        <v>184</v>
      </c>
      <c r="H4" s="2">
        <f t="shared" si="1"/>
        <v>168</v>
      </c>
      <c r="I4" s="2">
        <f t="shared" si="1"/>
        <v>160</v>
      </c>
      <c r="J4" s="2">
        <f t="shared" si="1"/>
        <v>184</v>
      </c>
      <c r="K4" s="2">
        <f t="shared" si="1"/>
        <v>160</v>
      </c>
      <c r="L4" s="2">
        <f t="shared" si="1"/>
        <v>176</v>
      </c>
      <c r="M4" s="2">
        <f t="shared" si="1"/>
        <v>168</v>
      </c>
      <c r="N4" s="2">
        <f t="shared" si="1"/>
        <v>168</v>
      </c>
      <c r="P4" s="8">
        <v>44928</v>
      </c>
      <c r="S4" s="52">
        <v>0.09</v>
      </c>
      <c r="T4" t="s">
        <v>89</v>
      </c>
    </row>
    <row r="5" spans="2:20" x14ac:dyDescent="0.2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8">
        <v>44942</v>
      </c>
      <c r="S5" s="52">
        <v>0.13</v>
      </c>
      <c r="T5" t="s">
        <v>90</v>
      </c>
    </row>
    <row r="6" spans="2:20" x14ac:dyDescent="0.2">
      <c r="B6" t="s">
        <v>1</v>
      </c>
      <c r="C6" s="2">
        <v>16</v>
      </c>
      <c r="D6" s="2">
        <v>16</v>
      </c>
      <c r="E6" s="2">
        <v>16</v>
      </c>
      <c r="F6" s="2">
        <v>17</v>
      </c>
      <c r="G6" s="2">
        <v>18</v>
      </c>
      <c r="H6" s="2">
        <v>18</v>
      </c>
      <c r="I6" s="2">
        <v>18</v>
      </c>
      <c r="J6" s="2">
        <v>19</v>
      </c>
      <c r="K6" s="2">
        <v>19</v>
      </c>
      <c r="L6" s="2">
        <v>19</v>
      </c>
      <c r="M6" s="2">
        <v>19</v>
      </c>
      <c r="N6" s="2">
        <v>20</v>
      </c>
      <c r="P6" s="8">
        <v>44977</v>
      </c>
      <c r="S6" s="52">
        <v>1.2500000000000001E-2</v>
      </c>
      <c r="T6" t="s">
        <v>81</v>
      </c>
    </row>
    <row r="7" spans="2:20" x14ac:dyDescent="0.2">
      <c r="B7" t="s">
        <v>2</v>
      </c>
      <c r="C7" s="5">
        <v>225</v>
      </c>
      <c r="D7" s="5">
        <v>225</v>
      </c>
      <c r="E7" s="5">
        <v>225</v>
      </c>
      <c r="F7" s="5">
        <v>235</v>
      </c>
      <c r="G7" s="5">
        <v>235</v>
      </c>
      <c r="H7" s="5">
        <v>235</v>
      </c>
      <c r="I7" s="5">
        <v>235</v>
      </c>
      <c r="J7" s="5">
        <v>235</v>
      </c>
      <c r="K7" s="5">
        <v>235</v>
      </c>
      <c r="L7" s="5">
        <v>235</v>
      </c>
      <c r="M7" s="5">
        <v>235</v>
      </c>
      <c r="N7" s="5">
        <v>235</v>
      </c>
      <c r="P7" s="8">
        <v>45026</v>
      </c>
      <c r="S7" s="57">
        <f>SUMPRODUCT('Prof Svcs - Plan'!C47:N47,'Prof Svcs - Plan'!C44:N44)/SUM('Prof Svcs - Plan'!C44:N44)</f>
        <v>0.73934289786513852</v>
      </c>
      <c r="T7" s="58" t="s">
        <v>92</v>
      </c>
    </row>
    <row r="8" spans="2:20" x14ac:dyDescent="0.2">
      <c r="B8" t="s">
        <v>3</v>
      </c>
      <c r="C8" s="2">
        <f>C6*8</f>
        <v>128</v>
      </c>
      <c r="D8" s="2">
        <f t="shared" ref="D8:N8" si="2">D6*8</f>
        <v>128</v>
      </c>
      <c r="E8" s="2">
        <f t="shared" si="2"/>
        <v>128</v>
      </c>
      <c r="F8" s="2">
        <f t="shared" si="2"/>
        <v>136</v>
      </c>
      <c r="G8" s="2">
        <f t="shared" si="2"/>
        <v>144</v>
      </c>
      <c r="H8" s="2">
        <f t="shared" si="2"/>
        <v>144</v>
      </c>
      <c r="I8" s="2">
        <f t="shared" si="2"/>
        <v>144</v>
      </c>
      <c r="J8" s="2">
        <f t="shared" si="2"/>
        <v>152</v>
      </c>
      <c r="K8" s="2">
        <f t="shared" si="2"/>
        <v>152</v>
      </c>
      <c r="L8" s="2">
        <f t="shared" si="2"/>
        <v>152</v>
      </c>
      <c r="M8" s="2">
        <f t="shared" si="2"/>
        <v>152</v>
      </c>
      <c r="N8" s="2">
        <f t="shared" si="2"/>
        <v>160</v>
      </c>
      <c r="P8" s="8">
        <v>45075</v>
      </c>
    </row>
    <row r="9" spans="2:20" x14ac:dyDescent="0.2">
      <c r="B9" t="s">
        <v>4</v>
      </c>
      <c r="C9" s="6">
        <f>6/8</f>
        <v>0.75</v>
      </c>
      <c r="D9" s="6">
        <f t="shared" ref="D9:N9" si="3">6/8</f>
        <v>0.75</v>
      </c>
      <c r="E9" s="6">
        <f t="shared" si="3"/>
        <v>0.75</v>
      </c>
      <c r="F9" s="6">
        <f t="shared" si="3"/>
        <v>0.75</v>
      </c>
      <c r="G9" s="6">
        <f t="shared" si="3"/>
        <v>0.75</v>
      </c>
      <c r="H9" s="6">
        <f t="shared" si="3"/>
        <v>0.75</v>
      </c>
      <c r="I9" s="6">
        <f t="shared" si="3"/>
        <v>0.75</v>
      </c>
      <c r="J9" s="6">
        <f t="shared" si="3"/>
        <v>0.75</v>
      </c>
      <c r="K9" s="6">
        <f t="shared" si="3"/>
        <v>0.75</v>
      </c>
      <c r="L9" s="6">
        <f t="shared" si="3"/>
        <v>0.75</v>
      </c>
      <c r="M9" s="6">
        <f t="shared" si="3"/>
        <v>0.75</v>
      </c>
      <c r="N9" s="6">
        <f t="shared" si="3"/>
        <v>0.75</v>
      </c>
      <c r="P9" s="8">
        <v>45096</v>
      </c>
      <c r="S9" s="56">
        <f>0.1625*C7</f>
        <v>36.5625</v>
      </c>
      <c r="T9" t="s">
        <v>85</v>
      </c>
    </row>
    <row r="10" spans="2:20" x14ac:dyDescent="0.2">
      <c r="B10" s="51" t="s">
        <v>7</v>
      </c>
      <c r="C10" s="23">
        <f>5/8</f>
        <v>0.625</v>
      </c>
      <c r="D10" s="23">
        <f t="shared" ref="D10:N10" si="4">5/8</f>
        <v>0.625</v>
      </c>
      <c r="E10" s="23">
        <f t="shared" si="4"/>
        <v>0.625</v>
      </c>
      <c r="F10" s="23">
        <f t="shared" si="4"/>
        <v>0.625</v>
      </c>
      <c r="G10" s="23">
        <f t="shared" si="4"/>
        <v>0.625</v>
      </c>
      <c r="H10" s="23">
        <f t="shared" si="4"/>
        <v>0.625</v>
      </c>
      <c r="I10" s="23">
        <f t="shared" si="4"/>
        <v>0.625</v>
      </c>
      <c r="J10" s="23">
        <f t="shared" si="4"/>
        <v>0.625</v>
      </c>
      <c r="K10" s="23">
        <f t="shared" si="4"/>
        <v>0.625</v>
      </c>
      <c r="L10" s="23">
        <f t="shared" si="4"/>
        <v>0.625</v>
      </c>
      <c r="M10" s="23">
        <f t="shared" si="4"/>
        <v>0.625</v>
      </c>
      <c r="N10" s="23">
        <f t="shared" si="4"/>
        <v>0.625</v>
      </c>
      <c r="P10" s="8">
        <v>45110</v>
      </c>
      <c r="S10" s="56">
        <f>0.1625*C14</f>
        <v>51.1875</v>
      </c>
      <c r="T10" t="s">
        <v>84</v>
      </c>
    </row>
    <row r="11" spans="2:20" x14ac:dyDescent="0.2">
      <c r="B11" s="1" t="s">
        <v>75</v>
      </c>
      <c r="C11" s="14">
        <f>((C4*C6)-C8)*C7*C10</f>
        <v>360000</v>
      </c>
      <c r="D11" s="14">
        <f t="shared" ref="D11:N11" si="5">((D4*D6)-D8)*D7*D10</f>
        <v>342000</v>
      </c>
      <c r="E11" s="14">
        <f t="shared" si="5"/>
        <v>396000</v>
      </c>
      <c r="F11" s="14">
        <f t="shared" si="5"/>
        <v>379525</v>
      </c>
      <c r="G11" s="14">
        <f t="shared" si="5"/>
        <v>465300</v>
      </c>
      <c r="H11" s="14">
        <f t="shared" si="5"/>
        <v>423000</v>
      </c>
      <c r="I11" s="14">
        <f t="shared" si="5"/>
        <v>401850</v>
      </c>
      <c r="J11" s="14">
        <f t="shared" si="5"/>
        <v>491150</v>
      </c>
      <c r="K11" s="14">
        <f t="shared" si="5"/>
        <v>424175</v>
      </c>
      <c r="L11" s="14">
        <f t="shared" si="5"/>
        <v>468825</v>
      </c>
      <c r="M11" s="14">
        <f t="shared" si="5"/>
        <v>446500</v>
      </c>
      <c r="N11" s="14">
        <f t="shared" si="5"/>
        <v>470000</v>
      </c>
      <c r="P11" s="8">
        <v>45111</v>
      </c>
      <c r="S11" s="52">
        <f>1/24</f>
        <v>4.1666666666666664E-2</v>
      </c>
      <c r="T11" t="s">
        <v>86</v>
      </c>
    </row>
    <row r="12" spans="2:20" x14ac:dyDescent="0.2">
      <c r="P12" s="8">
        <v>45149</v>
      </c>
      <c r="S12" s="57">
        <f>SUMPRODUCT('Prof Svcs - Plan'!C55:N55,'Prof Svcs - Plan'!C52:N52)/SUM('Prof Svcs - Plan'!C52:N52)</f>
        <v>0.19820568679190623</v>
      </c>
      <c r="T12" s="58" t="s">
        <v>93</v>
      </c>
    </row>
    <row r="13" spans="2:20" x14ac:dyDescent="0.2">
      <c r="B13" t="s">
        <v>5</v>
      </c>
      <c r="C13" s="2">
        <v>5</v>
      </c>
      <c r="D13" s="2">
        <v>5</v>
      </c>
      <c r="E13" s="2">
        <v>5</v>
      </c>
      <c r="F13" s="2">
        <v>6</v>
      </c>
      <c r="G13" s="2">
        <v>6</v>
      </c>
      <c r="H13" s="2">
        <v>6</v>
      </c>
      <c r="I13" s="2">
        <v>6</v>
      </c>
      <c r="J13" s="2">
        <v>6</v>
      </c>
      <c r="K13" s="2">
        <v>6</v>
      </c>
      <c r="L13" s="2">
        <v>7</v>
      </c>
      <c r="M13" s="2">
        <v>7</v>
      </c>
      <c r="N13" s="2">
        <v>7</v>
      </c>
      <c r="P13" s="8">
        <v>45173</v>
      </c>
    </row>
    <row r="14" spans="2:20" x14ac:dyDescent="0.2">
      <c r="B14" t="s">
        <v>6</v>
      </c>
      <c r="C14" s="5">
        <v>315</v>
      </c>
      <c r="D14" s="5">
        <v>315</v>
      </c>
      <c r="E14" s="5">
        <v>315</v>
      </c>
      <c r="F14" s="5">
        <v>325</v>
      </c>
      <c r="G14" s="5">
        <v>325</v>
      </c>
      <c r="H14" s="5">
        <v>325</v>
      </c>
      <c r="I14" s="5">
        <v>325</v>
      </c>
      <c r="J14" s="5">
        <v>325</v>
      </c>
      <c r="K14" s="5">
        <v>325</v>
      </c>
      <c r="L14" s="5">
        <v>325</v>
      </c>
      <c r="M14" s="5">
        <v>325</v>
      </c>
      <c r="N14" s="5">
        <v>325</v>
      </c>
      <c r="P14" s="8">
        <v>45208</v>
      </c>
    </row>
    <row r="15" spans="2:20" x14ac:dyDescent="0.2">
      <c r="B15" t="s">
        <v>3</v>
      </c>
      <c r="C15" s="2">
        <f>C13*8</f>
        <v>40</v>
      </c>
      <c r="D15" s="2">
        <f t="shared" ref="D15:N15" si="6">D13*8</f>
        <v>40</v>
      </c>
      <c r="E15" s="2">
        <f t="shared" si="6"/>
        <v>40</v>
      </c>
      <c r="F15" s="2">
        <f t="shared" si="6"/>
        <v>48</v>
      </c>
      <c r="G15" s="2">
        <f t="shared" si="6"/>
        <v>48</v>
      </c>
      <c r="H15" s="2">
        <f t="shared" si="6"/>
        <v>48</v>
      </c>
      <c r="I15" s="2">
        <f t="shared" si="6"/>
        <v>48</v>
      </c>
      <c r="J15" s="2">
        <f t="shared" si="6"/>
        <v>48</v>
      </c>
      <c r="K15" s="2">
        <f t="shared" si="6"/>
        <v>48</v>
      </c>
      <c r="L15" s="2">
        <f t="shared" si="6"/>
        <v>56</v>
      </c>
      <c r="M15" s="2">
        <f t="shared" si="6"/>
        <v>56</v>
      </c>
      <c r="N15" s="2">
        <f t="shared" si="6"/>
        <v>56</v>
      </c>
      <c r="P15" s="8">
        <v>45253</v>
      </c>
    </row>
    <row r="16" spans="2:20" x14ac:dyDescent="0.2">
      <c r="B16" s="51" t="s">
        <v>7</v>
      </c>
      <c r="C16" s="23">
        <f>3/8</f>
        <v>0.375</v>
      </c>
      <c r="D16" s="23">
        <f t="shared" ref="D16:N16" si="7">3/8</f>
        <v>0.375</v>
      </c>
      <c r="E16" s="23">
        <f t="shared" si="7"/>
        <v>0.375</v>
      </c>
      <c r="F16" s="23">
        <f t="shared" si="7"/>
        <v>0.375</v>
      </c>
      <c r="G16" s="23">
        <f t="shared" si="7"/>
        <v>0.375</v>
      </c>
      <c r="H16" s="23">
        <f t="shared" si="7"/>
        <v>0.375</v>
      </c>
      <c r="I16" s="23">
        <f t="shared" si="7"/>
        <v>0.375</v>
      </c>
      <c r="J16" s="23">
        <f t="shared" si="7"/>
        <v>0.375</v>
      </c>
      <c r="K16" s="23">
        <f t="shared" si="7"/>
        <v>0.375</v>
      </c>
      <c r="L16" s="23">
        <f t="shared" si="7"/>
        <v>0.375</v>
      </c>
      <c r="M16" s="23">
        <f t="shared" si="7"/>
        <v>0.375</v>
      </c>
      <c r="N16" s="23">
        <f t="shared" si="7"/>
        <v>0.375</v>
      </c>
      <c r="P16" s="8">
        <v>45254</v>
      </c>
    </row>
    <row r="17" spans="2:19" x14ac:dyDescent="0.2">
      <c r="B17" s="1" t="s">
        <v>75</v>
      </c>
      <c r="C17" s="14">
        <f>((C4*C13)-C15)*C14*C16</f>
        <v>94500</v>
      </c>
      <c r="D17" s="14">
        <f t="shared" ref="D17:N17" si="8">((D4*D13)-D15)*D14*D16</f>
        <v>89775</v>
      </c>
      <c r="E17" s="14">
        <f t="shared" si="8"/>
        <v>103950</v>
      </c>
      <c r="F17" s="14">
        <f t="shared" si="8"/>
        <v>111150</v>
      </c>
      <c r="G17" s="14">
        <f t="shared" si="8"/>
        <v>128700</v>
      </c>
      <c r="H17" s="14">
        <f t="shared" si="8"/>
        <v>117000</v>
      </c>
      <c r="I17" s="14">
        <f t="shared" si="8"/>
        <v>111150</v>
      </c>
      <c r="J17" s="14">
        <f t="shared" si="8"/>
        <v>128700</v>
      </c>
      <c r="K17" s="14">
        <f t="shared" si="8"/>
        <v>111150</v>
      </c>
      <c r="L17" s="14">
        <f t="shared" si="8"/>
        <v>143325</v>
      </c>
      <c r="M17" s="14">
        <f t="shared" si="8"/>
        <v>136500</v>
      </c>
      <c r="N17" s="14">
        <f t="shared" si="8"/>
        <v>136500</v>
      </c>
      <c r="P17" s="8">
        <v>45285</v>
      </c>
    </row>
    <row r="19" spans="2:19" x14ac:dyDescent="0.2">
      <c r="B19" s="1" t="s">
        <v>17</v>
      </c>
    </row>
    <row r="20" spans="2:19" x14ac:dyDescent="0.2">
      <c r="B20" t="s">
        <v>10</v>
      </c>
      <c r="C20" s="4">
        <f>SUM(C21:C22)</f>
        <v>918241.81085671578</v>
      </c>
      <c r="D20" s="4">
        <f t="shared" ref="D20:N20" si="9">SUM(D21:D22)</f>
        <v>1098822.1071652398</v>
      </c>
      <c r="E20" s="4">
        <f t="shared" si="9"/>
        <v>1389108.8186953156</v>
      </c>
      <c r="F20" s="4">
        <f t="shared" si="9"/>
        <v>1060457.1162919106</v>
      </c>
      <c r="G20" s="4">
        <f t="shared" si="9"/>
        <v>1080187.977512805</v>
      </c>
      <c r="H20" s="4">
        <f t="shared" si="9"/>
        <v>1449758.253748731</v>
      </c>
      <c r="I20" s="4">
        <f t="shared" si="9"/>
        <v>1270033.6214879407</v>
      </c>
      <c r="J20" s="4">
        <f t="shared" si="9"/>
        <v>1137642.609668985</v>
      </c>
      <c r="K20" s="4">
        <f t="shared" si="9"/>
        <v>1505986.0966062024</v>
      </c>
      <c r="L20" s="4">
        <f t="shared" si="9"/>
        <v>825220.26826456212</v>
      </c>
      <c r="M20" s="4">
        <f t="shared" si="9"/>
        <v>1232003.1532279779</v>
      </c>
      <c r="N20" s="4">
        <f t="shared" si="9"/>
        <v>1753899.7673868714</v>
      </c>
    </row>
    <row r="21" spans="2:19" s="12" customFormat="1" ht="11.25" x14ac:dyDescent="0.2">
      <c r="B21" s="10" t="s">
        <v>11</v>
      </c>
      <c r="C21" s="11">
        <v>622514.35130164481</v>
      </c>
      <c r="D21" s="11">
        <v>935097.23442405579</v>
      </c>
      <c r="E21" s="11">
        <v>1179236.180272124</v>
      </c>
      <c r="F21" s="11">
        <v>777579.95049804996</v>
      </c>
      <c r="G21" s="11">
        <v>753453.09429011669</v>
      </c>
      <c r="H21" s="11">
        <v>1159929.2819288557</v>
      </c>
      <c r="I21" s="11">
        <v>1011896.7065513673</v>
      </c>
      <c r="J21" s="11">
        <v>874189.60777134181</v>
      </c>
      <c r="K21" s="11">
        <v>1000548.9055383139</v>
      </c>
      <c r="L21" s="11">
        <v>766538.84680967382</v>
      </c>
      <c r="M21" s="11">
        <v>1069760.2684737833</v>
      </c>
      <c r="N21" s="11">
        <v>1248360.343877424</v>
      </c>
      <c r="P21" s="13"/>
      <c r="S21" s="60"/>
    </row>
    <row r="22" spans="2:19" s="12" customFormat="1" ht="11.25" x14ac:dyDescent="0.2">
      <c r="B22" s="10" t="s">
        <v>12</v>
      </c>
      <c r="C22" s="11">
        <v>295727.45955507096</v>
      </c>
      <c r="D22" s="11">
        <v>163724.87274118402</v>
      </c>
      <c r="E22" s="11">
        <v>209872.6384231917</v>
      </c>
      <c r="F22" s="11">
        <v>282877.16579386062</v>
      </c>
      <c r="G22" s="11">
        <v>326734.8832226884</v>
      </c>
      <c r="H22" s="11">
        <v>289828.97181987535</v>
      </c>
      <c r="I22" s="11">
        <v>258136.91493657327</v>
      </c>
      <c r="J22" s="11">
        <v>263453.00189764332</v>
      </c>
      <c r="K22" s="11">
        <v>505437.1910678884</v>
      </c>
      <c r="L22" s="11">
        <v>58681.421454888339</v>
      </c>
      <c r="M22" s="11">
        <v>162242.88475419473</v>
      </c>
      <c r="N22" s="11">
        <v>505539.42350944749</v>
      </c>
      <c r="P22" s="13"/>
      <c r="S22" s="13"/>
    </row>
    <row r="23" spans="2:19" x14ac:dyDescent="0.2">
      <c r="B23" t="s">
        <v>13</v>
      </c>
      <c r="C23" s="4">
        <f>SUM(C24:C25)</f>
        <v>721374.25132581848</v>
      </c>
      <c r="D23" s="4">
        <f t="shared" ref="D23:N23" si="10">SUM(D24:D25)</f>
        <v>595242.65474325209</v>
      </c>
      <c r="E23" s="4">
        <f t="shared" si="10"/>
        <v>1249710.3438458135</v>
      </c>
      <c r="F23" s="4">
        <f t="shared" si="10"/>
        <v>708675.28488725773</v>
      </c>
      <c r="G23" s="4">
        <f t="shared" si="10"/>
        <v>903837.01582346321</v>
      </c>
      <c r="H23" s="4">
        <f t="shared" si="10"/>
        <v>1378195.5446574034</v>
      </c>
      <c r="I23" s="4">
        <f t="shared" si="10"/>
        <v>1037250.3520580088</v>
      </c>
      <c r="J23" s="4">
        <f t="shared" si="10"/>
        <v>767663.40366682317</v>
      </c>
      <c r="K23" s="4">
        <f t="shared" si="10"/>
        <v>1064955.3437205083</v>
      </c>
      <c r="L23" s="4">
        <f t="shared" si="10"/>
        <v>978466.69816156151</v>
      </c>
      <c r="M23" s="4">
        <f t="shared" si="10"/>
        <v>1432889.9008914893</v>
      </c>
      <c r="N23" s="4">
        <f t="shared" si="10"/>
        <v>944729.99244707869</v>
      </c>
    </row>
    <row r="24" spans="2:19" s="12" customFormat="1" ht="11.25" x14ac:dyDescent="0.2">
      <c r="B24" s="10" t="s">
        <v>11</v>
      </c>
      <c r="C24" s="11">
        <v>280387.13024097512</v>
      </c>
      <c r="D24" s="11">
        <v>371671.55899892846</v>
      </c>
      <c r="E24" s="11">
        <v>506998.66365879396</v>
      </c>
      <c r="F24" s="11">
        <v>513002.39174325723</v>
      </c>
      <c r="G24" s="11">
        <v>588858.86338006426</v>
      </c>
      <c r="H24" s="11">
        <v>1062092.8353568551</v>
      </c>
      <c r="I24" s="11">
        <v>792710.35184878763</v>
      </c>
      <c r="J24" s="11">
        <v>683730.56914685224</v>
      </c>
      <c r="K24" s="11">
        <v>798742.06590077106</v>
      </c>
      <c r="L24" s="11">
        <v>699678.83003006235</v>
      </c>
      <c r="M24" s="11">
        <v>1139585.0260586068</v>
      </c>
      <c r="N24" s="11">
        <v>650505.02564016473</v>
      </c>
      <c r="P24" s="13"/>
      <c r="S24" s="13"/>
    </row>
    <row r="25" spans="2:19" s="12" customFormat="1" ht="11.25" x14ac:dyDescent="0.2">
      <c r="B25" s="10" t="s">
        <v>12</v>
      </c>
      <c r="C25" s="11">
        <v>440987.1210848433</v>
      </c>
      <c r="D25" s="11">
        <v>223571.0957443236</v>
      </c>
      <c r="E25" s="11">
        <v>742711.68018701964</v>
      </c>
      <c r="F25" s="11">
        <v>195672.89314400047</v>
      </c>
      <c r="G25" s="11">
        <v>314978.1524433989</v>
      </c>
      <c r="H25" s="11">
        <v>316102.7093005483</v>
      </c>
      <c r="I25" s="11">
        <v>244540.00020922109</v>
      </c>
      <c r="J25" s="11">
        <v>83932.834519970944</v>
      </c>
      <c r="K25" s="11">
        <v>266213.27781973733</v>
      </c>
      <c r="L25" s="11">
        <v>278787.8681314991</v>
      </c>
      <c r="M25" s="11">
        <v>293304.87483288266</v>
      </c>
      <c r="N25" s="11">
        <v>294224.96680691402</v>
      </c>
      <c r="P25" s="13"/>
      <c r="S25" s="13"/>
    </row>
    <row r="26" spans="2:19" x14ac:dyDescent="0.2">
      <c r="B26" s="16" t="s">
        <v>14</v>
      </c>
      <c r="C26" s="15">
        <v>198666.7339566247</v>
      </c>
      <c r="D26" s="15">
        <v>335025.21674858825</v>
      </c>
      <c r="E26" s="15">
        <v>544202.91708709358</v>
      </c>
      <c r="F26" s="15">
        <v>191992.52524787508</v>
      </c>
      <c r="G26" s="15">
        <v>275618.66244316887</v>
      </c>
      <c r="H26" s="15">
        <v>502574.68270423537</v>
      </c>
      <c r="I26" s="15">
        <v>521998.84660045261</v>
      </c>
      <c r="J26" s="15">
        <v>551237.32488633774</v>
      </c>
      <c r="K26" s="15">
        <v>705812.77652360452</v>
      </c>
      <c r="L26" s="15">
        <v>533039.95028882893</v>
      </c>
      <c r="M26" s="15">
        <v>230840.85304030988</v>
      </c>
      <c r="N26" s="15">
        <v>401875.72776858194</v>
      </c>
    </row>
    <row r="27" spans="2:19" x14ac:dyDescent="0.2">
      <c r="B27" s="1" t="s">
        <v>15</v>
      </c>
      <c r="C27" s="14">
        <f>C20+C23+C26</f>
        <v>1838282.796139159</v>
      </c>
      <c r="D27" s="14">
        <f t="shared" ref="D27:N27" si="11">D20+D23+D26</f>
        <v>2029089.9786570801</v>
      </c>
      <c r="E27" s="14">
        <f t="shared" si="11"/>
        <v>3183022.0796282226</v>
      </c>
      <c r="F27" s="14">
        <f t="shared" si="11"/>
        <v>1961124.9264270435</v>
      </c>
      <c r="G27" s="14">
        <f t="shared" si="11"/>
        <v>2259643.6557794372</v>
      </c>
      <c r="H27" s="14">
        <f t="shared" si="11"/>
        <v>3330528.4811103698</v>
      </c>
      <c r="I27" s="14">
        <f t="shared" si="11"/>
        <v>2829282.8201464019</v>
      </c>
      <c r="J27" s="14">
        <f t="shared" si="11"/>
        <v>2456543.338222146</v>
      </c>
      <c r="K27" s="14">
        <f t="shared" si="11"/>
        <v>3276754.2168503152</v>
      </c>
      <c r="L27" s="14">
        <f t="shared" si="11"/>
        <v>2336726.9167149523</v>
      </c>
      <c r="M27" s="14">
        <f t="shared" si="11"/>
        <v>2895733.9071597774</v>
      </c>
      <c r="N27" s="14">
        <f t="shared" si="11"/>
        <v>3100505.4876025319</v>
      </c>
    </row>
    <row r="29" spans="2:19" x14ac:dyDescent="0.2">
      <c r="B29" s="1" t="s">
        <v>16</v>
      </c>
    </row>
    <row r="30" spans="2:19" x14ac:dyDescent="0.2">
      <c r="B30" s="17" t="s">
        <v>10</v>
      </c>
      <c r="C30" s="6">
        <v>6.7393931455971043E-2</v>
      </c>
      <c r="D30" s="6">
        <v>0.14484668328968767</v>
      </c>
      <c r="E30" s="6">
        <v>0.11567215284129743</v>
      </c>
      <c r="F30" s="6">
        <v>0.1462793629016185</v>
      </c>
      <c r="G30" s="6">
        <v>0.11740251602634331</v>
      </c>
      <c r="H30" s="6">
        <v>0.20384898186803421</v>
      </c>
      <c r="I30" s="6">
        <v>0.12675550059165933</v>
      </c>
      <c r="J30" s="6">
        <v>0.17077228679600875</v>
      </c>
      <c r="K30" s="6">
        <v>0.19781124572277028</v>
      </c>
      <c r="L30" s="6">
        <v>0.33258751868872005</v>
      </c>
      <c r="M30" s="6">
        <v>0.17732830917255957</v>
      </c>
      <c r="N30" s="6">
        <v>0.20561240301531233</v>
      </c>
    </row>
    <row r="31" spans="2:19" x14ac:dyDescent="0.2">
      <c r="B31" s="18" t="s">
        <v>11</v>
      </c>
      <c r="C31" s="22">
        <v>8.269779157262673E-2</v>
      </c>
      <c r="D31" s="22">
        <v>0.14520413222718045</v>
      </c>
      <c r="E31" s="22">
        <v>0.13561154879632886</v>
      </c>
      <c r="F31" s="22">
        <v>0.17832635139258812</v>
      </c>
      <c r="G31" s="22">
        <v>0.13885500252245264</v>
      </c>
      <c r="H31" s="22">
        <v>0.18952940132167459</v>
      </c>
      <c r="I31" s="22">
        <v>0.13185705933438946</v>
      </c>
      <c r="J31" s="22">
        <v>0.17459490622063628</v>
      </c>
      <c r="K31" s="22">
        <v>0.25025408643068464</v>
      </c>
      <c r="L31" s="22">
        <v>0.25312276989029103</v>
      </c>
      <c r="M31" s="22">
        <v>0.17053504999123692</v>
      </c>
      <c r="N31" s="22">
        <v>0.23583693040225787</v>
      </c>
    </row>
    <row r="32" spans="2:19" x14ac:dyDescent="0.2">
      <c r="B32" s="18" t="s">
        <v>12</v>
      </c>
      <c r="C32" s="22">
        <v>3.5178889378835419E-2</v>
      </c>
      <c r="D32" s="22">
        <v>0.14280515161950749</v>
      </c>
      <c r="E32" s="22">
        <v>4.5604790246004716E-2</v>
      </c>
      <c r="F32" s="22">
        <v>5.8187785575158441E-2</v>
      </c>
      <c r="G32" s="22">
        <v>6.7932921071297683E-2</v>
      </c>
      <c r="H32" s="22">
        <v>0.26115761004404708</v>
      </c>
      <c r="I32" s="22">
        <v>0.10675739032015726</v>
      </c>
      <c r="J32" s="22">
        <v>0.15808807309791389</v>
      </c>
      <c r="K32" s="22">
        <v>9.3996908746969934E-2</v>
      </c>
      <c r="L32" s="22">
        <v>1.3706131049093142</v>
      </c>
      <c r="M32" s="22">
        <v>0.22212015799005139</v>
      </c>
      <c r="N32" s="22">
        <v>0.13097707360742727</v>
      </c>
    </row>
    <row r="33" spans="2:14" x14ac:dyDescent="0.2">
      <c r="B33" s="17" t="s">
        <v>13</v>
      </c>
      <c r="C33" s="6">
        <v>0.17841142091049092</v>
      </c>
      <c r="D33" s="6">
        <v>0.16576614011777902</v>
      </c>
      <c r="E33" s="6">
        <v>8.7735600019642646E-2</v>
      </c>
      <c r="F33" s="6">
        <v>0.19496123355955849</v>
      </c>
      <c r="G33" s="6">
        <v>0.12927223517600184</v>
      </c>
      <c r="H33" s="6">
        <v>0.12033628224965125</v>
      </c>
      <c r="I33" s="6">
        <v>0.12118049769423624</v>
      </c>
      <c r="J33" s="6">
        <v>9.4538332549951906E-2</v>
      </c>
      <c r="K33" s="6">
        <v>0.16041499448777996</v>
      </c>
      <c r="L33" s="6">
        <v>0.11049149223598738</v>
      </c>
      <c r="M33" s="6">
        <v>9.8512058859721238E-2</v>
      </c>
      <c r="N33" s="6">
        <v>0.16380225226010331</v>
      </c>
    </row>
    <row r="34" spans="2:14" x14ac:dyDescent="0.2">
      <c r="B34" s="18" t="s">
        <v>11</v>
      </c>
      <c r="C34" s="22">
        <v>0.25513485939404251</v>
      </c>
      <c r="D34" s="22">
        <v>0.13216248357945287</v>
      </c>
      <c r="E34" s="22">
        <v>0.1076882767868082</v>
      </c>
      <c r="F34" s="22">
        <v>0.15435124114687773</v>
      </c>
      <c r="G34" s="22">
        <v>0.11540937166472348</v>
      </c>
      <c r="H34" s="22">
        <v>9.0990282613901921E-2</v>
      </c>
      <c r="I34" s="22">
        <v>0.10240525647455437</v>
      </c>
      <c r="J34" s="22">
        <v>4.614145810641769E-2</v>
      </c>
      <c r="K34" s="22">
        <v>0.1553360702956525</v>
      </c>
      <c r="L34" s="22">
        <v>0.10728859254871663</v>
      </c>
      <c r="M34" s="22">
        <v>9.4760413813254091E-2</v>
      </c>
      <c r="N34" s="22">
        <v>0.16792263506510405</v>
      </c>
    </row>
    <row r="35" spans="2:14" x14ac:dyDescent="0.2">
      <c r="B35" s="18" t="s">
        <v>12</v>
      </c>
      <c r="C35" s="22">
        <v>0.12962935061850114</v>
      </c>
      <c r="D35" s="22">
        <v>0.22162990628166296</v>
      </c>
      <c r="E35" s="22">
        <v>7.1151099980620497E-2</v>
      </c>
      <c r="F35" s="22">
        <v>0.30142985525591814</v>
      </c>
      <c r="G35" s="22">
        <v>0.15518917572289023</v>
      </c>
      <c r="H35" s="22">
        <v>0.21893770211245839</v>
      </c>
      <c r="I35" s="22">
        <v>0.18204304803596411</v>
      </c>
      <c r="J35" s="22">
        <v>0.48878717089143386</v>
      </c>
      <c r="K35" s="22">
        <v>0.17565371749587982</v>
      </c>
      <c r="L35" s="22">
        <v>0.11852986607525422</v>
      </c>
      <c r="M35" s="22">
        <v>0.11308842251708248</v>
      </c>
      <c r="N35" s="22">
        <v>0.15469245525238268</v>
      </c>
    </row>
    <row r="36" spans="2:14" x14ac:dyDescent="0.2">
      <c r="B36" s="20" t="s">
        <v>14</v>
      </c>
      <c r="C36" s="23">
        <v>0.15169917201438265</v>
      </c>
      <c r="D36" s="23">
        <v>3.1052479234059648E-2</v>
      </c>
      <c r="E36" s="23">
        <v>0.13756140402794095</v>
      </c>
      <c r="F36" s="23">
        <v>0.19289808628569899</v>
      </c>
      <c r="G36" s="23">
        <v>0.29362421360352814</v>
      </c>
      <c r="H36" s="23">
        <v>0.20370342944125933</v>
      </c>
      <c r="I36" s="23">
        <v>6.3543024716316024E-2</v>
      </c>
      <c r="J36" s="23">
        <v>0.11695201728276121</v>
      </c>
      <c r="K36" s="23">
        <v>0.10441280328015808</v>
      </c>
      <c r="L36" s="23">
        <v>0.1948682263338565</v>
      </c>
      <c r="M36" s="23">
        <v>0.23822191395150702</v>
      </c>
      <c r="N36" s="23">
        <v>0.15173049442597039</v>
      </c>
    </row>
    <row r="37" spans="2:14" x14ac:dyDescent="0.2">
      <c r="B37" s="19" t="s">
        <v>15</v>
      </c>
      <c r="C37" s="21">
        <v>9.9549306149495281E-2</v>
      </c>
      <c r="D37" s="21">
        <v>0.10960177195157539</v>
      </c>
      <c r="E37" s="21">
        <v>8.7049858779637571E-2</v>
      </c>
      <c r="F37" s="21">
        <v>0.13964829458312192</v>
      </c>
      <c r="G37" s="21">
        <v>0.11909489594017039</v>
      </c>
      <c r="H37" s="21">
        <v>0.1403396189289258</v>
      </c>
      <c r="I37" s="21">
        <v>9.3728128359109347E-2</v>
      </c>
      <c r="J37" s="21">
        <v>0.11182169263736468</v>
      </c>
      <c r="K37" s="21">
        <v>0.13724746376650401</v>
      </c>
      <c r="L37" s="21">
        <v>0.17259448997409876</v>
      </c>
      <c r="M37" s="21">
        <v>0.11871126583876601</v>
      </c>
      <c r="N37" s="21">
        <v>0.15411906819048526</v>
      </c>
    </row>
    <row r="39" spans="2:14" x14ac:dyDescent="0.2">
      <c r="B39" s="1" t="s">
        <v>18</v>
      </c>
    </row>
    <row r="40" spans="2:14" x14ac:dyDescent="0.2">
      <c r="B40" t="s">
        <v>10</v>
      </c>
      <c r="C40" s="4">
        <f>SUM(C41:C42)</f>
        <v>61883.925660884226</v>
      </c>
      <c r="D40" s="4">
        <f t="shared" ref="D40:N40" si="12">SUM(D41:D42)</f>
        <v>159160.73774827071</v>
      </c>
      <c r="E40" s="4">
        <f t="shared" si="12"/>
        <v>169489.24245703485</v>
      </c>
      <c r="F40" s="4">
        <f t="shared" si="12"/>
        <v>155122.99135566823</v>
      </c>
      <c r="G40" s="4">
        <f t="shared" si="12"/>
        <v>126816.78634141046</v>
      </c>
      <c r="H40" s="4">
        <f t="shared" si="12"/>
        <v>295531.74398145801</v>
      </c>
      <c r="I40" s="4">
        <f t="shared" si="12"/>
        <v>160983.74745994189</v>
      </c>
      <c r="J40" s="4">
        <f t="shared" si="12"/>
        <v>194277.83000975172</v>
      </c>
      <c r="K40" s="4">
        <f t="shared" si="12"/>
        <v>297900.98581084528</v>
      </c>
      <c r="L40" s="4">
        <f t="shared" si="12"/>
        <v>274457.96139375068</v>
      </c>
      <c r="M40" s="4">
        <f t="shared" si="12"/>
        <v>218469.0360571791</v>
      </c>
      <c r="N40" s="4">
        <f t="shared" si="12"/>
        <v>360623.54582041199</v>
      </c>
    </row>
    <row r="41" spans="2:14" x14ac:dyDescent="0.2">
      <c r="B41" s="10" t="s">
        <v>11</v>
      </c>
      <c r="C41" s="11">
        <f>C21*C31</f>
        <v>51480.562074912355</v>
      </c>
      <c r="D41" s="11">
        <f t="shared" ref="D41:N42" si="13">D21*D31</f>
        <v>135779.98247258135</v>
      </c>
      <c r="E41" s="11">
        <f t="shared" si="13"/>
        <v>159918.04480336962</v>
      </c>
      <c r="F41" s="11">
        <f t="shared" si="13"/>
        <v>138662.99548834653</v>
      </c>
      <c r="G41" s="11">
        <f t="shared" si="13"/>
        <v>104620.7313082039</v>
      </c>
      <c r="H41" s="11">
        <f t="shared" si="13"/>
        <v>219840.70237945591</v>
      </c>
      <c r="I41" s="11">
        <f t="shared" si="13"/>
        <v>133425.72407601692</v>
      </c>
      <c r="J41" s="11">
        <f t="shared" si="13"/>
        <v>152629.05258789225</v>
      </c>
      <c r="K41" s="11">
        <f t="shared" si="13"/>
        <v>250391.45228471214</v>
      </c>
      <c r="L41" s="11">
        <f t="shared" si="13"/>
        <v>194028.43613297411</v>
      </c>
      <c r="M41" s="11">
        <f t="shared" si="13"/>
        <v>182431.62086281565</v>
      </c>
      <c r="N41" s="11">
        <f t="shared" si="13"/>
        <v>294409.47153595876</v>
      </c>
    </row>
    <row r="42" spans="2:14" x14ac:dyDescent="0.2">
      <c r="B42" s="10" t="s">
        <v>12</v>
      </c>
      <c r="C42" s="11">
        <f>C22*C32</f>
        <v>10403.363585971867</v>
      </c>
      <c r="D42" s="11">
        <f t="shared" si="13"/>
        <v>23380.755275689353</v>
      </c>
      <c r="E42" s="11">
        <f t="shared" si="13"/>
        <v>9571.1976536652473</v>
      </c>
      <c r="F42" s="11">
        <f t="shared" si="13"/>
        <v>16459.995867321704</v>
      </c>
      <c r="G42" s="11">
        <f t="shared" si="13"/>
        <v>22196.055033206558</v>
      </c>
      <c r="H42" s="11">
        <f t="shared" si="13"/>
        <v>75691.041602002122</v>
      </c>
      <c r="I42" s="11">
        <f t="shared" si="13"/>
        <v>27558.023383924985</v>
      </c>
      <c r="J42" s="11">
        <f t="shared" si="13"/>
        <v>41648.777421859486</v>
      </c>
      <c r="K42" s="11">
        <f t="shared" si="13"/>
        <v>47509.533526133113</v>
      </c>
      <c r="L42" s="11">
        <f t="shared" si="13"/>
        <v>80429.525260776558</v>
      </c>
      <c r="M42" s="11">
        <f t="shared" si="13"/>
        <v>36037.415194363435</v>
      </c>
      <c r="N42" s="11">
        <f t="shared" si="13"/>
        <v>66214.074284453251</v>
      </c>
    </row>
    <row r="43" spans="2:14" x14ac:dyDescent="0.2">
      <c r="B43" t="s">
        <v>13</v>
      </c>
      <c r="C43" s="4">
        <f>SUM(C44:C45)</f>
        <v>128701.40518728085</v>
      </c>
      <c r="D43" s="4">
        <f t="shared" ref="D43:N43" si="14">SUM(D44:D45)</f>
        <v>98671.077310248656</v>
      </c>
      <c r="E43" s="4">
        <f t="shared" si="14"/>
        <v>107442.56543639135</v>
      </c>
      <c r="F43" s="4">
        <f t="shared" si="14"/>
        <v>138164.20773479133</v>
      </c>
      <c r="G43" s="4">
        <f t="shared" si="14"/>
        <v>116841.03127030641</v>
      </c>
      <c r="H43" s="4">
        <f t="shared" si="14"/>
        <v>165846.92805710511</v>
      </c>
      <c r="I43" s="4">
        <f t="shared" si="14"/>
        <v>125694.51389591125</v>
      </c>
      <c r="J43" s="4">
        <f t="shared" si="14"/>
        <v>72573.618142282081</v>
      </c>
      <c r="K43" s="4">
        <f t="shared" si="14"/>
        <v>170834.80559265718</v>
      </c>
      <c r="L43" s="4">
        <f t="shared" si="14"/>
        <v>108112.24558309035</v>
      </c>
      <c r="M43" s="4">
        <f t="shared" si="14"/>
        <v>141156.93425612256</v>
      </c>
      <c r="N43" s="4">
        <f t="shared" si="14"/>
        <v>154748.90054050187</v>
      </c>
    </row>
    <row r="44" spans="2:14" x14ac:dyDescent="0.2">
      <c r="B44" s="10" t="s">
        <v>11</v>
      </c>
      <c r="C44" s="11">
        <f t="shared" ref="C44:N46" si="15">C24*C34</f>
        <v>71536.531049930272</v>
      </c>
      <c r="D44" s="11">
        <f t="shared" si="15"/>
        <v>49121.036313145531</v>
      </c>
      <c r="E44" s="11">
        <f t="shared" si="15"/>
        <v>54597.812422630079</v>
      </c>
      <c r="F44" s="11">
        <f t="shared" si="15"/>
        <v>79182.555876888538</v>
      </c>
      <c r="G44" s="11">
        <f t="shared" si="15"/>
        <v>67959.831421896466</v>
      </c>
      <c r="H44" s="11">
        <f t="shared" si="15"/>
        <v>96640.12725132065</v>
      </c>
      <c r="I44" s="11">
        <f t="shared" si="15"/>
        <v>81177.706891109337</v>
      </c>
      <c r="J44" s="11">
        <f t="shared" si="15"/>
        <v>31548.325412366608</v>
      </c>
      <c r="K44" s="11">
        <f t="shared" si="15"/>
        <v>124073.45369685687</v>
      </c>
      <c r="L44" s="11">
        <f t="shared" si="15"/>
        <v>75067.55691005812</v>
      </c>
      <c r="M44" s="11">
        <f t="shared" si="15"/>
        <v>107987.54864470153</v>
      </c>
      <c r="N44" s="11">
        <f t="shared" si="15"/>
        <v>109234.51802858953</v>
      </c>
    </row>
    <row r="45" spans="2:14" x14ac:dyDescent="0.2">
      <c r="B45" s="10" t="s">
        <v>12</v>
      </c>
      <c r="C45" s="11">
        <f t="shared" si="15"/>
        <v>57164.874137350569</v>
      </c>
      <c r="D45" s="11">
        <f t="shared" si="15"/>
        <v>49550.040997103133</v>
      </c>
      <c r="E45" s="11">
        <f t="shared" si="15"/>
        <v>52844.75301376127</v>
      </c>
      <c r="F45" s="11">
        <f t="shared" si="15"/>
        <v>58981.651857902798</v>
      </c>
      <c r="G45" s="11">
        <f t="shared" si="15"/>
        <v>48881.199848409939</v>
      </c>
      <c r="H45" s="11">
        <f t="shared" si="15"/>
        <v>69206.800805784471</v>
      </c>
      <c r="I45" s="11">
        <f t="shared" si="15"/>
        <v>44516.807004801907</v>
      </c>
      <c r="J45" s="11">
        <f t="shared" si="15"/>
        <v>41025.292729915476</v>
      </c>
      <c r="K45" s="11">
        <f t="shared" si="15"/>
        <v>46761.351895800311</v>
      </c>
      <c r="L45" s="11">
        <f t="shared" si="15"/>
        <v>33044.688673032222</v>
      </c>
      <c r="M45" s="11">
        <f t="shared" si="15"/>
        <v>33169.385611421028</v>
      </c>
      <c r="N45" s="11">
        <f t="shared" si="15"/>
        <v>45514.382511912328</v>
      </c>
    </row>
    <row r="46" spans="2:14" x14ac:dyDescent="0.2">
      <c r="B46" s="16" t="s">
        <v>14</v>
      </c>
      <c r="C46" s="15">
        <f t="shared" si="15"/>
        <v>30137.579048021606</v>
      </c>
      <c r="D46" s="15">
        <f t="shared" si="15"/>
        <v>10403.363585971869</v>
      </c>
      <c r="E46" s="15">
        <f t="shared" si="15"/>
        <v>74861.317350601734</v>
      </c>
      <c r="F46" s="15">
        <f t="shared" si="15"/>
        <v>37034.990701473849</v>
      </c>
      <c r="G46" s="15">
        <f t="shared" si="15"/>
        <v>80928.313014331739</v>
      </c>
      <c r="H46" s="15">
        <f t="shared" si="15"/>
        <v>102376.18641720551</v>
      </c>
      <c r="I46" s="15">
        <f t="shared" si="15"/>
        <v>33169.385611421014</v>
      </c>
      <c r="J46" s="15">
        <f t="shared" si="15"/>
        <v>64468.317147010028</v>
      </c>
      <c r="K46" s="15">
        <f t="shared" si="15"/>
        <v>73695.890587781294</v>
      </c>
      <c r="L46" s="15">
        <f t="shared" si="15"/>
        <v>103872.54967787114</v>
      </c>
      <c r="M46" s="15">
        <f t="shared" si="15"/>
        <v>54991.349829461178</v>
      </c>
      <c r="N46" s="15">
        <f t="shared" si="15"/>
        <v>60976.802872123619</v>
      </c>
    </row>
    <row r="47" spans="2:14" x14ac:dyDescent="0.2">
      <c r="B47" s="1" t="s">
        <v>15</v>
      </c>
      <c r="C47" s="14">
        <f>C40+C43+C46</f>
        <v>220722.9098961867</v>
      </c>
      <c r="D47" s="14">
        <f t="shared" ref="D47:N47" si="16">D40+D43+D46</f>
        <v>268235.17864449124</v>
      </c>
      <c r="E47" s="14">
        <f t="shared" si="16"/>
        <v>351793.12524402793</v>
      </c>
      <c r="F47" s="14">
        <f t="shared" si="16"/>
        <v>330322.1897919334</v>
      </c>
      <c r="G47" s="14">
        <f t="shared" si="16"/>
        <v>324586.1306260486</v>
      </c>
      <c r="H47" s="14">
        <f t="shared" si="16"/>
        <v>563754.85845576867</v>
      </c>
      <c r="I47" s="14">
        <f t="shared" si="16"/>
        <v>319847.6469672742</v>
      </c>
      <c r="J47" s="14">
        <f t="shared" si="16"/>
        <v>331319.76529904379</v>
      </c>
      <c r="K47" s="14">
        <f t="shared" si="16"/>
        <v>542431.68199128378</v>
      </c>
      <c r="L47" s="14">
        <f t="shared" si="16"/>
        <v>486442.75665471214</v>
      </c>
      <c r="M47" s="14">
        <f t="shared" si="16"/>
        <v>414617.32014276285</v>
      </c>
      <c r="N47" s="14">
        <f t="shared" si="16"/>
        <v>576349.24923303747</v>
      </c>
    </row>
    <row r="61" spans="19:19" customFormat="1" x14ac:dyDescent="0.2">
      <c r="S61" s="9"/>
    </row>
    <row r="62" spans="19:19" customFormat="1" x14ac:dyDescent="0.2">
      <c r="S62" s="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CE74C-7C1B-4F18-B392-5AC3288A6F80}">
  <dimension ref="B2:U55"/>
  <sheetViews>
    <sheetView showGridLines="0" workbookViewId="0"/>
  </sheetViews>
  <sheetFormatPr defaultRowHeight="15" customHeight="1" outlineLevelRow="1" x14ac:dyDescent="0.2"/>
  <cols>
    <col min="1" max="1" width="5.7109375" style="25" customWidth="1"/>
    <col min="2" max="2" width="20.7109375" style="25" customWidth="1"/>
    <col min="3" max="14" width="10.7109375" style="25" customWidth="1"/>
    <col min="15" max="15" width="5.7109375" style="25" customWidth="1"/>
    <col min="16" max="19" width="10.7109375" style="25" customWidth="1"/>
    <col min="20" max="20" width="5.7109375" style="25" customWidth="1"/>
    <col min="21" max="21" width="10.7109375" style="25" customWidth="1"/>
    <col min="22" max="16384" width="9.140625" style="25"/>
  </cols>
  <sheetData>
    <row r="2" spans="2:21" ht="21" customHeight="1" x14ac:dyDescent="0.2">
      <c r="B2" s="50" t="s">
        <v>94</v>
      </c>
    </row>
    <row r="3" spans="2:21" ht="15" customHeight="1" x14ac:dyDescent="0.2">
      <c r="B3" s="24" t="s">
        <v>18</v>
      </c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3" t="s">
        <v>19</v>
      </c>
      <c r="Q3" s="3" t="s">
        <v>20</v>
      </c>
      <c r="R3" s="3" t="s">
        <v>21</v>
      </c>
      <c r="S3" s="3" t="s">
        <v>22</v>
      </c>
      <c r="U3" s="3" t="s">
        <v>22</v>
      </c>
    </row>
    <row r="4" spans="2:21" ht="15" customHeight="1" x14ac:dyDescent="0.2">
      <c r="B4" s="25" t="s">
        <v>10</v>
      </c>
      <c r="C4" s="28">
        <f>SUM(C5:C6)</f>
        <v>61883.925660884226</v>
      </c>
      <c r="D4" s="28">
        <f t="shared" ref="D4:N4" si="1">SUM(D5:D6)</f>
        <v>159160.73774827071</v>
      </c>
      <c r="E4" s="28">
        <f t="shared" si="1"/>
        <v>169489.24245703485</v>
      </c>
      <c r="F4" s="28">
        <f t="shared" si="1"/>
        <v>155122.99135566823</v>
      </c>
      <c r="G4" s="28">
        <f t="shared" si="1"/>
        <v>126816.78634141046</v>
      </c>
      <c r="H4" s="28">
        <f t="shared" si="1"/>
        <v>295531.74398145801</v>
      </c>
      <c r="I4" s="28">
        <f t="shared" si="1"/>
        <v>160983.74745994189</v>
      </c>
      <c r="J4" s="28">
        <f t="shared" si="1"/>
        <v>194277.83000975172</v>
      </c>
      <c r="K4" s="28">
        <f t="shared" si="1"/>
        <v>297900.98581084528</v>
      </c>
      <c r="L4" s="28">
        <f t="shared" si="1"/>
        <v>274457.96139375068</v>
      </c>
      <c r="M4" s="28">
        <f t="shared" si="1"/>
        <v>218469.0360571791</v>
      </c>
      <c r="N4" s="28">
        <f t="shared" si="1"/>
        <v>360623.54582041199</v>
      </c>
      <c r="P4" s="28">
        <f>SUM(C4:E4)</f>
        <v>390533.90586618974</v>
      </c>
      <c r="Q4" s="28">
        <f>SUM(F4:H4)</f>
        <v>577471.52167853666</v>
      </c>
      <c r="R4" s="28">
        <f>SUM(I4:K4)</f>
        <v>653162.56328053889</v>
      </c>
      <c r="S4" s="28">
        <f>SUM(L4:N4)</f>
        <v>853550.54327134183</v>
      </c>
      <c r="U4" s="28">
        <f>SUM(P4:S4)</f>
        <v>2474718.534096607</v>
      </c>
    </row>
    <row r="5" spans="2:21" s="26" customFormat="1" ht="15" hidden="1" customHeight="1" outlineLevel="1" x14ac:dyDescent="0.2">
      <c r="B5" s="27" t="s">
        <v>11</v>
      </c>
      <c r="C5" s="29">
        <f>Current!C41</f>
        <v>51480.562074912355</v>
      </c>
      <c r="D5" s="29">
        <f>Current!D41</f>
        <v>135779.98247258135</v>
      </c>
      <c r="E5" s="29">
        <f>Current!E41</f>
        <v>159918.04480336962</v>
      </c>
      <c r="F5" s="29">
        <f>Current!F41</f>
        <v>138662.99548834653</v>
      </c>
      <c r="G5" s="29">
        <f>Current!G41</f>
        <v>104620.7313082039</v>
      </c>
      <c r="H5" s="29">
        <f>Current!H41</f>
        <v>219840.70237945591</v>
      </c>
      <c r="I5" s="29">
        <f>Current!I41</f>
        <v>133425.72407601692</v>
      </c>
      <c r="J5" s="29">
        <f>Current!J41</f>
        <v>152629.05258789225</v>
      </c>
      <c r="K5" s="29">
        <f>Current!K41</f>
        <v>250391.45228471214</v>
      </c>
      <c r="L5" s="29">
        <f>Current!L41</f>
        <v>194028.43613297411</v>
      </c>
      <c r="M5" s="29">
        <f>Current!M41</f>
        <v>182431.62086281565</v>
      </c>
      <c r="N5" s="29">
        <f>Current!N41</f>
        <v>294409.47153595876</v>
      </c>
      <c r="P5" s="29">
        <f t="shared" ref="P5:P11" si="2">SUM(C5:E5)</f>
        <v>347178.58935086336</v>
      </c>
      <c r="Q5" s="29">
        <f t="shared" ref="Q5:Q11" si="3">SUM(F5:H5)</f>
        <v>463124.42917600635</v>
      </c>
      <c r="R5" s="29">
        <f t="shared" ref="R5:R11" si="4">SUM(I5:K5)</f>
        <v>536446.22894862131</v>
      </c>
      <c r="S5" s="29">
        <f t="shared" ref="S5:S11" si="5">SUM(L5:N5)</f>
        <v>670869.52853174857</v>
      </c>
      <c r="U5" s="29">
        <f t="shared" ref="U5:U11" si="6">SUM(P5:S5)</f>
        <v>2017618.7760072395</v>
      </c>
    </row>
    <row r="6" spans="2:21" s="26" customFormat="1" ht="15" hidden="1" customHeight="1" outlineLevel="1" x14ac:dyDescent="0.2">
      <c r="B6" s="27" t="s">
        <v>12</v>
      </c>
      <c r="C6" s="29">
        <f>Current!C42</f>
        <v>10403.363585971867</v>
      </c>
      <c r="D6" s="29">
        <f>Current!D42</f>
        <v>23380.755275689353</v>
      </c>
      <c r="E6" s="29">
        <f>Current!E42</f>
        <v>9571.1976536652473</v>
      </c>
      <c r="F6" s="29">
        <f>Current!F42</f>
        <v>16459.995867321704</v>
      </c>
      <c r="G6" s="29">
        <f>Current!G42</f>
        <v>22196.055033206558</v>
      </c>
      <c r="H6" s="29">
        <f>Current!H42</f>
        <v>75691.041602002122</v>
      </c>
      <c r="I6" s="29">
        <f>Current!I42</f>
        <v>27558.023383924985</v>
      </c>
      <c r="J6" s="29">
        <f>Current!J42</f>
        <v>41648.777421859486</v>
      </c>
      <c r="K6" s="29">
        <f>Current!K42</f>
        <v>47509.533526133113</v>
      </c>
      <c r="L6" s="29">
        <f>Current!L42</f>
        <v>80429.525260776558</v>
      </c>
      <c r="M6" s="29">
        <f>Current!M42</f>
        <v>36037.415194363435</v>
      </c>
      <c r="N6" s="29">
        <f>Current!N42</f>
        <v>66214.074284453251</v>
      </c>
      <c r="P6" s="29">
        <f t="shared" si="2"/>
        <v>43355.316515326471</v>
      </c>
      <c r="Q6" s="29">
        <f t="shared" si="3"/>
        <v>114347.09250253039</v>
      </c>
      <c r="R6" s="29">
        <f t="shared" si="4"/>
        <v>116716.33433191758</v>
      </c>
      <c r="S6" s="29">
        <f t="shared" si="5"/>
        <v>182681.01473959326</v>
      </c>
      <c r="U6" s="29">
        <f t="shared" si="6"/>
        <v>457099.75808936771</v>
      </c>
    </row>
    <row r="7" spans="2:21" ht="15" customHeight="1" collapsed="1" x14ac:dyDescent="0.2">
      <c r="B7" s="25" t="s">
        <v>13</v>
      </c>
      <c r="C7" s="28">
        <f>SUM(C8:C9)</f>
        <v>128701.40518728085</v>
      </c>
      <c r="D7" s="28">
        <f t="shared" ref="D7:N7" si="7">SUM(D8:D9)</f>
        <v>98671.077310248656</v>
      </c>
      <c r="E7" s="28">
        <f t="shared" si="7"/>
        <v>107442.56543639135</v>
      </c>
      <c r="F7" s="28">
        <f t="shared" si="7"/>
        <v>138164.20773479133</v>
      </c>
      <c r="G7" s="28">
        <f t="shared" si="7"/>
        <v>116841.03127030641</v>
      </c>
      <c r="H7" s="28">
        <f t="shared" si="7"/>
        <v>165846.92805710511</v>
      </c>
      <c r="I7" s="28">
        <f t="shared" si="7"/>
        <v>125694.51389591125</v>
      </c>
      <c r="J7" s="28">
        <f t="shared" si="7"/>
        <v>72573.618142282081</v>
      </c>
      <c r="K7" s="28">
        <f t="shared" si="7"/>
        <v>170834.80559265718</v>
      </c>
      <c r="L7" s="28">
        <f t="shared" si="7"/>
        <v>108112.24558309035</v>
      </c>
      <c r="M7" s="28">
        <f t="shared" si="7"/>
        <v>141156.93425612256</v>
      </c>
      <c r="N7" s="28">
        <f t="shared" si="7"/>
        <v>154748.90054050187</v>
      </c>
      <c r="P7" s="28">
        <f t="shared" si="2"/>
        <v>334815.04793392087</v>
      </c>
      <c r="Q7" s="28">
        <f t="shared" si="3"/>
        <v>420852.16706220282</v>
      </c>
      <c r="R7" s="28">
        <f t="shared" si="4"/>
        <v>369102.93763085053</v>
      </c>
      <c r="S7" s="28">
        <f t="shared" si="5"/>
        <v>404018.08037971478</v>
      </c>
      <c r="U7" s="28">
        <f t="shared" si="6"/>
        <v>1528788.233006689</v>
      </c>
    </row>
    <row r="8" spans="2:21" s="26" customFormat="1" ht="15" hidden="1" customHeight="1" outlineLevel="1" x14ac:dyDescent="0.2">
      <c r="B8" s="27" t="s">
        <v>11</v>
      </c>
      <c r="C8" s="29">
        <f>Current!C44</f>
        <v>71536.531049930272</v>
      </c>
      <c r="D8" s="29">
        <f>Current!D44</f>
        <v>49121.036313145531</v>
      </c>
      <c r="E8" s="29">
        <f>Current!E44</f>
        <v>54597.812422630079</v>
      </c>
      <c r="F8" s="29">
        <f>Current!F44</f>
        <v>79182.555876888538</v>
      </c>
      <c r="G8" s="29">
        <f>Current!G44</f>
        <v>67959.831421896466</v>
      </c>
      <c r="H8" s="29">
        <f>Current!H44</f>
        <v>96640.12725132065</v>
      </c>
      <c r="I8" s="29">
        <f>Current!I44</f>
        <v>81177.706891109337</v>
      </c>
      <c r="J8" s="29">
        <f>Current!J44</f>
        <v>31548.325412366608</v>
      </c>
      <c r="K8" s="29">
        <f>Current!K44</f>
        <v>124073.45369685687</v>
      </c>
      <c r="L8" s="29">
        <f>Current!L44</f>
        <v>75067.55691005812</v>
      </c>
      <c r="M8" s="29">
        <f>Current!M44</f>
        <v>107987.54864470153</v>
      </c>
      <c r="N8" s="29">
        <f>Current!N44</f>
        <v>109234.51802858953</v>
      </c>
      <c r="P8" s="29">
        <f t="shared" si="2"/>
        <v>175255.37978570588</v>
      </c>
      <c r="Q8" s="29">
        <f t="shared" si="3"/>
        <v>243782.51455010567</v>
      </c>
      <c r="R8" s="29">
        <f t="shared" si="4"/>
        <v>236799.48600033281</v>
      </c>
      <c r="S8" s="29">
        <f t="shared" si="5"/>
        <v>292289.62358334917</v>
      </c>
      <c r="U8" s="29">
        <f t="shared" si="6"/>
        <v>948127.00391949352</v>
      </c>
    </row>
    <row r="9" spans="2:21" s="26" customFormat="1" ht="15" hidden="1" customHeight="1" outlineLevel="1" x14ac:dyDescent="0.2">
      <c r="B9" s="27" t="s">
        <v>12</v>
      </c>
      <c r="C9" s="29">
        <f>Current!C45</f>
        <v>57164.874137350569</v>
      </c>
      <c r="D9" s="29">
        <f>Current!D45</f>
        <v>49550.040997103133</v>
      </c>
      <c r="E9" s="29">
        <f>Current!E45</f>
        <v>52844.75301376127</v>
      </c>
      <c r="F9" s="29">
        <f>Current!F45</f>
        <v>58981.651857902798</v>
      </c>
      <c r="G9" s="29">
        <f>Current!G45</f>
        <v>48881.199848409939</v>
      </c>
      <c r="H9" s="29">
        <f>Current!H45</f>
        <v>69206.800805784471</v>
      </c>
      <c r="I9" s="29">
        <f>Current!I45</f>
        <v>44516.807004801907</v>
      </c>
      <c r="J9" s="29">
        <f>Current!J45</f>
        <v>41025.292729915476</v>
      </c>
      <c r="K9" s="29">
        <f>Current!K45</f>
        <v>46761.351895800311</v>
      </c>
      <c r="L9" s="29">
        <f>Current!L45</f>
        <v>33044.688673032222</v>
      </c>
      <c r="M9" s="29">
        <f>Current!M45</f>
        <v>33169.385611421028</v>
      </c>
      <c r="N9" s="29">
        <f>Current!N45</f>
        <v>45514.382511912328</v>
      </c>
      <c r="P9" s="29">
        <f t="shared" si="2"/>
        <v>159559.66814821499</v>
      </c>
      <c r="Q9" s="29">
        <f t="shared" si="3"/>
        <v>177069.65251209721</v>
      </c>
      <c r="R9" s="29">
        <f t="shared" si="4"/>
        <v>132303.45163051769</v>
      </c>
      <c r="S9" s="29">
        <f t="shared" si="5"/>
        <v>111728.45679636559</v>
      </c>
      <c r="U9" s="38">
        <f t="shared" si="6"/>
        <v>580661.22908719548</v>
      </c>
    </row>
    <row r="10" spans="2:21" ht="15" customHeight="1" collapsed="1" x14ac:dyDescent="0.2">
      <c r="B10" s="33" t="s">
        <v>14</v>
      </c>
      <c r="C10" s="34">
        <f>Current!C46</f>
        <v>30137.579048021606</v>
      </c>
      <c r="D10" s="34">
        <f>Current!D46</f>
        <v>10403.363585971869</v>
      </c>
      <c r="E10" s="34">
        <f>Current!E46</f>
        <v>74861.317350601734</v>
      </c>
      <c r="F10" s="34">
        <f>Current!F46</f>
        <v>37034.990701473849</v>
      </c>
      <c r="G10" s="34">
        <f>Current!G46</f>
        <v>80928.313014331739</v>
      </c>
      <c r="H10" s="34">
        <f>Current!H46</f>
        <v>102376.18641720551</v>
      </c>
      <c r="I10" s="34">
        <f>Current!I46</f>
        <v>33169.385611421014</v>
      </c>
      <c r="J10" s="34">
        <f>Current!J46</f>
        <v>64468.317147010028</v>
      </c>
      <c r="K10" s="34">
        <f>Current!K46</f>
        <v>73695.890587781294</v>
      </c>
      <c r="L10" s="34">
        <f>Current!L46</f>
        <v>103872.54967787114</v>
      </c>
      <c r="M10" s="34">
        <f>Current!M46</f>
        <v>54991.349829461178</v>
      </c>
      <c r="N10" s="34">
        <f>Current!N46</f>
        <v>60976.802872123619</v>
      </c>
      <c r="P10" s="34">
        <f t="shared" si="2"/>
        <v>115402.25998459521</v>
      </c>
      <c r="Q10" s="34">
        <f t="shared" si="3"/>
        <v>220339.49013301107</v>
      </c>
      <c r="R10" s="34">
        <f t="shared" si="4"/>
        <v>171333.59334621235</v>
      </c>
      <c r="S10" s="34">
        <f t="shared" si="5"/>
        <v>219840.70237945591</v>
      </c>
      <c r="U10" s="34">
        <f t="shared" si="6"/>
        <v>726916.04584327457</v>
      </c>
    </row>
    <row r="11" spans="2:21" ht="15" customHeight="1" x14ac:dyDescent="0.2">
      <c r="B11" s="24" t="s">
        <v>15</v>
      </c>
      <c r="C11" s="30">
        <f>C4+C7+C10</f>
        <v>220722.9098961867</v>
      </c>
      <c r="D11" s="30">
        <f t="shared" ref="D11:N11" si="8">D4+D7+D10</f>
        <v>268235.17864449124</v>
      </c>
      <c r="E11" s="30">
        <f t="shared" si="8"/>
        <v>351793.12524402793</v>
      </c>
      <c r="F11" s="30">
        <f t="shared" si="8"/>
        <v>330322.1897919334</v>
      </c>
      <c r="G11" s="30">
        <f t="shared" si="8"/>
        <v>324586.1306260486</v>
      </c>
      <c r="H11" s="30">
        <f t="shared" si="8"/>
        <v>563754.85845576867</v>
      </c>
      <c r="I11" s="30">
        <f t="shared" si="8"/>
        <v>319847.6469672742</v>
      </c>
      <c r="J11" s="30">
        <f t="shared" si="8"/>
        <v>331319.76529904379</v>
      </c>
      <c r="K11" s="30">
        <f t="shared" si="8"/>
        <v>542431.68199128378</v>
      </c>
      <c r="L11" s="30">
        <f t="shared" si="8"/>
        <v>486442.75665471214</v>
      </c>
      <c r="M11" s="30">
        <f t="shared" si="8"/>
        <v>414617.32014276285</v>
      </c>
      <c r="N11" s="30">
        <f t="shared" si="8"/>
        <v>576349.24923303747</v>
      </c>
      <c r="P11" s="30">
        <f t="shared" si="2"/>
        <v>840751.21378470585</v>
      </c>
      <c r="Q11" s="30">
        <f t="shared" si="3"/>
        <v>1218663.1788737508</v>
      </c>
      <c r="R11" s="30">
        <f t="shared" si="4"/>
        <v>1193599.0942576018</v>
      </c>
      <c r="S11" s="30">
        <f t="shared" si="5"/>
        <v>1477409.3260305123</v>
      </c>
      <c r="U11" s="30">
        <f t="shared" si="6"/>
        <v>4730422.812946571</v>
      </c>
    </row>
    <row r="13" spans="2:21" ht="15" customHeight="1" x14ac:dyDescent="0.2">
      <c r="B13" s="24" t="s">
        <v>26</v>
      </c>
    </row>
    <row r="14" spans="2:21" ht="15" customHeight="1" x14ac:dyDescent="0.2">
      <c r="B14" s="25" t="s">
        <v>27</v>
      </c>
      <c r="C14" s="36">
        <f>Current!C6</f>
        <v>16</v>
      </c>
      <c r="D14" s="36">
        <f>Current!D6</f>
        <v>16</v>
      </c>
      <c r="E14" s="36">
        <f>Current!E6</f>
        <v>16</v>
      </c>
      <c r="F14" s="36">
        <f>Current!F6</f>
        <v>17</v>
      </c>
      <c r="G14" s="36">
        <f>Current!G6</f>
        <v>18</v>
      </c>
      <c r="H14" s="36">
        <f>Current!H6</f>
        <v>18</v>
      </c>
      <c r="I14" s="36">
        <f>Current!I6</f>
        <v>18</v>
      </c>
      <c r="J14" s="36">
        <f>Current!J6</f>
        <v>19</v>
      </c>
      <c r="K14" s="36">
        <f>Current!K6</f>
        <v>19</v>
      </c>
      <c r="L14" s="36">
        <f>Current!L6</f>
        <v>19</v>
      </c>
      <c r="M14" s="36">
        <f>Current!M6</f>
        <v>19</v>
      </c>
      <c r="N14" s="36">
        <f>Current!N6</f>
        <v>20</v>
      </c>
      <c r="P14" s="36">
        <f>SUMPRODUCT(C14:E14,C$20:E$20)/SUM(C$20:E$20)</f>
        <v>16</v>
      </c>
      <c r="Q14" s="36">
        <f t="shared" ref="Q14" si="9">SUMPRODUCT(F14:H14,F$20:H$20)/SUM(F$20:H$20)</f>
        <v>17.70064874884152</v>
      </c>
      <c r="R14" s="36">
        <f t="shared" ref="R14" si="10">SUMPRODUCT(I14:K14,I$20:K$20)/SUM(I$20:K$20)</f>
        <v>18.694915254237287</v>
      </c>
      <c r="S14" s="36">
        <f t="shared" ref="S14" si="11">SUMPRODUCT(L14:N14,L$20:N$20)/SUM(L$20:N$20)</f>
        <v>19.339270568278202</v>
      </c>
      <c r="U14" s="36">
        <f>SUMPRODUCT(C14:N14,C$20:N$20)/SUM(C$20:N$20)</f>
        <v>18.038498912362567</v>
      </c>
    </row>
    <row r="15" spans="2:21" ht="15" customHeight="1" x14ac:dyDescent="0.2">
      <c r="B15" s="25" t="s">
        <v>28</v>
      </c>
      <c r="C15" s="36">
        <f>Current!C4</f>
        <v>168</v>
      </c>
      <c r="D15" s="36">
        <f>Current!D4</f>
        <v>160</v>
      </c>
      <c r="E15" s="36">
        <f>Current!E4</f>
        <v>184</v>
      </c>
      <c r="F15" s="36">
        <f>Current!F4</f>
        <v>160</v>
      </c>
      <c r="G15" s="36">
        <f>Current!G4</f>
        <v>184</v>
      </c>
      <c r="H15" s="36">
        <f>Current!H4</f>
        <v>168</v>
      </c>
      <c r="I15" s="36">
        <f>Current!I4</f>
        <v>160</v>
      </c>
      <c r="J15" s="36">
        <f>Current!J4</f>
        <v>184</v>
      </c>
      <c r="K15" s="36">
        <f>Current!K4</f>
        <v>160</v>
      </c>
      <c r="L15" s="36">
        <f>Current!L4</f>
        <v>176</v>
      </c>
      <c r="M15" s="36">
        <f>Current!M4</f>
        <v>168</v>
      </c>
      <c r="N15" s="36">
        <f>Current!N4</f>
        <v>168</v>
      </c>
      <c r="P15" s="36">
        <f>SUM(C15:E15)</f>
        <v>512</v>
      </c>
      <c r="Q15" s="36">
        <f>SUM(F15:H15)</f>
        <v>512</v>
      </c>
      <c r="R15" s="36">
        <f>SUM(I15:K15)</f>
        <v>504</v>
      </c>
      <c r="S15" s="36">
        <f>SUM(L15:N15)</f>
        <v>512</v>
      </c>
      <c r="U15" s="36">
        <f>SUM(C15:N15)</f>
        <v>2040</v>
      </c>
    </row>
    <row r="16" spans="2:21" ht="15" customHeight="1" x14ac:dyDescent="0.2">
      <c r="B16" s="25" t="s">
        <v>3</v>
      </c>
      <c r="C16" s="36">
        <f>Current!C8</f>
        <v>128</v>
      </c>
      <c r="D16" s="36">
        <f>Current!D8</f>
        <v>128</v>
      </c>
      <c r="E16" s="36">
        <f>Current!E8</f>
        <v>128</v>
      </c>
      <c r="F16" s="36">
        <f>Current!F8</f>
        <v>136</v>
      </c>
      <c r="G16" s="36">
        <f>Current!G8</f>
        <v>144</v>
      </c>
      <c r="H16" s="36">
        <f>Current!H8</f>
        <v>144</v>
      </c>
      <c r="I16" s="36">
        <f>Current!I8</f>
        <v>144</v>
      </c>
      <c r="J16" s="36">
        <f>Current!J8</f>
        <v>152</v>
      </c>
      <c r="K16" s="36">
        <f>Current!K8</f>
        <v>152</v>
      </c>
      <c r="L16" s="36">
        <f>Current!L8</f>
        <v>152</v>
      </c>
      <c r="M16" s="36">
        <f>Current!M8</f>
        <v>152</v>
      </c>
      <c r="N16" s="36">
        <f>Current!N8</f>
        <v>160</v>
      </c>
      <c r="P16" s="36">
        <f>SUM(C16:E16)</f>
        <v>384</v>
      </c>
      <c r="Q16" s="36">
        <f>SUM(F16:H16)</f>
        <v>424</v>
      </c>
      <c r="R16" s="36">
        <f>SUM(I16:K16)</f>
        <v>448</v>
      </c>
      <c r="S16" s="36">
        <f>SUM(L16:N16)</f>
        <v>464</v>
      </c>
      <c r="U16" s="36">
        <f>SUM(C16:N16)</f>
        <v>1720</v>
      </c>
    </row>
    <row r="17" spans="2:21" ht="15" customHeight="1" x14ac:dyDescent="0.2">
      <c r="B17" s="25" t="s">
        <v>29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P17" s="2">
        <f>SUM(C17:E17)</f>
        <v>0</v>
      </c>
      <c r="Q17" s="2">
        <f>SUM(F17:H17)</f>
        <v>0</v>
      </c>
      <c r="R17" s="2">
        <f>SUM(I17:K17)</f>
        <v>0</v>
      </c>
      <c r="S17" s="2">
        <f>SUM(L17:N17)</f>
        <v>0</v>
      </c>
      <c r="U17" s="2">
        <f>SUM(P17:S17)</f>
        <v>0</v>
      </c>
    </row>
    <row r="18" spans="2:21" ht="15" customHeight="1" x14ac:dyDescent="0.2">
      <c r="B18" s="25" t="s">
        <v>30</v>
      </c>
      <c r="C18" s="36">
        <f>Current!C7</f>
        <v>225</v>
      </c>
      <c r="D18" s="36">
        <f>Current!D7</f>
        <v>225</v>
      </c>
      <c r="E18" s="36">
        <f>Current!E7</f>
        <v>225</v>
      </c>
      <c r="F18" s="36">
        <f>Current!F7</f>
        <v>235</v>
      </c>
      <c r="G18" s="36">
        <f>Current!G7</f>
        <v>235</v>
      </c>
      <c r="H18" s="36">
        <f>Current!H7</f>
        <v>235</v>
      </c>
      <c r="I18" s="36">
        <f>Current!I7</f>
        <v>235</v>
      </c>
      <c r="J18" s="36">
        <f>Current!J7</f>
        <v>235</v>
      </c>
      <c r="K18" s="36">
        <f>Current!K7</f>
        <v>235</v>
      </c>
      <c r="L18" s="36">
        <f>Current!L7</f>
        <v>235</v>
      </c>
      <c r="M18" s="36">
        <f>Current!M7</f>
        <v>235</v>
      </c>
      <c r="N18" s="36">
        <f>Current!N7</f>
        <v>235</v>
      </c>
      <c r="P18" s="36">
        <f>SUMPRODUCT(C18:E18,C$20:E$20)/SUM(C$20:E$20)</f>
        <v>225</v>
      </c>
      <c r="Q18" s="36">
        <f t="shared" ref="Q18:Q19" si="12">SUMPRODUCT(F18:H18,F$20:H$20)/SUM(F$20:H$20)</f>
        <v>235</v>
      </c>
      <c r="R18" s="36">
        <f t="shared" ref="R18:R19" si="13">SUMPRODUCT(I18:K18,I$20:K$20)/SUM(I$20:K$20)</f>
        <v>235</v>
      </c>
      <c r="S18" s="36">
        <f t="shared" ref="S18:S19" si="14">SUMPRODUCT(L18:N18,L$20:N$20)/SUM(L$20:N$20)</f>
        <v>235</v>
      </c>
      <c r="U18" s="36">
        <f t="shared" ref="U18:U19" si="15">SUMPRODUCT(C18:N18,C$20:N$20)/SUM(C$20:N$20)</f>
        <v>232.83360380401808</v>
      </c>
    </row>
    <row r="19" spans="2:21" ht="15" customHeight="1" x14ac:dyDescent="0.2">
      <c r="B19" s="33" t="s">
        <v>7</v>
      </c>
      <c r="C19" s="37">
        <f>Current!C10</f>
        <v>0.625</v>
      </c>
      <c r="D19" s="37">
        <f>Current!D10</f>
        <v>0.625</v>
      </c>
      <c r="E19" s="37">
        <f>Current!E10</f>
        <v>0.625</v>
      </c>
      <c r="F19" s="37">
        <f>Current!F10</f>
        <v>0.625</v>
      </c>
      <c r="G19" s="37">
        <f>Current!G10</f>
        <v>0.625</v>
      </c>
      <c r="H19" s="37">
        <f>Current!H10</f>
        <v>0.625</v>
      </c>
      <c r="I19" s="37">
        <f>Current!I10</f>
        <v>0.625</v>
      </c>
      <c r="J19" s="37">
        <f>Current!J10</f>
        <v>0.625</v>
      </c>
      <c r="K19" s="37">
        <f>Current!K10</f>
        <v>0.625</v>
      </c>
      <c r="L19" s="37">
        <f>Current!L10</f>
        <v>0.625</v>
      </c>
      <c r="M19" s="37">
        <f>Current!M10</f>
        <v>0.625</v>
      </c>
      <c r="N19" s="37">
        <f>Current!N10</f>
        <v>0.625</v>
      </c>
      <c r="P19" s="37">
        <f t="shared" ref="P19" si="16">SUMPRODUCT(C19:E19,C$20:E$20)/SUM(C$20:E$20)</f>
        <v>0.625</v>
      </c>
      <c r="Q19" s="37">
        <f t="shared" si="12"/>
        <v>0.625</v>
      </c>
      <c r="R19" s="37">
        <f t="shared" si="13"/>
        <v>0.625</v>
      </c>
      <c r="S19" s="37">
        <f t="shared" si="14"/>
        <v>0.625</v>
      </c>
      <c r="U19" s="37">
        <f t="shared" si="15"/>
        <v>0.625</v>
      </c>
    </row>
    <row r="20" spans="2:21" ht="15" customHeight="1" x14ac:dyDescent="0.2">
      <c r="B20" s="24" t="s">
        <v>26</v>
      </c>
      <c r="C20" s="30">
        <f>((C14*C15)-C16-C17)*C18*C19</f>
        <v>360000</v>
      </c>
      <c r="D20" s="30">
        <f t="shared" ref="D20:N20" si="17">((D14*D15)-D16-D17)*D18*D19</f>
        <v>342000</v>
      </c>
      <c r="E20" s="30">
        <f t="shared" si="17"/>
        <v>396000</v>
      </c>
      <c r="F20" s="30">
        <f t="shared" si="17"/>
        <v>379525</v>
      </c>
      <c r="G20" s="30">
        <f t="shared" si="17"/>
        <v>465300</v>
      </c>
      <c r="H20" s="30">
        <f t="shared" si="17"/>
        <v>423000</v>
      </c>
      <c r="I20" s="30">
        <f t="shared" si="17"/>
        <v>401850</v>
      </c>
      <c r="J20" s="30">
        <f t="shared" si="17"/>
        <v>491150</v>
      </c>
      <c r="K20" s="30">
        <f t="shared" si="17"/>
        <v>424175</v>
      </c>
      <c r="L20" s="30">
        <f t="shared" si="17"/>
        <v>468825</v>
      </c>
      <c r="M20" s="30">
        <f t="shared" si="17"/>
        <v>446500</v>
      </c>
      <c r="N20" s="30">
        <f t="shared" si="17"/>
        <v>470000</v>
      </c>
      <c r="P20" s="30">
        <f>SUM(C20:E20)</f>
        <v>1098000</v>
      </c>
      <c r="Q20" s="30">
        <f>SUM(F20:H20)</f>
        <v>1267825</v>
      </c>
      <c r="R20" s="30">
        <f>SUM(I20:K20)</f>
        <v>1317175</v>
      </c>
      <c r="S20" s="30">
        <f>SUM(L20:N20)</f>
        <v>1385325</v>
      </c>
      <c r="U20" s="30">
        <f>SUM(C20:N20)</f>
        <v>5068325</v>
      </c>
    </row>
    <row r="21" spans="2:21" s="40" customFormat="1" ht="15" hidden="1" customHeight="1" outlineLevel="1" x14ac:dyDescent="0.2">
      <c r="B21" s="40" t="s">
        <v>32</v>
      </c>
      <c r="C21" s="41">
        <f t="shared" ref="C21:N21" si="18">((C14*C15)-C16-C17)*C18*C19-C20</f>
        <v>0</v>
      </c>
      <c r="D21" s="41">
        <f t="shared" si="18"/>
        <v>0</v>
      </c>
      <c r="E21" s="41">
        <f t="shared" si="18"/>
        <v>0</v>
      </c>
      <c r="F21" s="41">
        <f t="shared" si="18"/>
        <v>0</v>
      </c>
      <c r="G21" s="41">
        <f t="shared" si="18"/>
        <v>0</v>
      </c>
      <c r="H21" s="41">
        <f t="shared" si="18"/>
        <v>0</v>
      </c>
      <c r="I21" s="41">
        <f t="shared" si="18"/>
        <v>0</v>
      </c>
      <c r="J21" s="41">
        <f t="shared" si="18"/>
        <v>0</v>
      </c>
      <c r="K21" s="41">
        <f t="shared" si="18"/>
        <v>0</v>
      </c>
      <c r="L21" s="41">
        <f t="shared" si="18"/>
        <v>0</v>
      </c>
      <c r="M21" s="41">
        <f t="shared" si="18"/>
        <v>0</v>
      </c>
      <c r="N21" s="41">
        <f t="shared" si="18"/>
        <v>0</v>
      </c>
      <c r="P21" s="41"/>
      <c r="Q21" s="41"/>
      <c r="R21" s="41"/>
      <c r="S21" s="41"/>
      <c r="U21" s="41"/>
    </row>
    <row r="22" spans="2:21" ht="15" customHeight="1" collapsed="1" x14ac:dyDescent="0.2">
      <c r="P22" s="39"/>
      <c r="Q22" s="39"/>
      <c r="R22" s="39"/>
      <c r="S22" s="39"/>
      <c r="U22" s="39"/>
    </row>
    <row r="23" spans="2:21" ht="15" customHeight="1" x14ac:dyDescent="0.2">
      <c r="B23" s="24" t="s">
        <v>31</v>
      </c>
    </row>
    <row r="24" spans="2:21" ht="15" customHeight="1" x14ac:dyDescent="0.2">
      <c r="B24" s="25" t="s">
        <v>27</v>
      </c>
      <c r="C24" s="36">
        <f>Current!C13</f>
        <v>5</v>
      </c>
      <c r="D24" s="36">
        <f>Current!D13</f>
        <v>5</v>
      </c>
      <c r="E24" s="36">
        <f>Current!E13</f>
        <v>5</v>
      </c>
      <c r="F24" s="36">
        <f>Current!F13</f>
        <v>6</v>
      </c>
      <c r="G24" s="36">
        <f>Current!G13</f>
        <v>6</v>
      </c>
      <c r="H24" s="36">
        <f>Current!H13</f>
        <v>6</v>
      </c>
      <c r="I24" s="36">
        <f>Current!I13</f>
        <v>6</v>
      </c>
      <c r="J24" s="36">
        <f>Current!J13</f>
        <v>6</v>
      </c>
      <c r="K24" s="36">
        <f>Current!K13</f>
        <v>6</v>
      </c>
      <c r="L24" s="36">
        <f>Current!L13</f>
        <v>7</v>
      </c>
      <c r="M24" s="36">
        <f>Current!M13</f>
        <v>7</v>
      </c>
      <c r="N24" s="36">
        <f>Current!N13</f>
        <v>7</v>
      </c>
      <c r="P24" s="36">
        <f>SUMPRODUCT(C24:E24,C$30:E$30)/SUM(C$30:E$30)</f>
        <v>5</v>
      </c>
      <c r="Q24" s="36">
        <f>SUMPRODUCT(F24:H24,F$30:H$30)/SUM(F$30:H$30)</f>
        <v>6</v>
      </c>
      <c r="R24" s="36">
        <f>SUMPRODUCT(I24:K24,I$30:K$30)/SUM(I$30:K$30)</f>
        <v>6</v>
      </c>
      <c r="S24" s="36">
        <f>SUMPRODUCT(L24:N24,L$30:N$30)/SUM(L$30:N$30)</f>
        <v>7</v>
      </c>
      <c r="U24" s="36">
        <f>SUMPRODUCT(C24:N24,C$30:N$30)/SUM(C$30:N$30)</f>
        <v>6.0906966864910794</v>
      </c>
    </row>
    <row r="25" spans="2:21" ht="15" customHeight="1" x14ac:dyDescent="0.2">
      <c r="B25" s="25" t="s">
        <v>28</v>
      </c>
      <c r="C25" s="36">
        <f>Current!C4</f>
        <v>168</v>
      </c>
      <c r="D25" s="36">
        <f>Current!D4</f>
        <v>160</v>
      </c>
      <c r="E25" s="36">
        <f>Current!E4</f>
        <v>184</v>
      </c>
      <c r="F25" s="36">
        <f>Current!F4</f>
        <v>160</v>
      </c>
      <c r="G25" s="36">
        <f>Current!G4</f>
        <v>184</v>
      </c>
      <c r="H25" s="36">
        <f>Current!H4</f>
        <v>168</v>
      </c>
      <c r="I25" s="36">
        <f>Current!I4</f>
        <v>160</v>
      </c>
      <c r="J25" s="36">
        <f>Current!J4</f>
        <v>184</v>
      </c>
      <c r="K25" s="36">
        <f>Current!K4</f>
        <v>160</v>
      </c>
      <c r="L25" s="36">
        <f>Current!L4</f>
        <v>176</v>
      </c>
      <c r="M25" s="36">
        <f>Current!M4</f>
        <v>168</v>
      </c>
      <c r="N25" s="36">
        <f>Current!N4</f>
        <v>168</v>
      </c>
      <c r="P25" s="36">
        <f>SUM(C25:E25)</f>
        <v>512</v>
      </c>
      <c r="Q25" s="36">
        <f>SUM(F25:H25)</f>
        <v>512</v>
      </c>
      <c r="R25" s="36">
        <f>SUM(I25:K25)</f>
        <v>504</v>
      </c>
      <c r="S25" s="36">
        <f>SUM(L25:N25)</f>
        <v>512</v>
      </c>
      <c r="U25" s="36">
        <f>SUM(P25:S25)</f>
        <v>2040</v>
      </c>
    </row>
    <row r="26" spans="2:21" ht="15" customHeight="1" x14ac:dyDescent="0.2">
      <c r="B26" s="25" t="s">
        <v>3</v>
      </c>
      <c r="C26" s="36">
        <f>Current!C15</f>
        <v>40</v>
      </c>
      <c r="D26" s="36">
        <f>Current!D15</f>
        <v>40</v>
      </c>
      <c r="E26" s="36">
        <f>Current!E15</f>
        <v>40</v>
      </c>
      <c r="F26" s="36">
        <f>Current!F15</f>
        <v>48</v>
      </c>
      <c r="G26" s="36">
        <f>Current!G15</f>
        <v>48</v>
      </c>
      <c r="H26" s="36">
        <f>Current!H15</f>
        <v>48</v>
      </c>
      <c r="I26" s="36">
        <f>Current!I15</f>
        <v>48</v>
      </c>
      <c r="J26" s="36">
        <f>Current!J15</f>
        <v>48</v>
      </c>
      <c r="K26" s="36">
        <f>Current!K15</f>
        <v>48</v>
      </c>
      <c r="L26" s="36">
        <f>Current!L15</f>
        <v>56</v>
      </c>
      <c r="M26" s="36">
        <f>Current!M15</f>
        <v>56</v>
      </c>
      <c r="N26" s="36">
        <f>Current!N15</f>
        <v>56</v>
      </c>
      <c r="P26" s="36">
        <f>SUM(C26:E26)</f>
        <v>120</v>
      </c>
      <c r="Q26" s="36">
        <f>SUM(F26:H26)</f>
        <v>144</v>
      </c>
      <c r="R26" s="36">
        <f>SUM(I26:K26)</f>
        <v>144</v>
      </c>
      <c r="S26" s="36">
        <f>SUM(L26:N26)</f>
        <v>168</v>
      </c>
      <c r="U26" s="36">
        <f>SUM(P26:S26)</f>
        <v>576</v>
      </c>
    </row>
    <row r="27" spans="2:21" ht="15" customHeight="1" x14ac:dyDescent="0.2">
      <c r="B27" s="25" t="s">
        <v>29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P27" s="2">
        <f>SUM(C27:E27)</f>
        <v>0</v>
      </c>
      <c r="Q27" s="2">
        <f>SUM(F27:H27)</f>
        <v>0</v>
      </c>
      <c r="R27" s="2">
        <f>SUM(I27:K27)</f>
        <v>0</v>
      </c>
      <c r="S27" s="2">
        <f>SUM(L27:N27)</f>
        <v>0</v>
      </c>
      <c r="U27" s="2">
        <f>SUM(P27:S27)</f>
        <v>0</v>
      </c>
    </row>
    <row r="28" spans="2:21" ht="15" customHeight="1" x14ac:dyDescent="0.2">
      <c r="B28" s="25" t="s">
        <v>30</v>
      </c>
      <c r="C28" s="36">
        <f>Current!C14</f>
        <v>315</v>
      </c>
      <c r="D28" s="36">
        <f>Current!D14</f>
        <v>315</v>
      </c>
      <c r="E28" s="36">
        <f>Current!E14</f>
        <v>315</v>
      </c>
      <c r="F28" s="36">
        <f>Current!F14</f>
        <v>325</v>
      </c>
      <c r="G28" s="36">
        <f>Current!G14</f>
        <v>325</v>
      </c>
      <c r="H28" s="36">
        <f>Current!H14</f>
        <v>325</v>
      </c>
      <c r="I28" s="36">
        <f>Current!I14</f>
        <v>325</v>
      </c>
      <c r="J28" s="36">
        <f>Current!J14</f>
        <v>325</v>
      </c>
      <c r="K28" s="36">
        <f>Current!K14</f>
        <v>325</v>
      </c>
      <c r="L28" s="36">
        <f>Current!L14</f>
        <v>325</v>
      </c>
      <c r="M28" s="36">
        <f>Current!M14</f>
        <v>325</v>
      </c>
      <c r="N28" s="36">
        <f>Current!N14</f>
        <v>325</v>
      </c>
      <c r="P28" s="36">
        <f>SUMPRODUCT(C28:E28,C$30:E$30)/SUM(C$30:E$30)</f>
        <v>315</v>
      </c>
      <c r="Q28" s="36">
        <f>SUMPRODUCT(F28:H28,F$30:H$30)/SUM(F$30:H$30)</f>
        <v>325</v>
      </c>
      <c r="R28" s="36">
        <f>SUMPRODUCT(I28:K28,I$30:K$30)/SUM(I$30:K$30)</f>
        <v>325</v>
      </c>
      <c r="S28" s="36">
        <f>SUMPRODUCT(L28:N28,L$30:N$30)/SUM(L$30:N$30)</f>
        <v>325</v>
      </c>
      <c r="U28" s="36">
        <f t="shared" ref="U28:U29" si="19">SUMPRODUCT(C28:N28,C$30:N$30)/SUM(C$30:N$30)</f>
        <v>322.95932455395069</v>
      </c>
    </row>
    <row r="29" spans="2:21" ht="15" customHeight="1" x14ac:dyDescent="0.2">
      <c r="B29" s="33" t="s">
        <v>7</v>
      </c>
      <c r="C29" s="37">
        <f>Current!C16</f>
        <v>0.375</v>
      </c>
      <c r="D29" s="37">
        <f>Current!D16</f>
        <v>0.375</v>
      </c>
      <c r="E29" s="37">
        <f>Current!E16</f>
        <v>0.375</v>
      </c>
      <c r="F29" s="37">
        <f>Current!F16</f>
        <v>0.375</v>
      </c>
      <c r="G29" s="37">
        <f>Current!G16</f>
        <v>0.375</v>
      </c>
      <c r="H29" s="37">
        <f>Current!H16</f>
        <v>0.375</v>
      </c>
      <c r="I29" s="37">
        <f>Current!I16</f>
        <v>0.375</v>
      </c>
      <c r="J29" s="37">
        <f>Current!J16</f>
        <v>0.375</v>
      </c>
      <c r="K29" s="37">
        <f>Current!K16</f>
        <v>0.375</v>
      </c>
      <c r="L29" s="37">
        <f>Current!L16</f>
        <v>0.375</v>
      </c>
      <c r="M29" s="37">
        <f>Current!M16</f>
        <v>0.375</v>
      </c>
      <c r="N29" s="37">
        <f>Current!N16</f>
        <v>0.375</v>
      </c>
      <c r="P29" s="37">
        <f>SUMPRODUCT(C29:E29,C$30:E$30)/SUM(C$30:E$30)</f>
        <v>0.375</v>
      </c>
      <c r="Q29" s="37">
        <f>SUMPRODUCT(F29:H29,F$30:H$30)/SUM(F$30:H$30)</f>
        <v>0.375</v>
      </c>
      <c r="R29" s="37">
        <f>SUMPRODUCT(I29:K29,I$30:K$30)/SUM(I$30:K$30)</f>
        <v>0.375</v>
      </c>
      <c r="S29" s="37">
        <f>SUMPRODUCT(L29:N29,L$30:N$30)/SUM(L$30:N$30)</f>
        <v>0.375</v>
      </c>
      <c r="U29" s="37">
        <f t="shared" si="19"/>
        <v>0.375</v>
      </c>
    </row>
    <row r="30" spans="2:21" ht="15" customHeight="1" x14ac:dyDescent="0.2">
      <c r="B30" s="24" t="s">
        <v>31</v>
      </c>
      <c r="C30" s="30">
        <f>((C24*C25)-C26-C27)*C28*C29</f>
        <v>94500</v>
      </c>
      <c r="D30" s="30">
        <f t="shared" ref="D30:N30" si="20">((D24*D25)-D26-D27)*D28*D29</f>
        <v>89775</v>
      </c>
      <c r="E30" s="30">
        <f t="shared" si="20"/>
        <v>103950</v>
      </c>
      <c r="F30" s="30">
        <f t="shared" si="20"/>
        <v>111150</v>
      </c>
      <c r="G30" s="30">
        <f t="shared" si="20"/>
        <v>128700</v>
      </c>
      <c r="H30" s="30">
        <f t="shared" si="20"/>
        <v>117000</v>
      </c>
      <c r="I30" s="30">
        <f t="shared" si="20"/>
        <v>111150</v>
      </c>
      <c r="J30" s="30">
        <f t="shared" si="20"/>
        <v>128700</v>
      </c>
      <c r="K30" s="30">
        <f t="shared" si="20"/>
        <v>111150</v>
      </c>
      <c r="L30" s="30">
        <f t="shared" si="20"/>
        <v>143325</v>
      </c>
      <c r="M30" s="30">
        <f t="shared" si="20"/>
        <v>136500</v>
      </c>
      <c r="N30" s="30">
        <f t="shared" si="20"/>
        <v>136500</v>
      </c>
      <c r="P30" s="30">
        <f>SUM(C30:E30)</f>
        <v>288225</v>
      </c>
      <c r="Q30" s="30">
        <f>SUM(F30:H30)</f>
        <v>356850</v>
      </c>
      <c r="R30" s="30">
        <f>SUM(I30:K30)</f>
        <v>351000</v>
      </c>
      <c r="S30" s="30">
        <f>SUM(L30:N30)</f>
        <v>416325</v>
      </c>
      <c r="U30" s="30">
        <f>SUM(P30:S30)</f>
        <v>1412400</v>
      </c>
    </row>
    <row r="31" spans="2:21" ht="15" hidden="1" customHeight="1" outlineLevel="1" x14ac:dyDescent="0.2">
      <c r="B31" s="40" t="s">
        <v>32</v>
      </c>
      <c r="C31" s="41">
        <f t="shared" ref="C31:N31" si="21">((C24*C25)-C26-C27)*C28*C29-C30</f>
        <v>0</v>
      </c>
      <c r="D31" s="41">
        <f t="shared" si="21"/>
        <v>0</v>
      </c>
      <c r="E31" s="41">
        <f t="shared" si="21"/>
        <v>0</v>
      </c>
      <c r="F31" s="41">
        <f t="shared" si="21"/>
        <v>0</v>
      </c>
      <c r="G31" s="41">
        <f t="shared" si="21"/>
        <v>0</v>
      </c>
      <c r="H31" s="41">
        <f t="shared" si="21"/>
        <v>0</v>
      </c>
      <c r="I31" s="41">
        <f t="shared" si="21"/>
        <v>0</v>
      </c>
      <c r="J31" s="41">
        <f t="shared" si="21"/>
        <v>0</v>
      </c>
      <c r="K31" s="41">
        <f t="shared" si="21"/>
        <v>0</v>
      </c>
      <c r="L31" s="41">
        <f t="shared" si="21"/>
        <v>0</v>
      </c>
      <c r="M31" s="41">
        <f t="shared" si="21"/>
        <v>0</v>
      </c>
      <c r="N31" s="41">
        <f t="shared" si="21"/>
        <v>0</v>
      </c>
      <c r="O31" s="40"/>
      <c r="P31" s="41"/>
      <c r="Q31" s="41"/>
      <c r="R31" s="41"/>
      <c r="S31" s="41"/>
      <c r="T31" s="40"/>
      <c r="U31" s="41"/>
    </row>
    <row r="32" spans="2:21" ht="15" customHeight="1" collapsed="1" x14ac:dyDescent="0.2">
      <c r="P32" s="39"/>
      <c r="Q32" s="39"/>
      <c r="R32" s="39"/>
      <c r="S32" s="39"/>
      <c r="U32" s="39"/>
    </row>
    <row r="33" spans="2:21" ht="15" customHeight="1" x14ac:dyDescent="0.2">
      <c r="B33" s="24" t="s">
        <v>23</v>
      </c>
    </row>
    <row r="34" spans="2:21" ht="15" customHeight="1" x14ac:dyDescent="0.2">
      <c r="B34" s="24" t="s">
        <v>24</v>
      </c>
      <c r="C34" s="44">
        <v>2100000</v>
      </c>
      <c r="D34" s="44">
        <f>C38</f>
        <v>1866222.9098961866</v>
      </c>
      <c r="E34" s="44">
        <f t="shared" ref="E34:N34" si="22">D38</f>
        <v>1702683.0885406779</v>
      </c>
      <c r="F34" s="44">
        <f t="shared" si="22"/>
        <v>1554526.2137847058</v>
      </c>
      <c r="G34" s="44">
        <f t="shared" si="22"/>
        <v>1394173.4035766392</v>
      </c>
      <c r="H34" s="44">
        <f t="shared" si="22"/>
        <v>1124759.5342026879</v>
      </c>
      <c r="I34" s="44">
        <f t="shared" si="22"/>
        <v>1148514.3926584567</v>
      </c>
      <c r="J34" s="44">
        <f t="shared" si="22"/>
        <v>955362.03962573083</v>
      </c>
      <c r="K34" s="44">
        <f t="shared" si="22"/>
        <v>666831.80492477468</v>
      </c>
      <c r="L34" s="44">
        <f t="shared" si="22"/>
        <v>673938.48691605846</v>
      </c>
      <c r="M34" s="44">
        <f t="shared" si="22"/>
        <v>548231.2435707706</v>
      </c>
      <c r="N34" s="44">
        <f t="shared" si="22"/>
        <v>379848.56371353345</v>
      </c>
      <c r="O34" s="44"/>
      <c r="P34" s="44">
        <f>C34</f>
        <v>2100000</v>
      </c>
      <c r="Q34" s="44">
        <f>P38</f>
        <v>1554526.2137847058</v>
      </c>
      <c r="R34" s="44">
        <f t="shared" ref="R34:S34" si="23">Q38</f>
        <v>1148514.3926584567</v>
      </c>
      <c r="S34" s="44">
        <f t="shared" si="23"/>
        <v>673938.4869160587</v>
      </c>
      <c r="T34" s="44"/>
      <c r="U34" s="44">
        <f>P34</f>
        <v>2100000</v>
      </c>
    </row>
    <row r="35" spans="2:21" ht="15" customHeight="1" x14ac:dyDescent="0.2">
      <c r="B35" s="31" t="s">
        <v>18</v>
      </c>
      <c r="C35" s="42">
        <f t="shared" ref="C35:N35" si="24">C11</f>
        <v>220722.9098961867</v>
      </c>
      <c r="D35" s="42">
        <f t="shared" si="24"/>
        <v>268235.17864449124</v>
      </c>
      <c r="E35" s="42">
        <f t="shared" si="24"/>
        <v>351793.12524402793</v>
      </c>
      <c r="F35" s="42">
        <f t="shared" si="24"/>
        <v>330322.1897919334</v>
      </c>
      <c r="G35" s="42">
        <f t="shared" si="24"/>
        <v>324586.1306260486</v>
      </c>
      <c r="H35" s="42">
        <f t="shared" si="24"/>
        <v>563754.85845576867</v>
      </c>
      <c r="I35" s="42">
        <f t="shared" si="24"/>
        <v>319847.6469672742</v>
      </c>
      <c r="J35" s="42">
        <f t="shared" si="24"/>
        <v>331319.76529904379</v>
      </c>
      <c r="K35" s="42">
        <f t="shared" si="24"/>
        <v>542431.68199128378</v>
      </c>
      <c r="L35" s="42">
        <f t="shared" si="24"/>
        <v>486442.75665471214</v>
      </c>
      <c r="M35" s="42">
        <f t="shared" si="24"/>
        <v>414617.32014276285</v>
      </c>
      <c r="N35" s="42">
        <f t="shared" si="24"/>
        <v>576349.24923303747</v>
      </c>
      <c r="O35" s="42"/>
      <c r="P35" s="42">
        <f t="shared" ref="P35:P37" si="25">SUM(C35:E35)</f>
        <v>840751.21378470585</v>
      </c>
      <c r="Q35" s="42">
        <f t="shared" ref="Q35:Q37" si="26">SUM(F35:H35)</f>
        <v>1218663.1788737508</v>
      </c>
      <c r="R35" s="42">
        <f t="shared" ref="R35:R37" si="27">SUM(I35:K35)</f>
        <v>1193599.0942576018</v>
      </c>
      <c r="S35" s="42">
        <f t="shared" ref="S35:S37" si="28">SUM(L35:N35)</f>
        <v>1477409.3260305123</v>
      </c>
      <c r="T35" s="42"/>
      <c r="U35" s="42">
        <f t="shared" ref="U35:U37" si="29">SUM(P35:S35)</f>
        <v>4730422.812946571</v>
      </c>
    </row>
    <row r="36" spans="2:21" ht="15" customHeight="1" x14ac:dyDescent="0.2">
      <c r="B36" s="31" t="s">
        <v>26</v>
      </c>
      <c r="C36" s="42">
        <f>-C20</f>
        <v>-360000</v>
      </c>
      <c r="D36" s="42">
        <f t="shared" ref="D36:N36" si="30">-D20</f>
        <v>-342000</v>
      </c>
      <c r="E36" s="42">
        <f t="shared" si="30"/>
        <v>-396000</v>
      </c>
      <c r="F36" s="42">
        <f t="shared" si="30"/>
        <v>-379525</v>
      </c>
      <c r="G36" s="42">
        <f t="shared" si="30"/>
        <v>-465300</v>
      </c>
      <c r="H36" s="42">
        <f t="shared" si="30"/>
        <v>-423000</v>
      </c>
      <c r="I36" s="42">
        <f t="shared" si="30"/>
        <v>-401850</v>
      </c>
      <c r="J36" s="42">
        <f t="shared" si="30"/>
        <v>-491150</v>
      </c>
      <c r="K36" s="42">
        <f t="shared" si="30"/>
        <v>-424175</v>
      </c>
      <c r="L36" s="42">
        <f t="shared" si="30"/>
        <v>-468825</v>
      </c>
      <c r="M36" s="42">
        <f t="shared" si="30"/>
        <v>-446500</v>
      </c>
      <c r="N36" s="42">
        <f t="shared" si="30"/>
        <v>-470000</v>
      </c>
      <c r="O36" s="42"/>
      <c r="P36" s="42">
        <f t="shared" si="25"/>
        <v>-1098000</v>
      </c>
      <c r="Q36" s="42">
        <f t="shared" si="26"/>
        <v>-1267825</v>
      </c>
      <c r="R36" s="42">
        <f t="shared" si="27"/>
        <v>-1317175</v>
      </c>
      <c r="S36" s="42">
        <f t="shared" si="28"/>
        <v>-1385325</v>
      </c>
      <c r="T36" s="42"/>
      <c r="U36" s="42">
        <f t="shared" si="29"/>
        <v>-5068325</v>
      </c>
    </row>
    <row r="37" spans="2:21" ht="15" customHeight="1" x14ac:dyDescent="0.2">
      <c r="B37" s="32" t="s">
        <v>31</v>
      </c>
      <c r="C37" s="43">
        <f>-C30</f>
        <v>-94500</v>
      </c>
      <c r="D37" s="43">
        <f t="shared" ref="D37:N37" si="31">-D30</f>
        <v>-89775</v>
      </c>
      <c r="E37" s="43">
        <f t="shared" si="31"/>
        <v>-103950</v>
      </c>
      <c r="F37" s="43">
        <f t="shared" si="31"/>
        <v>-111150</v>
      </c>
      <c r="G37" s="43">
        <f t="shared" si="31"/>
        <v>-128700</v>
      </c>
      <c r="H37" s="43">
        <f t="shared" si="31"/>
        <v>-117000</v>
      </c>
      <c r="I37" s="43">
        <f t="shared" si="31"/>
        <v>-111150</v>
      </c>
      <c r="J37" s="43">
        <f t="shared" si="31"/>
        <v>-128700</v>
      </c>
      <c r="K37" s="43">
        <f t="shared" si="31"/>
        <v>-111150</v>
      </c>
      <c r="L37" s="43">
        <f t="shared" si="31"/>
        <v>-143325</v>
      </c>
      <c r="M37" s="43">
        <f t="shared" si="31"/>
        <v>-136500</v>
      </c>
      <c r="N37" s="43">
        <f t="shared" si="31"/>
        <v>-136500</v>
      </c>
      <c r="O37" s="42"/>
      <c r="P37" s="43">
        <f t="shared" si="25"/>
        <v>-288225</v>
      </c>
      <c r="Q37" s="43">
        <f t="shared" si="26"/>
        <v>-356850</v>
      </c>
      <c r="R37" s="43">
        <f t="shared" si="27"/>
        <v>-351000</v>
      </c>
      <c r="S37" s="43">
        <f t="shared" si="28"/>
        <v>-416325</v>
      </c>
      <c r="T37" s="42"/>
      <c r="U37" s="43">
        <f t="shared" si="29"/>
        <v>-1412400</v>
      </c>
    </row>
    <row r="38" spans="2:21" ht="15" customHeight="1" x14ac:dyDescent="0.2">
      <c r="B38" s="24" t="s">
        <v>25</v>
      </c>
      <c r="C38" s="44">
        <f>SUM(C34:C37)</f>
        <v>1866222.9098961866</v>
      </c>
      <c r="D38" s="44">
        <f t="shared" ref="D38:N38" si="32">SUM(D34:D37)</f>
        <v>1702683.0885406779</v>
      </c>
      <c r="E38" s="44">
        <f t="shared" si="32"/>
        <v>1554526.2137847058</v>
      </c>
      <c r="F38" s="44">
        <f t="shared" si="32"/>
        <v>1394173.4035766392</v>
      </c>
      <c r="G38" s="44">
        <f t="shared" si="32"/>
        <v>1124759.5342026879</v>
      </c>
      <c r="H38" s="44">
        <f t="shared" si="32"/>
        <v>1148514.3926584567</v>
      </c>
      <c r="I38" s="44">
        <f t="shared" si="32"/>
        <v>955362.03962573083</v>
      </c>
      <c r="J38" s="44">
        <f t="shared" si="32"/>
        <v>666831.80492477468</v>
      </c>
      <c r="K38" s="44">
        <f t="shared" si="32"/>
        <v>673938.48691605846</v>
      </c>
      <c r="L38" s="44">
        <f t="shared" si="32"/>
        <v>548231.2435707706</v>
      </c>
      <c r="M38" s="44">
        <f t="shared" si="32"/>
        <v>379848.56371353345</v>
      </c>
      <c r="N38" s="44">
        <f t="shared" si="32"/>
        <v>349697.81294657092</v>
      </c>
      <c r="O38" s="44"/>
      <c r="P38" s="44">
        <f t="shared" ref="P38:S38" si="33">SUM(P34:P37)</f>
        <v>1554526.2137847058</v>
      </c>
      <c r="Q38" s="44">
        <f t="shared" si="33"/>
        <v>1148514.3926584567</v>
      </c>
      <c r="R38" s="44">
        <f t="shared" si="33"/>
        <v>673938.4869160587</v>
      </c>
      <c r="S38" s="44">
        <f t="shared" si="33"/>
        <v>349697.81294657104</v>
      </c>
      <c r="T38" s="44"/>
      <c r="U38" s="44">
        <f t="shared" ref="U38" si="34">SUM(U34:U37)</f>
        <v>349697.81294657104</v>
      </c>
    </row>
    <row r="40" spans="2:21" ht="15" customHeight="1" x14ac:dyDescent="0.2">
      <c r="B40" s="24" t="s">
        <v>73</v>
      </c>
    </row>
    <row r="41" spans="2:21" ht="15" customHeight="1" x14ac:dyDescent="0.2">
      <c r="B41" s="25" t="s">
        <v>76</v>
      </c>
      <c r="C41" s="28">
        <f>(Current!C4*Current!C6)*(Current!$S$4*Current!C7)</f>
        <v>54432</v>
      </c>
      <c r="D41" s="28">
        <f>(Current!D4*Current!D6)*(Current!$S$4*Current!D7)</f>
        <v>51840</v>
      </c>
      <c r="E41" s="28">
        <f>(Current!E4*Current!E6)*(Current!$S$4*Current!E7)</f>
        <v>59616</v>
      </c>
      <c r="F41" s="28">
        <f>(Current!F4*Current!F6)*(Current!$S$4*Current!F7)</f>
        <v>57527.999999999993</v>
      </c>
      <c r="G41" s="28">
        <f>(Current!G4*Current!G6)*(Current!$S$4*Current!G7)</f>
        <v>70048.799999999988</v>
      </c>
      <c r="H41" s="28">
        <f>(Current!H4*Current!H6)*(Current!$S$4*Current!H7)</f>
        <v>63957.599999999999</v>
      </c>
      <c r="I41" s="28">
        <f>(Current!I4*Current!I6)*(Current!$S$4*Current!I7)</f>
        <v>60911.999999999993</v>
      </c>
      <c r="J41" s="28">
        <f>(Current!J4*Current!J6)*(Current!$S$4*Current!J7)</f>
        <v>73940.399999999994</v>
      </c>
      <c r="K41" s="28">
        <f>(Current!K4*Current!K6)*(Current!$S$4*Current!K7)</f>
        <v>64295.999999999993</v>
      </c>
      <c r="L41" s="28">
        <f>(Current!L4*Current!L6)*(Current!$S$4*Current!L7)</f>
        <v>70725.599999999991</v>
      </c>
      <c r="M41" s="28">
        <f>(Current!M4*Current!M6)*(Current!$S$4*Current!M7)</f>
        <v>67510.799999999988</v>
      </c>
      <c r="N41" s="28">
        <f>(Current!N4*Current!N6)*(Current!$S$4*Current!N7)</f>
        <v>71064</v>
      </c>
      <c r="P41" s="28">
        <f t="shared" ref="P41:P44" si="35">SUM(C41:E41)</f>
        <v>165888</v>
      </c>
      <c r="Q41" s="28">
        <f t="shared" ref="Q41:Q44" si="36">SUM(F41:H41)</f>
        <v>191534.4</v>
      </c>
      <c r="R41" s="28">
        <f t="shared" ref="R41:R44" si="37">SUM(I41:K41)</f>
        <v>199148.4</v>
      </c>
      <c r="S41" s="28">
        <f t="shared" ref="S41:S44" si="38">SUM(L41:N41)</f>
        <v>209300.39999999997</v>
      </c>
      <c r="U41" s="28">
        <f t="shared" ref="U41:U44" si="39">SUM(P41:S41)</f>
        <v>765871.2</v>
      </c>
    </row>
    <row r="42" spans="2:21" ht="15" customHeight="1" x14ac:dyDescent="0.2">
      <c r="B42" s="25" t="s">
        <v>77</v>
      </c>
      <c r="C42" s="35">
        <f>(Current!C4*Current!C13)*(Current!$S$5*Current!C14)</f>
        <v>34398</v>
      </c>
      <c r="D42" s="35">
        <f>(Current!D4*Current!D13)*(Current!$S$5*Current!D14)</f>
        <v>32760.000000000004</v>
      </c>
      <c r="E42" s="35">
        <f>(Current!E4*Current!E13)*(Current!$S$5*Current!E14)</f>
        <v>37674</v>
      </c>
      <c r="F42" s="35">
        <f>(Current!F4*Current!F13)*(Current!$S$5*Current!F14)</f>
        <v>40560</v>
      </c>
      <c r="G42" s="35">
        <f>(Current!G4*Current!G13)*(Current!$S$5*Current!G14)</f>
        <v>46644</v>
      </c>
      <c r="H42" s="35">
        <f>(Current!H4*Current!H13)*(Current!$S$5*Current!H14)</f>
        <v>42588</v>
      </c>
      <c r="I42" s="35">
        <f>(Current!I4*Current!I13)*(Current!$S$5*Current!I14)</f>
        <v>40560</v>
      </c>
      <c r="J42" s="35">
        <f>(Current!J4*Current!J13)*(Current!$S$5*Current!J14)</f>
        <v>46644</v>
      </c>
      <c r="K42" s="35">
        <f>(Current!K4*Current!K13)*(Current!$S$5*Current!K14)</f>
        <v>40560</v>
      </c>
      <c r="L42" s="35">
        <f>(Current!L4*Current!L13)*(Current!$S$5*Current!L14)</f>
        <v>52052</v>
      </c>
      <c r="M42" s="35">
        <f>(Current!M4*Current!M13)*(Current!$S$5*Current!M14)</f>
        <v>49686</v>
      </c>
      <c r="N42" s="35">
        <f>(Current!N4*Current!N13)*(Current!$S$5*Current!N14)</f>
        <v>49686</v>
      </c>
      <c r="P42" s="35">
        <f t="shared" si="35"/>
        <v>104832</v>
      </c>
      <c r="Q42" s="35">
        <f t="shared" si="36"/>
        <v>129792</v>
      </c>
      <c r="R42" s="35">
        <f t="shared" si="37"/>
        <v>127764</v>
      </c>
      <c r="S42" s="35">
        <f t="shared" si="38"/>
        <v>151424</v>
      </c>
      <c r="U42" s="35">
        <f t="shared" si="39"/>
        <v>513812</v>
      </c>
    </row>
    <row r="43" spans="2:21" ht="15" customHeight="1" x14ac:dyDescent="0.2">
      <c r="B43" s="33" t="s">
        <v>81</v>
      </c>
      <c r="C43" s="34">
        <f>Current!C27*Current!$S$6</f>
        <v>22978.53495173949</v>
      </c>
      <c r="D43" s="34">
        <f>Current!D27*Current!$S$6</f>
        <v>25363.624733213503</v>
      </c>
      <c r="E43" s="34">
        <f>Current!E27*Current!$S$6</f>
        <v>39787.775995352786</v>
      </c>
      <c r="F43" s="34">
        <f>Current!F27*Current!$S$6</f>
        <v>24514.061580338046</v>
      </c>
      <c r="G43" s="34">
        <f>Current!G27*Current!$S$6</f>
        <v>28245.545697242967</v>
      </c>
      <c r="H43" s="34">
        <f>Current!H27*Current!$S$6</f>
        <v>41631.606013879624</v>
      </c>
      <c r="I43" s="34">
        <f>Current!I27*Current!$S$6</f>
        <v>35366.035251830028</v>
      </c>
      <c r="J43" s="34">
        <f>Current!J27*Current!$S$6</f>
        <v>30706.791727776828</v>
      </c>
      <c r="K43" s="34">
        <f>Current!K27*Current!$S$6</f>
        <v>40959.427710628945</v>
      </c>
      <c r="L43" s="34">
        <f>Current!L27*Current!$S$6</f>
        <v>29209.086458936905</v>
      </c>
      <c r="M43" s="34">
        <f>Current!M27*Current!$S$6</f>
        <v>36196.67383949722</v>
      </c>
      <c r="N43" s="34">
        <f>Current!N27*Current!$S$6</f>
        <v>38756.318595031647</v>
      </c>
      <c r="P43" s="34">
        <f t="shared" si="35"/>
        <v>88129.935680305774</v>
      </c>
      <c r="Q43" s="34">
        <f t="shared" si="36"/>
        <v>94391.213291460648</v>
      </c>
      <c r="R43" s="34">
        <f t="shared" si="37"/>
        <v>107032.2546902358</v>
      </c>
      <c r="S43" s="34">
        <f t="shared" si="38"/>
        <v>104162.07889346578</v>
      </c>
      <c r="U43" s="34">
        <f t="shared" si="39"/>
        <v>393715.48255546798</v>
      </c>
    </row>
    <row r="44" spans="2:21" ht="15" customHeight="1" x14ac:dyDescent="0.2">
      <c r="B44" s="24" t="s">
        <v>74</v>
      </c>
      <c r="C44" s="54">
        <f t="shared" ref="C44:N44" si="40">SUM(C41:C43)</f>
        <v>111808.53495173949</v>
      </c>
      <c r="D44" s="54">
        <f t="shared" si="40"/>
        <v>109963.62473321351</v>
      </c>
      <c r="E44" s="54">
        <f t="shared" si="40"/>
        <v>137077.77599535277</v>
      </c>
      <c r="F44" s="54">
        <f t="shared" si="40"/>
        <v>122602.06158033805</v>
      </c>
      <c r="G44" s="54">
        <f t="shared" si="40"/>
        <v>144938.34569724294</v>
      </c>
      <c r="H44" s="54">
        <f t="shared" si="40"/>
        <v>148177.20601387962</v>
      </c>
      <c r="I44" s="54">
        <f t="shared" si="40"/>
        <v>136838.03525183004</v>
      </c>
      <c r="J44" s="54">
        <f t="shared" si="40"/>
        <v>151291.19172777684</v>
      </c>
      <c r="K44" s="54">
        <f t="shared" si="40"/>
        <v>145815.42771062895</v>
      </c>
      <c r="L44" s="54">
        <f t="shared" si="40"/>
        <v>151986.68645893689</v>
      </c>
      <c r="M44" s="54">
        <f t="shared" si="40"/>
        <v>153393.47383949719</v>
      </c>
      <c r="N44" s="54">
        <f t="shared" si="40"/>
        <v>159506.31859503165</v>
      </c>
      <c r="P44" s="54">
        <f t="shared" si="35"/>
        <v>358849.93568030576</v>
      </c>
      <c r="Q44" s="54">
        <f t="shared" si="36"/>
        <v>415717.61329146061</v>
      </c>
      <c r="R44" s="54">
        <f t="shared" si="37"/>
        <v>433944.65469023585</v>
      </c>
      <c r="S44" s="54">
        <f t="shared" si="38"/>
        <v>464886.47889346571</v>
      </c>
      <c r="U44" s="54">
        <f t="shared" si="39"/>
        <v>1673398.6825554678</v>
      </c>
    </row>
    <row r="46" spans="2:21" ht="15" customHeight="1" x14ac:dyDescent="0.2">
      <c r="B46" s="24" t="s">
        <v>82</v>
      </c>
      <c r="C46" s="39">
        <f>(C20+C30)-C44</f>
        <v>342691.46504826052</v>
      </c>
      <c r="D46" s="39">
        <f t="shared" ref="D46:N46" si="41">(D20+D30)-D44</f>
        <v>321811.37526678649</v>
      </c>
      <c r="E46" s="39">
        <f t="shared" si="41"/>
        <v>362872.22400464723</v>
      </c>
      <c r="F46" s="39">
        <f t="shared" si="41"/>
        <v>368072.93841966195</v>
      </c>
      <c r="G46" s="39">
        <f t="shared" si="41"/>
        <v>449061.65430275706</v>
      </c>
      <c r="H46" s="39">
        <f t="shared" si="41"/>
        <v>391822.79398612038</v>
      </c>
      <c r="I46" s="39">
        <f t="shared" si="41"/>
        <v>376161.96474816999</v>
      </c>
      <c r="J46" s="39">
        <f t="shared" si="41"/>
        <v>468558.80827222316</v>
      </c>
      <c r="K46" s="39">
        <f t="shared" si="41"/>
        <v>389509.57228937105</v>
      </c>
      <c r="L46" s="39">
        <f t="shared" si="41"/>
        <v>460163.31354106311</v>
      </c>
      <c r="M46" s="39">
        <f t="shared" si="41"/>
        <v>429606.52616050281</v>
      </c>
      <c r="N46" s="39">
        <f t="shared" si="41"/>
        <v>446993.68140496837</v>
      </c>
      <c r="P46" s="39">
        <f t="shared" ref="P46:S46" si="42">(P20+P30)-P44</f>
        <v>1027375.0643196942</v>
      </c>
      <c r="Q46" s="39">
        <f t="shared" si="42"/>
        <v>1208957.3867085394</v>
      </c>
      <c r="R46" s="39">
        <f t="shared" si="42"/>
        <v>1234230.3453097641</v>
      </c>
      <c r="S46" s="39">
        <f t="shared" si="42"/>
        <v>1336763.5211065342</v>
      </c>
      <c r="U46" s="39">
        <f t="shared" ref="U46" si="43">(U20+U30)-U44</f>
        <v>4807326.3174445322</v>
      </c>
    </row>
    <row r="47" spans="2:21" ht="15" customHeight="1" x14ac:dyDescent="0.2">
      <c r="B47" s="24" t="s">
        <v>83</v>
      </c>
      <c r="C47" s="55">
        <f>C46/(C20+C30)</f>
        <v>0.75399662276845003</v>
      </c>
      <c r="D47" s="55">
        <f t="shared" ref="D47:N47" si="44">D46/(D20+D30)</f>
        <v>0.74532192754741822</v>
      </c>
      <c r="E47" s="55">
        <f t="shared" si="44"/>
        <v>0.72581702971226569</v>
      </c>
      <c r="F47" s="55">
        <f t="shared" si="44"/>
        <v>0.75013591159048643</v>
      </c>
      <c r="G47" s="55">
        <f t="shared" si="44"/>
        <v>0.75599605101474254</v>
      </c>
      <c r="H47" s="55">
        <f t="shared" si="44"/>
        <v>0.72559776664096365</v>
      </c>
      <c r="I47" s="55">
        <f t="shared" si="44"/>
        <v>0.73325919054224176</v>
      </c>
      <c r="J47" s="55">
        <f t="shared" si="44"/>
        <v>0.75592289791437151</v>
      </c>
      <c r="K47" s="55">
        <f t="shared" si="44"/>
        <v>0.7276132672476926</v>
      </c>
      <c r="L47" s="55">
        <f t="shared" si="44"/>
        <v>0.75171659485593911</v>
      </c>
      <c r="M47" s="55">
        <f t="shared" si="44"/>
        <v>0.73688941022384702</v>
      </c>
      <c r="N47" s="55">
        <f t="shared" si="44"/>
        <v>0.7370052455151993</v>
      </c>
      <c r="P47" s="55">
        <f t="shared" ref="P47:S47" si="45">P46/(P20+P30)</f>
        <v>0.74113153659737352</v>
      </c>
      <c r="Q47" s="55">
        <f t="shared" si="45"/>
        <v>0.74412260095621552</v>
      </c>
      <c r="R47" s="55">
        <f t="shared" si="45"/>
        <v>0.73986862607925674</v>
      </c>
      <c r="S47" s="55">
        <f t="shared" si="45"/>
        <v>0.74196626487194195</v>
      </c>
      <c r="U47" s="55">
        <f t="shared" ref="U47" si="46">U46/(U20+U30)</f>
        <v>0.74178835198909565</v>
      </c>
    </row>
    <row r="48" spans="2:21" ht="15" customHeight="1" x14ac:dyDescent="0.2">
      <c r="C48" s="55"/>
    </row>
    <row r="49" spans="2:21" ht="15" customHeight="1" x14ac:dyDescent="0.2">
      <c r="B49" s="24" t="s">
        <v>78</v>
      </c>
    </row>
    <row r="50" spans="2:21" ht="15" customHeight="1" x14ac:dyDescent="0.2">
      <c r="B50" s="25" t="s">
        <v>79</v>
      </c>
      <c r="C50" s="35">
        <f>(Current!C6*Current!C4*Current!$S$9)+(Current!C13*Current!C4*Current!$S$10)</f>
        <v>141277.5</v>
      </c>
      <c r="D50" s="35">
        <f>(Current!D6*Current!D4*Current!$S$9)+(Current!D13*Current!D4*Current!$S$10)</f>
        <v>134550</v>
      </c>
      <c r="E50" s="35">
        <f>(Current!E6*Current!E4*Current!$S$9)+(Current!E13*Current!E4*Current!$S$10)</f>
        <v>154732.5</v>
      </c>
      <c r="F50" s="35">
        <f>(Current!F6*Current!F4*Current!$S$9)+(Current!F13*Current!F4*Current!$S$10)</f>
        <v>148590</v>
      </c>
      <c r="G50" s="35">
        <f>(Current!G6*Current!G4*Current!$S$9)+(Current!G13*Current!G4*Current!$S$10)</f>
        <v>177606</v>
      </c>
      <c r="H50" s="35">
        <f>(Current!H6*Current!H4*Current!$S$9)+(Current!H13*Current!H4*Current!$S$10)</f>
        <v>162162</v>
      </c>
      <c r="I50" s="35">
        <f>(Current!I6*Current!I4*Current!$S$9)+(Current!I13*Current!I4*Current!$S$10)</f>
        <v>154440</v>
      </c>
      <c r="J50" s="35">
        <f>(Current!J6*Current!J4*Current!$S$9)+(Current!J13*Current!J4*Current!$S$10)</f>
        <v>184333.5</v>
      </c>
      <c r="K50" s="35">
        <f>(Current!K6*Current!K4*Current!$S$9)+(Current!K13*Current!K4*Current!$S$10)</f>
        <v>160290</v>
      </c>
      <c r="L50" s="35">
        <f>(Current!L6*Current!L4*Current!$S$9)+(Current!L13*Current!L4*Current!$S$10)</f>
        <v>185328</v>
      </c>
      <c r="M50" s="35">
        <f>(Current!M6*Current!M4*Current!$S$9)+(Current!M13*Current!M4*Current!$S$10)</f>
        <v>176904</v>
      </c>
      <c r="N50" s="35">
        <f>(Current!N6*Current!N4*Current!$S$9)+(Current!N13*Current!N4*Current!$S$10)</f>
        <v>183046.5</v>
      </c>
      <c r="P50" s="35">
        <f t="shared" ref="P50:P52" si="47">SUM(C50:E50)</f>
        <v>430560</v>
      </c>
      <c r="Q50" s="35">
        <f t="shared" ref="Q50:Q52" si="48">SUM(F50:H50)</f>
        <v>488358</v>
      </c>
      <c r="R50" s="35">
        <f t="shared" ref="R50:R52" si="49">SUM(I50:K50)</f>
        <v>499063.5</v>
      </c>
      <c r="S50" s="35">
        <f t="shared" ref="S50:S52" si="50">SUM(L50:N50)</f>
        <v>545278.5</v>
      </c>
      <c r="U50" s="35">
        <f t="shared" ref="U50:U52" si="51">SUM(P50:S50)</f>
        <v>1963260</v>
      </c>
    </row>
    <row r="51" spans="2:21" ht="15" customHeight="1" x14ac:dyDescent="0.2">
      <c r="B51" s="33" t="s">
        <v>80</v>
      </c>
      <c r="C51" s="34">
        <f>Current!C27*Current!$S$11</f>
        <v>76595.116505798287</v>
      </c>
      <c r="D51" s="34">
        <f>Current!D27*Current!$S$11</f>
        <v>84545.415777378337</v>
      </c>
      <c r="E51" s="34">
        <f>Current!E27*Current!$S$11</f>
        <v>132625.91998450927</v>
      </c>
      <c r="F51" s="34">
        <f>Current!F27*Current!$S$11</f>
        <v>81713.538601126813</v>
      </c>
      <c r="G51" s="34">
        <f>Current!G27*Current!$S$11</f>
        <v>94151.818990809872</v>
      </c>
      <c r="H51" s="34">
        <f>Current!H27*Current!$S$11</f>
        <v>138772.02004626539</v>
      </c>
      <c r="I51" s="34">
        <f>Current!I27*Current!$S$11</f>
        <v>117886.78417276674</v>
      </c>
      <c r="J51" s="34">
        <f>Current!J27*Current!$S$11</f>
        <v>102355.97242592275</v>
      </c>
      <c r="K51" s="34">
        <f>Current!K27*Current!$S$11</f>
        <v>136531.42570209646</v>
      </c>
      <c r="L51" s="34">
        <f>Current!L27*Current!$S$11</f>
        <v>97363.621529789671</v>
      </c>
      <c r="M51" s="34">
        <f>Current!M27*Current!$S$11</f>
        <v>120655.57946499072</v>
      </c>
      <c r="N51" s="34">
        <f>Current!N27*Current!$S$11</f>
        <v>129187.72865010549</v>
      </c>
      <c r="P51" s="34">
        <f t="shared" si="47"/>
        <v>293766.45226768591</v>
      </c>
      <c r="Q51" s="34">
        <f t="shared" si="48"/>
        <v>314637.37763820204</v>
      </c>
      <c r="R51" s="34">
        <f t="shared" si="49"/>
        <v>356774.18230078591</v>
      </c>
      <c r="S51" s="34">
        <f t="shared" si="50"/>
        <v>347206.92964488588</v>
      </c>
      <c r="U51" s="34">
        <f t="shared" si="51"/>
        <v>1312384.9418515598</v>
      </c>
    </row>
    <row r="52" spans="2:21" ht="15" customHeight="1" x14ac:dyDescent="0.2">
      <c r="B52" s="24" t="s">
        <v>74</v>
      </c>
      <c r="C52" s="54">
        <f t="shared" ref="C52:N52" si="52">SUM(C50:C51)</f>
        <v>217872.6165057983</v>
      </c>
      <c r="D52" s="54">
        <f t="shared" si="52"/>
        <v>219095.41577737834</v>
      </c>
      <c r="E52" s="54">
        <f t="shared" si="52"/>
        <v>287358.41998450924</v>
      </c>
      <c r="F52" s="54">
        <f t="shared" si="52"/>
        <v>230303.53860112681</v>
      </c>
      <c r="G52" s="54">
        <f t="shared" si="52"/>
        <v>271757.81899080984</v>
      </c>
      <c r="H52" s="54">
        <f t="shared" si="52"/>
        <v>300934.02004626539</v>
      </c>
      <c r="I52" s="54">
        <f t="shared" si="52"/>
        <v>272326.78417276673</v>
      </c>
      <c r="J52" s="54">
        <f t="shared" si="52"/>
        <v>286689.47242592275</v>
      </c>
      <c r="K52" s="54">
        <f t="shared" si="52"/>
        <v>296821.42570209643</v>
      </c>
      <c r="L52" s="54">
        <f t="shared" si="52"/>
        <v>282691.62152978964</v>
      </c>
      <c r="M52" s="54">
        <f t="shared" si="52"/>
        <v>297559.5794649907</v>
      </c>
      <c r="N52" s="54">
        <f t="shared" si="52"/>
        <v>312234.22865010548</v>
      </c>
      <c r="P52" s="54">
        <f t="shared" si="47"/>
        <v>724326.45226768591</v>
      </c>
      <c r="Q52" s="54">
        <f t="shared" si="48"/>
        <v>802995.37763820204</v>
      </c>
      <c r="R52" s="54">
        <f t="shared" si="49"/>
        <v>855837.68230078591</v>
      </c>
      <c r="S52" s="54">
        <f t="shared" si="50"/>
        <v>892485.42964488571</v>
      </c>
      <c r="U52" s="54">
        <f t="shared" si="51"/>
        <v>3275644.94185156</v>
      </c>
    </row>
    <row r="54" spans="2:21" ht="15" customHeight="1" x14ac:dyDescent="0.2">
      <c r="B54" s="24" t="s">
        <v>87</v>
      </c>
      <c r="C54" s="39">
        <f t="shared" ref="C54:N54" si="53">C46-C52</f>
        <v>124818.84854246222</v>
      </c>
      <c r="D54" s="39">
        <f t="shared" si="53"/>
        <v>102715.95948940815</v>
      </c>
      <c r="E54" s="39">
        <f t="shared" si="53"/>
        <v>75513.804020137992</v>
      </c>
      <c r="F54" s="39">
        <f t="shared" si="53"/>
        <v>137769.39981853514</v>
      </c>
      <c r="G54" s="39">
        <f t="shared" si="53"/>
        <v>177303.83531194722</v>
      </c>
      <c r="H54" s="39">
        <f t="shared" si="53"/>
        <v>90888.773939854989</v>
      </c>
      <c r="I54" s="39">
        <f t="shared" si="53"/>
        <v>103835.18057540327</v>
      </c>
      <c r="J54" s="39">
        <f t="shared" si="53"/>
        <v>181869.33584630041</v>
      </c>
      <c r="K54" s="39">
        <f t="shared" si="53"/>
        <v>92688.146587274619</v>
      </c>
      <c r="L54" s="39">
        <f t="shared" si="53"/>
        <v>177471.69201127347</v>
      </c>
      <c r="M54" s="39">
        <f t="shared" si="53"/>
        <v>132046.9466955121</v>
      </c>
      <c r="N54" s="39">
        <f t="shared" si="53"/>
        <v>134759.4527548629</v>
      </c>
      <c r="P54" s="39">
        <f t="shared" ref="P54:S54" si="54">P46-P52</f>
        <v>303048.61205200828</v>
      </c>
      <c r="Q54" s="39">
        <f t="shared" si="54"/>
        <v>405962.0090703374</v>
      </c>
      <c r="R54" s="39">
        <f t="shared" si="54"/>
        <v>378392.66300897824</v>
      </c>
      <c r="S54" s="39">
        <f t="shared" si="54"/>
        <v>444278.09146164847</v>
      </c>
      <c r="U54" s="39">
        <f t="shared" ref="U54" si="55">U46-U52</f>
        <v>1531681.3755929722</v>
      </c>
    </row>
    <row r="55" spans="2:21" ht="15" customHeight="1" x14ac:dyDescent="0.2">
      <c r="B55" s="24" t="s">
        <v>88</v>
      </c>
      <c r="C55" s="55">
        <f>C54/(C20+C30)</f>
        <v>0.27462892968638553</v>
      </c>
      <c r="D55" s="55">
        <f t="shared" ref="D55:N55" si="56">D54/(D20+D30)</f>
        <v>0.23789232699764495</v>
      </c>
      <c r="E55" s="55">
        <f t="shared" si="56"/>
        <v>0.15104271231150712</v>
      </c>
      <c r="F55" s="55">
        <f t="shared" si="56"/>
        <v>0.28077525820254778</v>
      </c>
      <c r="G55" s="55">
        <f t="shared" si="56"/>
        <v>0.29849130523896839</v>
      </c>
      <c r="H55" s="55">
        <f t="shared" si="56"/>
        <v>0.16831254433306481</v>
      </c>
      <c r="I55" s="55">
        <f t="shared" si="56"/>
        <v>0.2024077594062442</v>
      </c>
      <c r="J55" s="55">
        <f t="shared" si="56"/>
        <v>0.29340862441929566</v>
      </c>
      <c r="K55" s="55">
        <f t="shared" si="56"/>
        <v>0.17314369137864777</v>
      </c>
      <c r="L55" s="55">
        <f t="shared" si="56"/>
        <v>0.2899153671669909</v>
      </c>
      <c r="M55" s="55">
        <f t="shared" si="56"/>
        <v>0.22649562040396587</v>
      </c>
      <c r="N55" s="55">
        <f t="shared" si="56"/>
        <v>0.22219200783983989</v>
      </c>
      <c r="P55" s="55">
        <f t="shared" ref="P55:U55" si="57">P54/(P20+P30)</f>
        <v>0.21861430291042816</v>
      </c>
      <c r="Q55" s="55">
        <f t="shared" si="57"/>
        <v>0.24987274936238779</v>
      </c>
      <c r="R55" s="55">
        <f t="shared" si="57"/>
        <v>0.22683031636907294</v>
      </c>
      <c r="S55" s="55">
        <f t="shared" si="57"/>
        <v>0.24659511639977158</v>
      </c>
      <c r="U55" s="55">
        <f t="shared" si="57"/>
        <v>0.23634413982895003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Cover</vt:lpstr>
      <vt:lpstr>Summary View</vt:lpstr>
      <vt:lpstr>Comparison --&gt;</vt:lpstr>
      <vt:lpstr>Prof Svcs - Current</vt:lpstr>
      <vt:lpstr>Prof Svcs - Prior</vt:lpstr>
      <vt:lpstr>Prof Svcs - Plan</vt:lpstr>
      <vt:lpstr>Scenarios --&gt;</vt:lpstr>
      <vt:lpstr>Data-Driven</vt:lpstr>
      <vt:lpstr>Prof Svcs - Data-Driven</vt:lpstr>
      <vt:lpstr>Services Stats --&gt;</vt:lpstr>
      <vt:lpstr>Backlog Details</vt:lpstr>
      <vt:lpstr>Consultant Stats</vt:lpstr>
      <vt:lpstr>Specialist Stats</vt:lpstr>
      <vt:lpstr>Admin --&gt;</vt:lpstr>
      <vt:lpstr>PS Roster</vt:lpstr>
      <vt:lpstr>Current</vt:lpstr>
      <vt:lpstr>Utilization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</dc:creator>
  <cp:lastModifiedBy>Vince P</cp:lastModifiedBy>
  <dcterms:created xsi:type="dcterms:W3CDTF">2023-02-01T00:29:30Z</dcterms:created>
  <dcterms:modified xsi:type="dcterms:W3CDTF">2023-02-02T22:50:34Z</dcterms:modified>
</cp:coreProperties>
</file>