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fldfsin-my.sharepoint.com/personal/dany_provost_sfl_ca/Documents/Documents/400 Médias/500 Guy St-Jean Éditeur/"/>
    </mc:Choice>
  </mc:AlternateContent>
  <xr:revisionPtr revIDLastSave="0" documentId="8_{C03C6EAA-C877-44B7-9C97-EAC430865262}" xr6:coauthVersionLast="47" xr6:coauthVersionMax="47" xr10:uidLastSave="{00000000-0000-0000-0000-000000000000}"/>
  <bookViews>
    <workbookView xWindow="28692" yWindow="-108" windowWidth="29016" windowHeight="15696" xr2:uid="{90CE1F4F-B41E-4D1A-8800-F839DB2DE47E}"/>
  </bookViews>
  <sheets>
    <sheet name="Budget" sheetId="2" r:id="rId1"/>
  </sheets>
  <definedNames>
    <definedName name="Duree">Budget!$C$5</definedName>
    <definedName name="Ligne1">#REF!</definedName>
    <definedName name="RangeNet">#REF!</definedName>
    <definedName name="RangeNet1">#REF!</definedName>
    <definedName name="RangeNet2">#REF!</definedName>
    <definedName name="TxHypoth">Budget!$C$17</definedName>
    <definedName name="TxREER">Budget!$C$39</definedName>
    <definedName name="ValNette">Budget!$C$43</definedName>
    <definedName name="_xlnm.Print_Area" localSheetId="0">Budget!$E$6:$AA$58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2" l="1"/>
  <c r="A30" i="2"/>
  <c r="A29" i="2"/>
  <c r="A43" i="2"/>
  <c r="C6" i="2" l="1"/>
  <c r="C16" i="2"/>
  <c r="G4" i="2" l="1"/>
  <c r="M10" i="2" s="1"/>
  <c r="F10" i="2"/>
  <c r="J10" i="2" s="1"/>
  <c r="F11" i="2"/>
  <c r="J11" i="2" s="1"/>
  <c r="F12" i="2"/>
  <c r="F13" i="2"/>
  <c r="F14" i="2"/>
  <c r="J14" i="2" s="1"/>
  <c r="F15" i="2"/>
  <c r="F16" i="2"/>
  <c r="F17" i="2"/>
  <c r="J17" i="2" s="1"/>
  <c r="F18" i="2"/>
  <c r="J18" i="2" s="1"/>
  <c r="F19" i="2"/>
  <c r="J19" i="2" s="1"/>
  <c r="F20" i="2"/>
  <c r="J20" i="2" s="1"/>
  <c r="F21" i="2"/>
  <c r="J21" i="2" s="1"/>
  <c r="F22" i="2"/>
  <c r="J22" i="2" s="1"/>
  <c r="F23" i="2"/>
  <c r="J23" i="2" s="1"/>
  <c r="F24" i="2"/>
  <c r="J24" i="2" s="1"/>
  <c r="F25" i="2"/>
  <c r="J25" i="2" s="1"/>
  <c r="F26" i="2"/>
  <c r="J26" i="2" s="1"/>
  <c r="F27" i="2"/>
  <c r="J27" i="2" s="1"/>
  <c r="F28" i="2"/>
  <c r="J28" i="2" s="1"/>
  <c r="F29" i="2"/>
  <c r="J29" i="2" s="1"/>
  <c r="F30" i="2"/>
  <c r="J30" i="2" s="1"/>
  <c r="F31" i="2"/>
  <c r="J31" i="2" s="1"/>
  <c r="F32" i="2"/>
  <c r="J32" i="2" s="1"/>
  <c r="F33" i="2"/>
  <c r="J33" i="2" s="1"/>
  <c r="F34" i="2"/>
  <c r="J34" i="2" s="1"/>
  <c r="F35" i="2"/>
  <c r="J35" i="2" s="1"/>
  <c r="F36" i="2"/>
  <c r="J36" i="2" s="1"/>
  <c r="F37" i="2"/>
  <c r="J37" i="2" s="1"/>
  <c r="F38" i="2"/>
  <c r="J38" i="2" s="1"/>
  <c r="F39" i="2"/>
  <c r="J39" i="2" s="1"/>
  <c r="F40" i="2"/>
  <c r="J40" i="2" s="1"/>
  <c r="F41" i="2"/>
  <c r="J41" i="2" s="1"/>
  <c r="F42" i="2"/>
  <c r="J42" i="2" s="1"/>
  <c r="F43" i="2"/>
  <c r="J43" i="2" s="1"/>
  <c r="F44" i="2"/>
  <c r="J44" i="2" s="1"/>
  <c r="F45" i="2"/>
  <c r="J45" i="2" s="1"/>
  <c r="F46" i="2"/>
  <c r="J46" i="2" s="1"/>
  <c r="F47" i="2"/>
  <c r="J47" i="2" s="1"/>
  <c r="F48" i="2"/>
  <c r="J48" i="2" s="1"/>
  <c r="F49" i="2"/>
  <c r="J49" i="2" s="1"/>
  <c r="F50" i="2"/>
  <c r="J50" i="2" s="1"/>
  <c r="F51" i="2"/>
  <c r="J51" i="2" s="1"/>
  <c r="F52" i="2"/>
  <c r="J52" i="2" s="1"/>
  <c r="F53" i="2"/>
  <c r="J53" i="2" s="1"/>
  <c r="F54" i="2"/>
  <c r="J54" i="2" s="1"/>
  <c r="F55" i="2"/>
  <c r="J55" i="2" s="1"/>
  <c r="F56" i="2"/>
  <c r="J56" i="2" s="1"/>
  <c r="F57" i="2"/>
  <c r="J57" i="2" s="1"/>
  <c r="F58" i="2"/>
  <c r="J58" i="2" s="1"/>
  <c r="F9" i="2"/>
  <c r="J9" i="2" s="1"/>
  <c r="Q4" i="2"/>
  <c r="Q5" i="2" s="1"/>
  <c r="C47" i="2"/>
  <c r="C50" i="2" s="1"/>
  <c r="J16" i="2" l="1"/>
  <c r="J15" i="2"/>
  <c r="J13" i="2"/>
  <c r="J12" i="2"/>
  <c r="I33" i="2"/>
  <c r="I57" i="2"/>
  <c r="I41" i="2"/>
  <c r="I17" i="2"/>
  <c r="I55" i="2"/>
  <c r="I31" i="2"/>
  <c r="I39" i="2"/>
  <c r="I23" i="2"/>
  <c r="I49" i="2"/>
  <c r="I25" i="2"/>
  <c r="I47" i="2"/>
  <c r="I15" i="2"/>
  <c r="M56" i="2"/>
  <c r="M46" i="2"/>
  <c r="M30" i="2"/>
  <c r="I56" i="2"/>
  <c r="I48" i="2"/>
  <c r="I40" i="2"/>
  <c r="I32" i="2"/>
  <c r="I24" i="2"/>
  <c r="I16" i="2"/>
  <c r="M57" i="2"/>
  <c r="M41" i="2"/>
  <c r="M25" i="2"/>
  <c r="M24" i="2"/>
  <c r="I38" i="2"/>
  <c r="I14" i="2"/>
  <c r="M55" i="2"/>
  <c r="M39" i="2"/>
  <c r="M22" i="2"/>
  <c r="M40" i="2"/>
  <c r="I54" i="2"/>
  <c r="I53" i="2"/>
  <c r="I45" i="2"/>
  <c r="I37" i="2"/>
  <c r="I29" i="2"/>
  <c r="I21" i="2"/>
  <c r="I13" i="2"/>
  <c r="M54" i="2"/>
  <c r="M38" i="2"/>
  <c r="M17" i="2"/>
  <c r="I30" i="2"/>
  <c r="I52" i="2"/>
  <c r="I44" i="2"/>
  <c r="I36" i="2"/>
  <c r="I28" i="2"/>
  <c r="I20" i="2"/>
  <c r="I12" i="2"/>
  <c r="M49" i="2"/>
  <c r="M33" i="2"/>
  <c r="M16" i="2"/>
  <c r="I9" i="2"/>
  <c r="I51" i="2"/>
  <c r="I43" i="2"/>
  <c r="I35" i="2"/>
  <c r="I27" i="2"/>
  <c r="I19" i="2"/>
  <c r="I11" i="2"/>
  <c r="M48" i="2"/>
  <c r="M32" i="2"/>
  <c r="I46" i="2"/>
  <c r="I22" i="2"/>
  <c r="I58" i="2"/>
  <c r="I50" i="2"/>
  <c r="I42" i="2"/>
  <c r="I34" i="2"/>
  <c r="I26" i="2"/>
  <c r="I18" i="2"/>
  <c r="I10" i="2"/>
  <c r="M47" i="2"/>
  <c r="M31" i="2"/>
  <c r="M23" i="2"/>
  <c r="M15" i="2"/>
  <c r="M14" i="2"/>
  <c r="M53" i="2"/>
  <c r="M45" i="2"/>
  <c r="M37" i="2"/>
  <c r="M29" i="2"/>
  <c r="M21" i="2"/>
  <c r="M13" i="2"/>
  <c r="M52" i="2"/>
  <c r="M44" i="2"/>
  <c r="M36" i="2"/>
  <c r="M28" i="2"/>
  <c r="M20" i="2"/>
  <c r="M12" i="2"/>
  <c r="M9" i="2"/>
  <c r="M51" i="2"/>
  <c r="M43" i="2"/>
  <c r="M35" i="2"/>
  <c r="M27" i="2"/>
  <c r="M19" i="2"/>
  <c r="M11" i="2"/>
  <c r="M58" i="2"/>
  <c r="M50" i="2"/>
  <c r="M42" i="2"/>
  <c r="M34" i="2"/>
  <c r="M26" i="2"/>
  <c r="M18" i="2"/>
  <c r="C48" i="2"/>
  <c r="C49" i="2"/>
  <c r="O9" i="2"/>
  <c r="V4" i="2"/>
  <c r="T4" i="2"/>
  <c r="D18" i="2" s="1"/>
  <c r="C46" i="2" s="1"/>
  <c r="A27" i="2" s="1"/>
  <c r="C10" i="2"/>
  <c r="D33" i="2"/>
  <c r="D34" i="2" s="1"/>
  <c r="C27" i="2" l="1"/>
  <c r="V10" i="2"/>
  <c r="V18" i="2"/>
  <c r="V26" i="2"/>
  <c r="V34" i="2"/>
  <c r="V42" i="2"/>
  <c r="V50" i="2"/>
  <c r="V58" i="2"/>
  <c r="V31" i="2"/>
  <c r="V47" i="2"/>
  <c r="V11" i="2"/>
  <c r="V19" i="2"/>
  <c r="V27" i="2"/>
  <c r="V35" i="2"/>
  <c r="V43" i="2"/>
  <c r="V51" i="2"/>
  <c r="V9" i="2"/>
  <c r="V15" i="2"/>
  <c r="V12" i="2"/>
  <c r="V20" i="2"/>
  <c r="V28" i="2"/>
  <c r="V36" i="2"/>
  <c r="V44" i="2"/>
  <c r="V52" i="2"/>
  <c r="V23" i="2"/>
  <c r="V55" i="2"/>
  <c r="V13" i="2"/>
  <c r="V21" i="2"/>
  <c r="V29" i="2"/>
  <c r="V37" i="2"/>
  <c r="V45" i="2"/>
  <c r="V53" i="2"/>
  <c r="V39" i="2"/>
  <c r="V14" i="2"/>
  <c r="V22" i="2"/>
  <c r="V30" i="2"/>
  <c r="V38" i="2"/>
  <c r="V46" i="2"/>
  <c r="V54" i="2"/>
  <c r="V16" i="2"/>
  <c r="V24" i="2"/>
  <c r="V32" i="2"/>
  <c r="V40" i="2"/>
  <c r="V48" i="2"/>
  <c r="V56" i="2"/>
  <c r="V17" i="2"/>
  <c r="V25" i="2"/>
  <c r="V33" i="2"/>
  <c r="V41" i="2"/>
  <c r="V49" i="2"/>
  <c r="V57" i="2"/>
  <c r="Y3" i="2"/>
  <c r="Y4" i="2"/>
  <c r="C29" i="2" l="1"/>
  <c r="Y5" i="2"/>
  <c r="C30" i="2" l="1"/>
  <c r="C31" i="2" l="1"/>
  <c r="S17" i="2" s="1"/>
  <c r="A34" i="2"/>
  <c r="S51" i="2"/>
  <c r="C34" i="2"/>
  <c r="X14" i="2" s="1"/>
  <c r="S23" i="2"/>
  <c r="S18" i="2"/>
  <c r="S56" i="2"/>
  <c r="G30" i="2"/>
  <c r="S40" i="2"/>
  <c r="S44" i="2"/>
  <c r="G38" i="2"/>
  <c r="S45" i="2"/>
  <c r="S49" i="2"/>
  <c r="G15" i="2"/>
  <c r="G27" i="2"/>
  <c r="S9" i="2"/>
  <c r="S38" i="2"/>
  <c r="G58" i="2"/>
  <c r="S58" i="2"/>
  <c r="S30" i="2"/>
  <c r="S32" i="2"/>
  <c r="S29" i="2"/>
  <c r="S16" i="2"/>
  <c r="G17" i="2"/>
  <c r="G19" i="2"/>
  <c r="S15" i="2"/>
  <c r="S50" i="2"/>
  <c r="W9" i="2"/>
  <c r="S33" i="2"/>
  <c r="G11" i="2"/>
  <c r="G54" i="2"/>
  <c r="G29" i="2"/>
  <c r="G13" i="2"/>
  <c r="S57" i="2"/>
  <c r="S52" i="2"/>
  <c r="S11" i="2"/>
  <c r="S46" i="2"/>
  <c r="S24" i="2"/>
  <c r="S54" i="2"/>
  <c r="G48" i="2"/>
  <c r="G46" i="2"/>
  <c r="G39" i="2"/>
  <c r="G55" i="2"/>
  <c r="G42" i="2"/>
  <c r="G16" i="2"/>
  <c r="G51" i="2"/>
  <c r="G47" i="2"/>
  <c r="G14" i="2"/>
  <c r="G36" i="2"/>
  <c r="G32" i="2"/>
  <c r="G9" i="2"/>
  <c r="G24" i="2"/>
  <c r="G22" i="2"/>
  <c r="G52" i="2"/>
  <c r="G40" i="2"/>
  <c r="G57" i="2"/>
  <c r="G41" i="2"/>
  <c r="G33" i="2"/>
  <c r="G25" i="2"/>
  <c r="G12" i="2"/>
  <c r="G45" i="2"/>
  <c r="G49" i="2"/>
  <c r="G50" i="2"/>
  <c r="G56" i="2" l="1"/>
  <c r="S42" i="2"/>
  <c r="G43" i="2"/>
  <c r="S27" i="2"/>
  <c r="S36" i="2"/>
  <c r="S53" i="2"/>
  <c r="S19" i="2"/>
  <c r="S20" i="2"/>
  <c r="G26" i="2"/>
  <c r="G37" i="2"/>
  <c r="S37" i="2"/>
  <c r="G21" i="2"/>
  <c r="S21" i="2"/>
  <c r="S26" i="2"/>
  <c r="S55" i="2"/>
  <c r="S13" i="2"/>
  <c r="S43" i="2"/>
  <c r="S35" i="2"/>
  <c r="G28" i="2"/>
  <c r="S14" i="2"/>
  <c r="S12" i="2"/>
  <c r="S48" i="2"/>
  <c r="G34" i="2"/>
  <c r="S39" i="2"/>
  <c r="G20" i="2"/>
  <c r="S47" i="2"/>
  <c r="S31" i="2"/>
  <c r="S22" i="2"/>
  <c r="G18" i="2"/>
  <c r="G44" i="2"/>
  <c r="S10" i="2"/>
  <c r="S34" i="2"/>
  <c r="G53" i="2"/>
  <c r="G31" i="2"/>
  <c r="S28" i="2"/>
  <c r="S41" i="2"/>
  <c r="G10" i="2"/>
  <c r="G35" i="2"/>
  <c r="G23" i="2"/>
  <c r="S25" i="2"/>
  <c r="X34" i="2"/>
  <c r="H34" i="2" s="1"/>
  <c r="X52" i="2"/>
  <c r="H52" i="2" s="1"/>
  <c r="X44" i="2"/>
  <c r="H44" i="2" s="1"/>
  <c r="X46" i="2"/>
  <c r="H46" i="2" s="1"/>
  <c r="X9" i="2"/>
  <c r="H9" i="2" s="1"/>
  <c r="X33" i="2"/>
  <c r="H33" i="2" s="1"/>
  <c r="X32" i="2"/>
  <c r="H32" i="2" s="1"/>
  <c r="X13" i="2"/>
  <c r="H13" i="2" s="1"/>
  <c r="X35" i="2"/>
  <c r="H35" i="2" s="1"/>
  <c r="X56" i="2"/>
  <c r="H56" i="2" s="1"/>
  <c r="X37" i="2"/>
  <c r="H37" i="2" s="1"/>
  <c r="X50" i="2"/>
  <c r="H50" i="2" s="1"/>
  <c r="X30" i="2"/>
  <c r="H30" i="2" s="1"/>
  <c r="X40" i="2"/>
  <c r="H40" i="2" s="1"/>
  <c r="X10" i="2"/>
  <c r="H10" i="2" s="1"/>
  <c r="X39" i="2"/>
  <c r="H39" i="2" s="1"/>
  <c r="X43" i="2"/>
  <c r="H43" i="2" s="1"/>
  <c r="X12" i="2"/>
  <c r="H12" i="2" s="1"/>
  <c r="X36" i="2"/>
  <c r="H36" i="2" s="1"/>
  <c r="X20" i="2"/>
  <c r="H20" i="2" s="1"/>
  <c r="X15" i="2"/>
  <c r="H15" i="2" s="1"/>
  <c r="X48" i="2"/>
  <c r="H48" i="2" s="1"/>
  <c r="X53" i="2"/>
  <c r="H53" i="2" s="1"/>
  <c r="X38" i="2"/>
  <c r="H38" i="2" s="1"/>
  <c r="X27" i="2"/>
  <c r="H27" i="2" s="1"/>
  <c r="X19" i="2"/>
  <c r="H19" i="2" s="1"/>
  <c r="X31" i="2"/>
  <c r="H31" i="2" s="1"/>
  <c r="X24" i="2"/>
  <c r="H24" i="2" s="1"/>
  <c r="X45" i="2"/>
  <c r="H45" i="2" s="1"/>
  <c r="X55" i="2"/>
  <c r="H55" i="2" s="1"/>
  <c r="X22" i="2"/>
  <c r="H22" i="2" s="1"/>
  <c r="X21" i="2"/>
  <c r="H21" i="2" s="1"/>
  <c r="X41" i="2"/>
  <c r="H41" i="2" s="1"/>
  <c r="X18" i="2"/>
  <c r="H18" i="2" s="1"/>
  <c r="X16" i="2"/>
  <c r="H16" i="2" s="1"/>
  <c r="X17" i="2"/>
  <c r="H17" i="2" s="1"/>
  <c r="X42" i="2"/>
  <c r="H42" i="2" s="1"/>
  <c r="X58" i="2"/>
  <c r="H58" i="2" s="1"/>
  <c r="X49" i="2"/>
  <c r="H49" i="2" s="1"/>
  <c r="X29" i="2"/>
  <c r="H29" i="2" s="1"/>
  <c r="X26" i="2"/>
  <c r="H26" i="2" s="1"/>
  <c r="X23" i="2"/>
  <c r="H23" i="2" s="1"/>
  <c r="X47" i="2"/>
  <c r="H47" i="2" s="1"/>
  <c r="X54" i="2"/>
  <c r="H54" i="2" s="1"/>
  <c r="X11" i="2"/>
  <c r="H11" i="2" s="1"/>
  <c r="X25" i="2"/>
  <c r="H25" i="2" s="1"/>
  <c r="X57" i="2"/>
  <c r="H57" i="2" s="1"/>
  <c r="X51" i="2"/>
  <c r="H51" i="2" s="1"/>
  <c r="X28" i="2"/>
  <c r="H28" i="2" s="1"/>
  <c r="H14" i="2"/>
  <c r="Q20" i="2" l="1"/>
  <c r="K20" i="2" s="1"/>
  <c r="Q53" i="2"/>
  <c r="K53" i="2" s="1"/>
  <c r="Q27" i="2"/>
  <c r="K27" i="2" s="1"/>
  <c r="Q45" i="2"/>
  <c r="K45" i="2" s="1"/>
  <c r="Q16" i="2"/>
  <c r="K16" i="2" s="1"/>
  <c r="L16" i="2" s="1"/>
  <c r="N16" i="2" s="1"/>
  <c r="R16" i="2" s="1"/>
  <c r="Q55" i="2"/>
  <c r="K55" i="2" s="1"/>
  <c r="L55" i="2" s="1"/>
  <c r="N55" i="2" s="1"/>
  <c r="R55" i="2" s="1"/>
  <c r="Q41" i="2"/>
  <c r="K41" i="2" s="1"/>
  <c r="Q28" i="2"/>
  <c r="K28" i="2" s="1"/>
  <c r="L28" i="2" s="1"/>
  <c r="N28" i="2" s="1"/>
  <c r="R28" i="2" s="1"/>
  <c r="Q34" i="2"/>
  <c r="K34" i="2" s="1"/>
  <c r="Q21" i="2"/>
  <c r="K21" i="2" s="1"/>
  <c r="L21" i="2" s="1"/>
  <c r="N21" i="2" s="1"/>
  <c r="R21" i="2" s="1"/>
  <c r="Q35" i="2"/>
  <c r="K35" i="2" s="1"/>
  <c r="Q23" i="2"/>
  <c r="K23" i="2" s="1"/>
  <c r="Q14" i="2"/>
  <c r="K14" i="2" s="1"/>
  <c r="L14" i="2" s="1"/>
  <c r="N14" i="2" s="1"/>
  <c r="R14" i="2" s="1"/>
  <c r="Q43" i="2"/>
  <c r="K43" i="2" s="1"/>
  <c r="L43" i="2" s="1"/>
  <c r="N43" i="2" s="1"/>
  <c r="R43" i="2" s="1"/>
  <c r="Q25" i="2"/>
  <c r="K25" i="2" s="1"/>
  <c r="Q19" i="2"/>
  <c r="K19" i="2" s="1"/>
  <c r="L19" i="2" s="1"/>
  <c r="N19" i="2" s="1"/>
  <c r="R19" i="2" s="1"/>
  <c r="Q24" i="2"/>
  <c r="K24" i="2" s="1"/>
  <c r="Q33" i="2"/>
  <c r="K33" i="2" s="1"/>
  <c r="Q44" i="2"/>
  <c r="K44" i="2" s="1"/>
  <c r="Q37" i="2"/>
  <c r="K37" i="2" s="1"/>
  <c r="Q9" i="2"/>
  <c r="K9" i="2" s="1"/>
  <c r="L9" i="2" s="1"/>
  <c r="N9" i="2" s="1"/>
  <c r="R9" i="2" s="1"/>
  <c r="Q10" i="2"/>
  <c r="K10" i="2" s="1"/>
  <c r="L10" i="2" s="1"/>
  <c r="N10" i="2" s="1"/>
  <c r="R10" i="2" s="1"/>
  <c r="Q38" i="2"/>
  <c r="K38" i="2" s="1"/>
  <c r="Q57" i="2"/>
  <c r="K57" i="2" s="1"/>
  <c r="L57" i="2" s="1"/>
  <c r="N57" i="2" s="1"/>
  <c r="R57" i="2" s="1"/>
  <c r="Q31" i="2"/>
  <c r="K31" i="2" s="1"/>
  <c r="L31" i="2" s="1"/>
  <c r="N31" i="2" s="1"/>
  <c r="R31" i="2" s="1"/>
  <c r="Q40" i="2"/>
  <c r="K40" i="2" s="1"/>
  <c r="L40" i="2" s="1"/>
  <c r="N40" i="2" s="1"/>
  <c r="R40" i="2" s="1"/>
  <c r="Q15" i="2"/>
  <c r="K15" i="2" s="1"/>
  <c r="L15" i="2" s="1"/>
  <c r="N15" i="2" s="1"/>
  <c r="R15" i="2" s="1"/>
  <c r="Q52" i="2"/>
  <c r="K52" i="2" s="1"/>
  <c r="L52" i="2" s="1"/>
  <c r="N52" i="2" s="1"/>
  <c r="R52" i="2" s="1"/>
  <c r="Q48" i="2"/>
  <c r="K48" i="2" s="1"/>
  <c r="L48" i="2" s="1"/>
  <c r="N48" i="2" s="1"/>
  <c r="R48" i="2" s="1"/>
  <c r="Q58" i="2"/>
  <c r="K58" i="2" s="1"/>
  <c r="L58" i="2" s="1"/>
  <c r="N58" i="2" s="1"/>
  <c r="R58" i="2" s="1"/>
  <c r="Q17" i="2"/>
  <c r="K17" i="2" s="1"/>
  <c r="Q11" i="2"/>
  <c r="K11" i="2" s="1"/>
  <c r="L11" i="2" s="1"/>
  <c r="N11" i="2" s="1"/>
  <c r="R11" i="2" s="1"/>
  <c r="Q50" i="2"/>
  <c r="K50" i="2" s="1"/>
  <c r="Q30" i="2"/>
  <c r="K30" i="2" s="1"/>
  <c r="Q26" i="2"/>
  <c r="K26" i="2" s="1"/>
  <c r="L26" i="2" s="1"/>
  <c r="N26" i="2" s="1"/>
  <c r="R26" i="2" s="1"/>
  <c r="Q39" i="2"/>
  <c r="K39" i="2" s="1"/>
  <c r="Q36" i="2"/>
  <c r="K36" i="2" s="1"/>
  <c r="L36" i="2" s="1"/>
  <c r="N36" i="2" s="1"/>
  <c r="R36" i="2" s="1"/>
  <c r="Q56" i="2"/>
  <c r="K56" i="2" s="1"/>
  <c r="L56" i="2" s="1"/>
  <c r="N56" i="2" s="1"/>
  <c r="R56" i="2" s="1"/>
  <c r="Q12" i="2"/>
  <c r="K12" i="2" s="1"/>
  <c r="Q47" i="2"/>
  <c r="K47" i="2" s="1"/>
  <c r="L47" i="2" s="1"/>
  <c r="N47" i="2" s="1"/>
  <c r="R47" i="2" s="1"/>
  <c r="Q46" i="2"/>
  <c r="K46" i="2" s="1"/>
  <c r="L46" i="2" s="1"/>
  <c r="N46" i="2" s="1"/>
  <c r="R46" i="2" s="1"/>
  <c r="Q29" i="2"/>
  <c r="K29" i="2" s="1"/>
  <c r="L29" i="2" s="1"/>
  <c r="N29" i="2" s="1"/>
  <c r="R29" i="2" s="1"/>
  <c r="Q54" i="2"/>
  <c r="K54" i="2" s="1"/>
  <c r="L54" i="2" s="1"/>
  <c r="N54" i="2" s="1"/>
  <c r="R54" i="2" s="1"/>
  <c r="Q18" i="2"/>
  <c r="K18" i="2" s="1"/>
  <c r="L18" i="2" s="1"/>
  <c r="N18" i="2" s="1"/>
  <c r="R18" i="2" s="1"/>
  <c r="Q22" i="2"/>
  <c r="K22" i="2" s="1"/>
  <c r="L22" i="2" s="1"/>
  <c r="N22" i="2" s="1"/>
  <c r="R22" i="2" s="1"/>
  <c r="Q51" i="2"/>
  <c r="K51" i="2" s="1"/>
  <c r="L51" i="2" s="1"/>
  <c r="N51" i="2" s="1"/>
  <c r="R51" i="2" s="1"/>
  <c r="Q42" i="2"/>
  <c r="K42" i="2" s="1"/>
  <c r="Q49" i="2"/>
  <c r="K49" i="2" s="1"/>
  <c r="L49" i="2" s="1"/>
  <c r="N49" i="2" s="1"/>
  <c r="R49" i="2" s="1"/>
  <c r="Q13" i="2"/>
  <c r="K13" i="2" s="1"/>
  <c r="L13" i="2" s="1"/>
  <c r="N13" i="2" s="1"/>
  <c r="R13" i="2" s="1"/>
  <c r="Q32" i="2"/>
  <c r="K32" i="2" s="1"/>
  <c r="L32" i="2" s="1"/>
  <c r="N32" i="2" s="1"/>
  <c r="R32" i="2" s="1"/>
  <c r="L44" i="2"/>
  <c r="N44" i="2" s="1"/>
  <c r="R44" i="2" s="1"/>
  <c r="Z9" i="2"/>
  <c r="W10" i="2" s="1"/>
  <c r="L45" i="2"/>
  <c r="N45" i="2" s="1"/>
  <c r="R45" i="2" s="1"/>
  <c r="L42" i="2"/>
  <c r="N42" i="2" s="1"/>
  <c r="R42" i="2" s="1"/>
  <c r="L33" i="2"/>
  <c r="N33" i="2" s="1"/>
  <c r="R33" i="2" s="1"/>
  <c r="L17" i="2"/>
  <c r="N17" i="2" s="1"/>
  <c r="R17" i="2" s="1"/>
  <c r="L24" i="2"/>
  <c r="N24" i="2" s="1"/>
  <c r="R24" i="2" s="1"/>
  <c r="L41" i="2"/>
  <c r="N41" i="2" s="1"/>
  <c r="R41" i="2" s="1"/>
  <c r="L30" i="2"/>
  <c r="N30" i="2" s="1"/>
  <c r="R30" i="2" s="1"/>
  <c r="L34" i="2"/>
  <c r="N34" i="2" s="1"/>
  <c r="R34" i="2" s="1"/>
  <c r="L12" i="2"/>
  <c r="N12" i="2" s="1"/>
  <c r="R12" i="2" s="1"/>
  <c r="L37" i="2"/>
  <c r="N37" i="2" s="1"/>
  <c r="R37" i="2" s="1"/>
  <c r="L23" i="2"/>
  <c r="N23" i="2" s="1"/>
  <c r="R23" i="2" s="1"/>
  <c r="L25" i="2"/>
  <c r="N25" i="2" s="1"/>
  <c r="R25" i="2" s="1"/>
  <c r="L35" i="2"/>
  <c r="N35" i="2" s="1"/>
  <c r="R35" i="2" s="1"/>
  <c r="L20" i="2"/>
  <c r="N20" i="2" s="1"/>
  <c r="R20" i="2" s="1"/>
  <c r="L39" i="2"/>
  <c r="N39" i="2" s="1"/>
  <c r="R39" i="2" s="1"/>
  <c r="L50" i="2"/>
  <c r="N50" i="2" s="1"/>
  <c r="R50" i="2" s="1"/>
  <c r="L53" i="2"/>
  <c r="N53" i="2" s="1"/>
  <c r="R53" i="2" s="1"/>
  <c r="L38" i="2"/>
  <c r="N38" i="2" s="1"/>
  <c r="R38" i="2" s="1"/>
  <c r="L27" i="2"/>
  <c r="N27" i="2" s="1"/>
  <c r="R27" i="2" s="1"/>
  <c r="P44" i="2" l="1"/>
  <c r="P46" i="2"/>
  <c r="Y9" i="2"/>
  <c r="P9" i="2"/>
  <c r="T9" i="2" s="1"/>
  <c r="U9" i="2" s="1"/>
  <c r="AA9" i="2" s="1"/>
  <c r="P43" i="2"/>
  <c r="P58" i="2"/>
  <c r="P45" i="2"/>
  <c r="P41" i="2"/>
  <c r="P10" i="2"/>
  <c r="P30" i="2"/>
  <c r="P35" i="2"/>
  <c r="P31" i="2"/>
  <c r="P32" i="2"/>
  <c r="P47" i="2"/>
  <c r="P39" i="2"/>
  <c r="P42" i="2"/>
  <c r="P36" i="2"/>
  <c r="P52" i="2"/>
  <c r="P49" i="2"/>
  <c r="P48" i="2"/>
  <c r="P50" i="2"/>
  <c r="P26" i="2"/>
  <c r="P33" i="2"/>
  <c r="P34" i="2"/>
  <c r="P15" i="2"/>
  <c r="P18" i="2"/>
  <c r="P38" i="2"/>
  <c r="P53" i="2"/>
  <c r="P11" i="2"/>
  <c r="P13" i="2"/>
  <c r="P24" i="2"/>
  <c r="P17" i="2"/>
  <c r="P28" i="2"/>
  <c r="P37" i="2"/>
  <c r="P21" i="2"/>
  <c r="P19" i="2"/>
  <c r="P27" i="2"/>
  <c r="P16" i="2"/>
  <c r="P20" i="2"/>
  <c r="P14" i="2"/>
  <c r="P51" i="2"/>
  <c r="P25" i="2"/>
  <c r="P55" i="2"/>
  <c r="P23" i="2"/>
  <c r="P54" i="2"/>
  <c r="P40" i="2"/>
  <c r="P22" i="2"/>
  <c r="P12" i="2"/>
  <c r="P56" i="2"/>
  <c r="P29" i="2"/>
  <c r="P57" i="2"/>
  <c r="Z10" i="2"/>
  <c r="W11" i="2" s="1"/>
  <c r="O10" i="2" l="1"/>
  <c r="Y10" i="2"/>
  <c r="Z11" i="2"/>
  <c r="Y11" i="2" s="1"/>
  <c r="T10" i="2" l="1"/>
  <c r="U10" i="2" s="1"/>
  <c r="AA10" i="2" s="1"/>
  <c r="W12" i="2"/>
  <c r="O11" i="2" l="1"/>
  <c r="T11" i="2" s="1"/>
  <c r="U11" i="2" s="1"/>
  <c r="AA11" i="2" s="1"/>
  <c r="Z12" i="2"/>
  <c r="O12" i="2" l="1"/>
  <c r="T12" i="2" s="1"/>
  <c r="U12" i="2" s="1"/>
  <c r="AA12" i="2" s="1"/>
  <c r="Y12" i="2"/>
  <c r="W13" i="2"/>
  <c r="O13" i="2" l="1"/>
  <c r="T13" i="2" s="1"/>
  <c r="Z13" i="2"/>
  <c r="U13" i="2" l="1"/>
  <c r="AA13" i="2" s="1"/>
  <c r="Y13" i="2"/>
  <c r="W14" i="2"/>
  <c r="O14" i="2" l="1"/>
  <c r="T14" i="2" s="1"/>
  <c r="Z14" i="2"/>
  <c r="U14" i="2" l="1"/>
  <c r="AA14" i="2" s="1"/>
  <c r="Y14" i="2"/>
  <c r="W15" i="2"/>
  <c r="O15" i="2" l="1"/>
  <c r="T15" i="2" s="1"/>
  <c r="Z15" i="2"/>
  <c r="U15" i="2" l="1"/>
  <c r="AA15" i="2" s="1"/>
  <c r="Y15" i="2"/>
  <c r="W16" i="2"/>
  <c r="O16" i="2" l="1"/>
  <c r="T16" i="2" s="1"/>
  <c r="Z16" i="2"/>
  <c r="U16" i="2" l="1"/>
  <c r="AA16" i="2" s="1"/>
  <c r="Y16" i="2"/>
  <c r="W17" i="2"/>
  <c r="O17" i="2" l="1"/>
  <c r="T17" i="2" s="1"/>
  <c r="Z17" i="2"/>
  <c r="U17" i="2" l="1"/>
  <c r="AA17" i="2" s="1"/>
  <c r="Y17" i="2"/>
  <c r="W18" i="2"/>
  <c r="O18" i="2" l="1"/>
  <c r="T18" i="2" s="1"/>
  <c r="Z18" i="2"/>
  <c r="U18" i="2" l="1"/>
  <c r="AA18" i="2" s="1"/>
  <c r="Y18" i="2"/>
  <c r="W19" i="2"/>
  <c r="O19" i="2" l="1"/>
  <c r="T19" i="2" s="1"/>
  <c r="Z19" i="2"/>
  <c r="U19" i="2" l="1"/>
  <c r="AA19" i="2" s="1"/>
  <c r="Y19" i="2"/>
  <c r="W20" i="2"/>
  <c r="O20" i="2" l="1"/>
  <c r="T20" i="2" s="1"/>
  <c r="Z20" i="2"/>
  <c r="U20" i="2" l="1"/>
  <c r="AA20" i="2" s="1"/>
  <c r="Y20" i="2"/>
  <c r="W21" i="2"/>
  <c r="O21" i="2" l="1"/>
  <c r="T21" i="2" s="1"/>
  <c r="Z21" i="2"/>
  <c r="U21" i="2" l="1"/>
  <c r="AA21" i="2" s="1"/>
  <c r="Y21" i="2"/>
  <c r="W22" i="2"/>
  <c r="O22" i="2" l="1"/>
  <c r="T22" i="2" s="1"/>
  <c r="U22" i="2" s="1"/>
  <c r="O23" i="2" s="1"/>
  <c r="T23" i="2" s="1"/>
  <c r="Z22" i="2"/>
  <c r="AA22" i="2" l="1"/>
  <c r="U23" i="2"/>
  <c r="Y22" i="2"/>
  <c r="W23" i="2"/>
  <c r="O24" i="2" l="1"/>
  <c r="T24" i="2" s="1"/>
  <c r="Z23" i="2"/>
  <c r="AA23" i="2" s="1"/>
  <c r="U24" i="2" l="1"/>
  <c r="O25" i="2" s="1"/>
  <c r="T25" i="2" s="1"/>
  <c r="Y23" i="2"/>
  <c r="W24" i="2"/>
  <c r="Z24" i="2" l="1"/>
  <c r="AA24" i="2" s="1"/>
  <c r="U25" i="2"/>
  <c r="Y24" i="2" l="1"/>
  <c r="W25" i="2"/>
  <c r="O26" i="2"/>
  <c r="T26" i="2" s="1"/>
  <c r="Z25" i="2" l="1"/>
  <c r="AA25" i="2" s="1"/>
  <c r="U26" i="2"/>
  <c r="Y25" i="2" l="1"/>
  <c r="W26" i="2"/>
  <c r="O27" i="2"/>
  <c r="T27" i="2" s="1"/>
  <c r="Z26" i="2" l="1"/>
  <c r="AA26" i="2" s="1"/>
  <c r="U27" i="2"/>
  <c r="Y26" i="2" l="1"/>
  <c r="W27" i="2"/>
  <c r="O28" i="2"/>
  <c r="T28" i="2" s="1"/>
  <c r="Z27" i="2" l="1"/>
  <c r="AA27" i="2" s="1"/>
  <c r="U28" i="2"/>
  <c r="Y27" i="2" l="1"/>
  <c r="W28" i="2"/>
  <c r="O29" i="2"/>
  <c r="T29" i="2" s="1"/>
  <c r="Z28" i="2" l="1"/>
  <c r="AA28" i="2" s="1"/>
  <c r="C43" i="2" s="1" a="1"/>
  <c r="C43" i="2" s="1"/>
  <c r="U29" i="2"/>
  <c r="Y28" i="2" l="1"/>
  <c r="W29" i="2"/>
  <c r="O30" i="2"/>
  <c r="T30" i="2" s="1"/>
  <c r="Z29" i="2" l="1"/>
  <c r="AA29" i="2" s="1"/>
  <c r="U30" i="2"/>
  <c r="Y29" i="2" l="1"/>
  <c r="W30" i="2"/>
  <c r="O31" i="2"/>
  <c r="T31" i="2" s="1"/>
  <c r="Z30" i="2" l="1"/>
  <c r="AA30" i="2" s="1"/>
  <c r="U31" i="2"/>
  <c r="Y30" i="2" l="1"/>
  <c r="W31" i="2"/>
  <c r="O32" i="2"/>
  <c r="T32" i="2" s="1"/>
  <c r="Z31" i="2" l="1"/>
  <c r="AA31" i="2" s="1"/>
  <c r="U32" i="2"/>
  <c r="Y31" i="2" l="1"/>
  <c r="W32" i="2"/>
  <c r="O33" i="2"/>
  <c r="T33" i="2" s="1"/>
  <c r="Z32" i="2" l="1"/>
  <c r="AA32" i="2" s="1"/>
  <c r="U33" i="2"/>
  <c r="Y32" i="2" l="1"/>
  <c r="W33" i="2"/>
  <c r="O34" i="2"/>
  <c r="T34" i="2" s="1"/>
  <c r="U34" i="2" l="1"/>
  <c r="Z33" i="2"/>
  <c r="AA33" i="2" s="1"/>
  <c r="Y33" i="2" l="1"/>
  <c r="W34" i="2"/>
  <c r="O35" i="2"/>
  <c r="T35" i="2" s="1"/>
  <c r="Z34" i="2" l="1"/>
  <c r="AA34" i="2" s="1"/>
  <c r="U35" i="2"/>
  <c r="Y34" i="2" l="1"/>
  <c r="W35" i="2"/>
  <c r="O36" i="2"/>
  <c r="T36" i="2" s="1"/>
  <c r="U36" i="2" l="1"/>
  <c r="Z35" i="2"/>
  <c r="AA35" i="2" s="1"/>
  <c r="Y35" i="2" l="1"/>
  <c r="W36" i="2"/>
  <c r="O37" i="2"/>
  <c r="T37" i="2" s="1"/>
  <c r="Z36" i="2" l="1"/>
  <c r="AA36" i="2" s="1"/>
  <c r="U37" i="2"/>
  <c r="Y36" i="2" l="1"/>
  <c r="W37" i="2"/>
  <c r="O38" i="2"/>
  <c r="T38" i="2" s="1"/>
  <c r="Z37" i="2" l="1"/>
  <c r="AA37" i="2" s="1"/>
  <c r="U38" i="2"/>
  <c r="Y37" i="2" l="1"/>
  <c r="W38" i="2"/>
  <c r="O39" i="2"/>
  <c r="T39" i="2" s="1"/>
  <c r="Z38" i="2" l="1"/>
  <c r="AA38" i="2" s="1"/>
  <c r="U39" i="2"/>
  <c r="Y38" i="2" l="1"/>
  <c r="W39" i="2"/>
  <c r="O40" i="2"/>
  <c r="T40" i="2" s="1"/>
  <c r="Z39" i="2" l="1"/>
  <c r="AA39" i="2" s="1"/>
  <c r="U40" i="2"/>
  <c r="Y39" i="2" l="1"/>
  <c r="W40" i="2"/>
  <c r="O41" i="2"/>
  <c r="T41" i="2" s="1"/>
  <c r="Z40" i="2" l="1"/>
  <c r="AA40" i="2" s="1"/>
  <c r="U41" i="2"/>
  <c r="Y40" i="2" l="1"/>
  <c r="W41" i="2"/>
  <c r="O42" i="2"/>
  <c r="T42" i="2" s="1"/>
  <c r="Z41" i="2" l="1"/>
  <c r="AA41" i="2" s="1"/>
  <c r="U42" i="2"/>
  <c r="Y41" i="2" l="1"/>
  <c r="O43" i="2"/>
  <c r="T43" i="2" s="1"/>
  <c r="W42" i="2"/>
  <c r="U43" i="2" l="1"/>
  <c r="Z42" i="2"/>
  <c r="AA42" i="2" s="1"/>
  <c r="O44" i="2" l="1"/>
  <c r="T44" i="2" s="1"/>
  <c r="U44" i="2" s="1"/>
  <c r="Y42" i="2"/>
  <c r="W43" i="2"/>
  <c r="Z43" i="2" l="1"/>
  <c r="AA43" i="2" s="1"/>
  <c r="O45" i="2"/>
  <c r="T45" i="2" s="1"/>
  <c r="Y43" i="2" l="1"/>
  <c r="W44" i="2"/>
  <c r="U45" i="2"/>
  <c r="Z44" i="2" l="1"/>
  <c r="AA44" i="2" s="1"/>
  <c r="O46" i="2"/>
  <c r="T46" i="2" s="1"/>
  <c r="Y44" i="2" l="1"/>
  <c r="W45" i="2"/>
  <c r="U46" i="2"/>
  <c r="Z45" i="2" l="1"/>
  <c r="AA45" i="2" s="1"/>
  <c r="O47" i="2"/>
  <c r="T47" i="2" s="1"/>
  <c r="Y45" i="2" l="1"/>
  <c r="W46" i="2"/>
  <c r="U47" i="2"/>
  <c r="Z46" i="2" l="1"/>
  <c r="AA46" i="2" s="1"/>
  <c r="O48" i="2"/>
  <c r="T48" i="2" s="1"/>
  <c r="Y46" i="2" l="1"/>
  <c r="W47" i="2"/>
  <c r="U48" i="2"/>
  <c r="Z47" i="2" l="1"/>
  <c r="AA47" i="2" s="1"/>
  <c r="O49" i="2"/>
  <c r="T49" i="2" s="1"/>
  <c r="Y47" i="2" l="1"/>
  <c r="W48" i="2"/>
  <c r="U49" i="2"/>
  <c r="Z48" i="2" l="1"/>
  <c r="AA48" i="2" s="1"/>
  <c r="O50" i="2"/>
  <c r="T50" i="2" s="1"/>
  <c r="Y48" i="2" l="1"/>
  <c r="W49" i="2"/>
  <c r="U50" i="2"/>
  <c r="Z49" i="2" l="1"/>
  <c r="AA49" i="2" s="1"/>
  <c r="O51" i="2"/>
  <c r="T51" i="2" s="1"/>
  <c r="Y49" i="2" l="1"/>
  <c r="W50" i="2"/>
  <c r="U51" i="2"/>
  <c r="Z50" i="2" l="1"/>
  <c r="AA50" i="2" s="1"/>
  <c r="O52" i="2"/>
  <c r="T52" i="2" s="1"/>
  <c r="Y50" i="2" l="1"/>
  <c r="W51" i="2"/>
  <c r="U52" i="2"/>
  <c r="Z51" i="2" l="1"/>
  <c r="AA51" i="2" s="1"/>
  <c r="O53" i="2"/>
  <c r="T53" i="2" s="1"/>
  <c r="Y51" i="2" l="1"/>
  <c r="W52" i="2"/>
  <c r="U53" i="2"/>
  <c r="Z52" i="2" l="1"/>
  <c r="AA52" i="2" s="1"/>
  <c r="O54" i="2"/>
  <c r="T54" i="2" s="1"/>
  <c r="Y52" i="2" l="1"/>
  <c r="W53" i="2"/>
  <c r="U54" i="2"/>
  <c r="Z53" i="2" l="1"/>
  <c r="AA53" i="2" s="1"/>
  <c r="O55" i="2"/>
  <c r="T55" i="2" s="1"/>
  <c r="Y53" i="2" l="1"/>
  <c r="W54" i="2"/>
  <c r="U55" i="2"/>
  <c r="Z54" i="2" l="1"/>
  <c r="AA54" i="2" s="1"/>
  <c r="O56" i="2"/>
  <c r="T56" i="2" s="1"/>
  <c r="Y54" i="2" l="1"/>
  <c r="W55" i="2"/>
  <c r="U56" i="2"/>
  <c r="Z55" i="2" l="1"/>
  <c r="AA55" i="2" s="1"/>
  <c r="O57" i="2"/>
  <c r="T57" i="2" s="1"/>
  <c r="Y55" i="2" l="1"/>
  <c r="W56" i="2"/>
  <c r="U57" i="2"/>
  <c r="Z56" i="2" l="1"/>
  <c r="AA56" i="2" s="1"/>
  <c r="O58" i="2"/>
  <c r="T58" i="2" s="1"/>
  <c r="Y56" i="2" l="1"/>
  <c r="W57" i="2"/>
  <c r="U58" i="2"/>
  <c r="Z57" i="2" l="1"/>
  <c r="AA57" i="2" s="1"/>
  <c r="Y57" i="2" l="1"/>
  <c r="W58" i="2"/>
  <c r="Z58" i="2" s="1"/>
  <c r="AA58" i="2" s="1"/>
  <c r="Y58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<sst xmlns="http://schemas.openxmlformats.org/spreadsheetml/2006/main" count="54" uniqueCount="50">
  <si>
    <t>Rendement</t>
  </si>
  <si>
    <t>disponible</t>
  </si>
  <si>
    <t>intérêt</t>
  </si>
  <si>
    <t>REER</t>
  </si>
  <si>
    <t>Solde début</t>
  </si>
  <si>
    <t>Solde fin</t>
  </si>
  <si>
    <t>Taxes</t>
  </si>
  <si>
    <t>Année</t>
  </si>
  <si>
    <t>Maison</t>
  </si>
  <si>
    <t>Valeur fin</t>
  </si>
  <si>
    <t>Total</t>
  </si>
  <si>
    <t>Prêt</t>
  </si>
  <si>
    <t>Versement</t>
  </si>
  <si>
    <t>Estimation de la mise de fonds</t>
  </si>
  <si>
    <t>Solde REER disponible estimé</t>
  </si>
  <si>
    <t>Retrait impos</t>
  </si>
  <si>
    <t>Retrait RAP</t>
  </si>
  <si>
    <t>Remb RAP</t>
  </si>
  <si>
    <t>Loyer</t>
  </si>
  <si>
    <t>Proprio</t>
  </si>
  <si>
    <t>Budget</t>
  </si>
  <si>
    <t>Écart</t>
  </si>
  <si>
    <t>Fin</t>
  </si>
  <si>
    <t>Coûts suppl.</t>
  </si>
  <si>
    <t>Budget total disponible par mois pour te loger</t>
  </si>
  <si>
    <t>Table taxe mutation (taxe de Bienvenue) de ton secteur</t>
  </si>
  <si>
    <t>Prix mensuel de ton loyer actuel</t>
  </si>
  <si>
    <t>Durée d'attente avant d'acheter (en années)</t>
  </si>
  <si>
    <t>Taux intérêt de ton futur prêt hypothécaire</t>
  </si>
  <si>
    <t>Taxe de vente (si tu achètes une résidence neuve)</t>
  </si>
  <si>
    <t>déductible</t>
  </si>
  <si>
    <t>Dépôt</t>
  </si>
  <si>
    <t>Richesse nette</t>
  </si>
  <si>
    <t>Prêt hypothécaire</t>
  </si>
  <si>
    <t>Coût additionnels en coûts divers (électricité…) lorsque tu seras propriétaire</t>
  </si>
  <si>
    <t>Ton solde REER aujourd'hui</t>
  </si>
  <si>
    <t>Le taux de rendement annuel de ton REER</t>
  </si>
  <si>
    <t>Augmentation annuelle de la valeur de ta résidence</t>
  </si>
  <si>
    <t>Taxes annuelles calculées en dollars actuels</t>
  </si>
  <si>
    <t>Table SCHL (va voir si elle est à jour en cliquant ici)</t>
  </si>
  <si>
    <t>La mise de fonds que tu veux réellement faire (en pourcentage)</t>
  </si>
  <si>
    <t>Année où tu veux calculer ta richette nette</t>
  </si>
  <si>
    <t>CALCULATEUR ACHAT-LOCATION-MISE DE FONDS © Dany Provost</t>
  </si>
  <si>
    <t>Tu veux donc acheter en:</t>
  </si>
  <si>
    <t>Coût de ta résidence envisagée (incluant les taxes non remboursées, le cas échéant)</t>
  </si>
  <si>
    <t>Taxes foncières annuelles en pourcentage de la valeur</t>
  </si>
  <si>
    <t>Durée d'amortissement de ton prêt (en années)</t>
  </si>
  <si>
    <t>Nombre années que tu prendras pour rembourser ton RAP (normalement 15)</t>
  </si>
  <si>
    <t>Ton taux d'impôt pour tes cotisations et retraits au REER</t>
  </si>
  <si>
    <t>La taxe de mutation, en dollars d'aujourd'hui, est donc 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</si>
</sst>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)_ ;_ * \(#,##0.00\)_ ;_ * &quot;-&quot;??_)_ ;_ @_ "/>
    <numFmt numFmtId="164" formatCode="_ * #,##0_)_ ;_ * \(#,##0\)_ ;_ * &quot;-&quot;??_)_ ;_ @_ "/>
    <numFmt numFmtId="165" formatCode="0.0%"/>
    <numFmt numFmtId="166" formatCode="0.000%"/>
    <numFmt numFmtId="167" formatCode="_ * #,##0_)\ _$_ ;_ * \(#,##0\)\ _$_ ;_ * &quot;-&quot;??_)\ _$_ ;_ @_ "/>
    <numFmt numFmtId="168" formatCode="0.0000%"/>
    <numFmt numFmtId="169" formatCode="_ * #,##0.000_)_ ;_ * \(#,##0.000\)_ ;_ * &quot;-&quot;??_)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7DFD5"/>
        <bgColor indexed="64"/>
      </patternFill>
    </fill>
    <fill>
      <patternFill patternType="solid">
        <fgColor rgb="FF051C2C"/>
        <bgColor indexed="64"/>
      </patternFill>
    </fill>
    <fill>
      <patternFill patternType="solid">
        <fgColor rgb="FF965F3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Protection="1">
      <protection hidden="1"/>
    </xf>
    <xf numFmtId="164" fontId="0" fillId="0" borderId="0" xfId="1" applyNumberFormat="1" applyFont="1" applyProtection="1">
      <protection hidden="1"/>
    </xf>
    <xf numFmtId="0" fontId="3" fillId="0" borderId="0" xfId="0" applyFont="1" applyProtection="1">
      <protection hidden="1"/>
    </xf>
    <xf numFmtId="168" fontId="3" fillId="0" borderId="0" xfId="2" applyNumberFormat="1" applyFont="1" applyProtection="1">
      <protection hidden="1"/>
    </xf>
    <xf numFmtId="169" fontId="3" fillId="0" borderId="0" xfId="1" applyNumberFormat="1" applyFont="1" applyProtection="1">
      <protection hidden="1"/>
    </xf>
    <xf numFmtId="164" fontId="3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9" fontId="3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64" fontId="2" fillId="0" borderId="0" xfId="1" applyNumberFormat="1" applyFont="1" applyFill="1" applyProtection="1">
      <protection hidden="1"/>
    </xf>
    <xf numFmtId="0" fontId="2" fillId="0" borderId="0" xfId="1" applyNumberFormat="1" applyFont="1" applyAlignment="1" applyProtection="1">
      <alignment horizontal="center"/>
      <protection hidden="1"/>
    </xf>
    <xf numFmtId="165" fontId="2" fillId="0" borderId="0" xfId="2" applyNumberFormat="1" applyFont="1" applyFill="1" applyAlignment="1" applyProtection="1">
      <alignment horizontal="center"/>
      <protection hidden="1"/>
    </xf>
    <xf numFmtId="0" fontId="6" fillId="0" borderId="0" xfId="3" applyProtection="1">
      <protection hidden="1"/>
    </xf>
    <xf numFmtId="164" fontId="0" fillId="0" borderId="0" xfId="1" applyNumberFormat="1" applyFont="1" applyBorder="1" applyProtection="1">
      <protection hidden="1"/>
    </xf>
    <xf numFmtId="164" fontId="0" fillId="0" borderId="4" xfId="1" applyNumberFormat="1" applyFont="1" applyBorder="1" applyProtection="1">
      <protection hidden="1"/>
    </xf>
    <xf numFmtId="164" fontId="0" fillId="0" borderId="6" xfId="1" applyNumberFormat="1" applyFont="1" applyBorder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164" fontId="0" fillId="0" borderId="9" xfId="1" applyNumberFormat="1" applyFont="1" applyBorder="1" applyProtection="1">
      <protection hidden="1"/>
    </xf>
    <xf numFmtId="0" fontId="0" fillId="0" borderId="11" xfId="0" applyBorder="1" applyProtection="1">
      <protection hidden="1"/>
    </xf>
    <xf numFmtId="164" fontId="0" fillId="0" borderId="11" xfId="0" applyNumberFormat="1" applyBorder="1" applyProtection="1"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164" fontId="0" fillId="0" borderId="9" xfId="0" applyNumberFormat="1" applyBorder="1" applyProtection="1">
      <protection hidden="1"/>
    </xf>
    <xf numFmtId="164" fontId="0" fillId="0" borderId="6" xfId="0" applyNumberFormat="1" applyBorder="1" applyProtection="1">
      <protection hidden="1"/>
    </xf>
    <xf numFmtId="167" fontId="0" fillId="0" borderId="11" xfId="0" applyNumberFormat="1" applyBorder="1" applyProtection="1"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43" fontId="2" fillId="0" borderId="0" xfId="1" applyFont="1" applyFill="1" applyProtection="1">
      <protection hidden="1"/>
    </xf>
    <xf numFmtId="164" fontId="0" fillId="3" borderId="0" xfId="1" applyNumberFormat="1" applyFont="1" applyFill="1" applyProtection="1">
      <protection locked="0"/>
    </xf>
    <xf numFmtId="9" fontId="0" fillId="3" borderId="0" xfId="2" applyFont="1" applyFill="1" applyProtection="1">
      <protection locked="0"/>
    </xf>
    <xf numFmtId="165" fontId="0" fillId="3" borderId="0" xfId="2" applyNumberFormat="1" applyFont="1" applyFill="1" applyProtection="1">
      <protection locked="0"/>
    </xf>
    <xf numFmtId="10" fontId="0" fillId="3" borderId="0" xfId="2" applyNumberFormat="1" applyFont="1" applyFill="1" applyProtection="1">
      <protection locked="0"/>
    </xf>
    <xf numFmtId="166" fontId="0" fillId="3" borderId="0" xfId="2" applyNumberFormat="1" applyFont="1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10" fontId="0" fillId="3" borderId="0" xfId="2" applyNumberFormat="1" applyFont="1" applyFill="1" applyAlignment="1" applyProtection="1">
      <alignment horizontal="center"/>
      <protection locked="0"/>
    </xf>
    <xf numFmtId="9" fontId="0" fillId="3" borderId="0" xfId="2" applyFont="1" applyFill="1" applyAlignment="1" applyProtection="1">
      <alignment horizontal="center"/>
      <protection locked="0"/>
    </xf>
    <xf numFmtId="164" fontId="7" fillId="0" borderId="0" xfId="1" applyNumberFormat="1" applyFont="1" applyFill="1" applyProtection="1">
      <protection hidden="1"/>
    </xf>
    <xf numFmtId="43" fontId="3" fillId="0" borderId="0" xfId="0" applyNumberFormat="1" applyFont="1" applyProtection="1">
      <protection hidden="1"/>
    </xf>
    <xf numFmtId="164" fontId="3" fillId="0" borderId="0" xfId="1" applyNumberFormat="1" applyFont="1" applyProtection="1">
      <protection hidden="1"/>
    </xf>
    <xf numFmtId="0" fontId="3" fillId="0" borderId="0" xfId="0" applyFont="1" applyAlignment="1" applyProtection="1">
      <alignment horizontal="right" indent="1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165" fontId="4" fillId="4" borderId="0" xfId="2" applyNumberFormat="1" applyFont="1" applyFill="1" applyAlignment="1" applyProtection="1">
      <alignment horizontal="center"/>
      <protection locked="0"/>
    </xf>
    <xf numFmtId="164" fontId="0" fillId="0" borderId="9" xfId="1" applyNumberFormat="1" applyFont="1" applyFill="1" applyBorder="1" applyProtection="1">
      <protection hidden="1"/>
    </xf>
    <xf numFmtId="0" fontId="4" fillId="4" borderId="7" xfId="0" applyFont="1" applyFill="1" applyBorder="1" applyAlignment="1" applyProtection="1">
      <alignment horizontal="center"/>
      <protection hidden="1"/>
    </xf>
    <xf numFmtId="0" fontId="4" fillId="4" borderId="1" xfId="0" applyFont="1" applyFill="1" applyBorder="1" applyAlignment="1" applyProtection="1">
      <alignment horizontal="center"/>
      <protection hidden="1"/>
    </xf>
    <xf numFmtId="0" fontId="4" fillId="4" borderId="8" xfId="0" applyFont="1" applyFill="1" applyBorder="1" applyAlignment="1" applyProtection="1">
      <alignment horizontal="center"/>
      <protection hidden="1"/>
    </xf>
    <xf numFmtId="0" fontId="4" fillId="5" borderId="2" xfId="0" applyFont="1" applyFill="1" applyBorder="1" applyAlignment="1" applyProtection="1">
      <alignment horizontal="center"/>
      <protection hidden="1"/>
    </xf>
    <xf numFmtId="0" fontId="4" fillId="5" borderId="3" xfId="0" applyFont="1" applyFill="1" applyBorder="1" applyAlignment="1" applyProtection="1">
      <alignment horizontal="center"/>
      <protection hidden="1"/>
    </xf>
    <xf numFmtId="0" fontId="4" fillId="5" borderId="5" xfId="0" applyFont="1" applyFill="1" applyBorder="1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center"/>
      <protection hidden="1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051C2C"/>
      <color rgb="FF965F36"/>
      <color rgb="FFE7DFD5"/>
      <color rgb="FFF0EBE4"/>
      <color rgb="FFF9E6BD"/>
      <color rgb="FFFDF7E9"/>
      <color rgb="FFF6EEC0"/>
      <color rgb="FFDED8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mhc-schl.gc.ca/fr/consumers/home-buying/mortgage-loan-insurance-for-consumers/cmhc-mortgage-loan-insurance-co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AADC8-CE64-4F2C-A40B-4389352AD7F0}">
  <sheetPr codeName="Data">
    <pageSetUpPr fitToPage="1"/>
  </sheetPr>
  <dimension ref="A1:AB58"/>
  <sheetViews>
    <sheetView showGridLines="0" showRowColHeaders="0" tabSelected="1" workbookViewId="0">
      <pane xSplit="5" ySplit="8" topLeftCell="G9" activePane="bottomRight" state="frozen"/>
      <selection pane="topRight" activeCell="E1" sqref="E1"/>
      <selection pane="bottomLeft" activeCell="A7" sqref="A7"/>
      <selection pane="bottomRight" activeCell="C3" sqref="C3"/>
    </sheetView>
  </sheetViews>
  <sheetFormatPr baseColWidth="10" defaultColWidth="11.44140625" defaultRowHeight="14.4" x14ac:dyDescent="0.3"/>
  <cols>
    <col min="1" max="1" width="60.6640625" style="1" customWidth="1"/>
    <col min="2" max="2" width="14.77734375" style="1" customWidth="1"/>
    <col min="3" max="3" width="16.77734375" style="2" customWidth="1"/>
    <col min="4" max="4" width="6.21875" style="1" customWidth="1"/>
    <col min="5" max="5" width="8.21875" style="9" customWidth="1"/>
    <col min="6" max="6" width="0" style="1" hidden="1" customWidth="1"/>
    <col min="7" max="7" width="11.77734375" style="1" bestFit="1" customWidth="1"/>
    <col min="8" max="17" width="11.44140625" style="1"/>
    <col min="18" max="18" width="17.21875" style="1" customWidth="1"/>
    <col min="19" max="26" width="11.44140625" style="1"/>
    <col min="27" max="27" width="13.77734375" style="1" customWidth="1"/>
    <col min="28" max="16384" width="11.44140625" style="1"/>
  </cols>
  <sheetData>
    <row r="1" spans="1:27" ht="38.25" customHeight="1" x14ac:dyDescent="0.65">
      <c r="A1" s="52" t="s">
        <v>42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1:27" x14ac:dyDescent="0.3"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3">
      <c r="A3" s="1" t="s">
        <v>24</v>
      </c>
      <c r="C3" s="31">
        <v>2500</v>
      </c>
      <c r="G3" s="3"/>
      <c r="H3" s="3"/>
      <c r="I3" s="3"/>
      <c r="J3" s="3"/>
      <c r="K3" s="3"/>
      <c r="L3" s="3"/>
      <c r="M3" s="3"/>
      <c r="N3" s="3"/>
      <c r="O3" s="3"/>
      <c r="P3" s="3"/>
      <c r="Q3" s="3">
        <v>15</v>
      </c>
      <c r="R3" s="3"/>
      <c r="S3" s="3"/>
      <c r="T3" s="3"/>
      <c r="U3" s="3"/>
      <c r="V3" s="3"/>
      <c r="W3" s="3"/>
      <c r="X3" s="3"/>
      <c r="Y3" s="4">
        <f>(1+D33)^12-1</f>
        <v>3.0225000000001279E-2</v>
      </c>
      <c r="Z3" s="3"/>
      <c r="AA3" s="3"/>
    </row>
    <row r="4" spans="1:27" x14ac:dyDescent="0.3">
      <c r="A4" s="1" t="s">
        <v>26</v>
      </c>
      <c r="C4" s="31">
        <v>1200</v>
      </c>
      <c r="G4" s="5">
        <f>1+C8</f>
        <v>1.02</v>
      </c>
      <c r="H4" s="3"/>
      <c r="I4" s="3"/>
      <c r="J4" s="3"/>
      <c r="K4" s="3"/>
      <c r="L4" s="3"/>
      <c r="M4" s="3"/>
      <c r="N4" s="3"/>
      <c r="O4" s="3"/>
      <c r="P4" s="3"/>
      <c r="Q4" s="6">
        <f>C5+3</f>
        <v>8</v>
      </c>
      <c r="R4" s="3"/>
      <c r="S4" s="3"/>
      <c r="T4" s="7">
        <f>C39</f>
        <v>0.05</v>
      </c>
      <c r="U4" s="3"/>
      <c r="V4" s="8">
        <f>C8</f>
        <v>0.02</v>
      </c>
      <c r="W4" s="8"/>
      <c r="X4" s="8"/>
      <c r="Y4" s="4">
        <f>D33*12</f>
        <v>2.9814200695785331E-2</v>
      </c>
      <c r="Z4" s="8"/>
      <c r="AA4" s="3"/>
    </row>
    <row r="5" spans="1:27" x14ac:dyDescent="0.3">
      <c r="A5" s="1" t="s">
        <v>27</v>
      </c>
      <c r="C5" s="31">
        <v>5</v>
      </c>
      <c r="G5" s="3"/>
      <c r="H5" s="3"/>
      <c r="I5" s="3"/>
      <c r="J5" s="3"/>
      <c r="K5" s="3"/>
      <c r="L5" s="3"/>
      <c r="M5" s="3"/>
      <c r="N5" s="3"/>
      <c r="O5" s="3"/>
      <c r="P5" s="3"/>
      <c r="Q5" s="6">
        <f>Q4+Q3-1</f>
        <v>22</v>
      </c>
      <c r="R5" s="3"/>
      <c r="S5" s="3"/>
      <c r="T5" s="3"/>
      <c r="U5" s="3"/>
      <c r="V5" s="3"/>
      <c r="W5" s="3"/>
      <c r="X5" s="3"/>
      <c r="Y5" s="3">
        <f>Y3/Y4</f>
        <v>1.0137786455658366</v>
      </c>
      <c r="Z5" s="3"/>
      <c r="AA5" s="3"/>
    </row>
    <row r="6" spans="1:27" x14ac:dyDescent="0.3">
      <c r="A6" s="1" t="s">
        <v>43</v>
      </c>
      <c r="C6" s="12">
        <f ca="1">YEAR(TODAY())+Duree</f>
        <v>2029</v>
      </c>
      <c r="G6" s="49" t="s">
        <v>20</v>
      </c>
      <c r="H6" s="50"/>
      <c r="I6" s="50"/>
      <c r="J6" s="50"/>
      <c r="K6" s="50"/>
      <c r="L6" s="50"/>
      <c r="M6" s="50"/>
      <c r="N6" s="51"/>
      <c r="O6" s="46" t="s">
        <v>3</v>
      </c>
      <c r="P6" s="47"/>
      <c r="Q6" s="47"/>
      <c r="R6" s="47"/>
      <c r="S6" s="47"/>
      <c r="T6" s="47"/>
      <c r="U6" s="48"/>
      <c r="V6" s="43" t="s">
        <v>8</v>
      </c>
      <c r="W6" s="46" t="s">
        <v>33</v>
      </c>
      <c r="X6" s="47"/>
      <c r="Y6" s="47"/>
      <c r="Z6" s="48"/>
      <c r="AA6" s="43" t="s">
        <v>32</v>
      </c>
    </row>
    <row r="7" spans="1:27" x14ac:dyDescent="0.3">
      <c r="A7" s="1" t="s">
        <v>44</v>
      </c>
      <c r="C7" s="31">
        <v>300000</v>
      </c>
      <c r="E7" s="9" t="s">
        <v>7</v>
      </c>
      <c r="F7" s="1" t="s">
        <v>19</v>
      </c>
      <c r="G7" s="9"/>
      <c r="H7" s="9"/>
      <c r="I7" s="9"/>
      <c r="J7" s="9"/>
      <c r="K7" s="9"/>
      <c r="L7" s="9"/>
      <c r="M7" s="9" t="s">
        <v>20</v>
      </c>
      <c r="N7" s="18"/>
      <c r="O7" s="20" t="s">
        <v>4</v>
      </c>
      <c r="P7" s="9" t="s">
        <v>31</v>
      </c>
      <c r="Q7" s="9" t="s">
        <v>17</v>
      </c>
      <c r="R7" s="9" t="s">
        <v>15</v>
      </c>
      <c r="S7" s="9" t="s">
        <v>16</v>
      </c>
      <c r="T7" s="9" t="s">
        <v>0</v>
      </c>
      <c r="U7" s="18" t="s">
        <v>5</v>
      </c>
      <c r="V7" s="24" t="s">
        <v>9</v>
      </c>
      <c r="W7" s="20" t="s">
        <v>4</v>
      </c>
      <c r="X7" s="9" t="s">
        <v>12</v>
      </c>
      <c r="Y7" s="9" t="s">
        <v>2</v>
      </c>
      <c r="Z7" s="18" t="s">
        <v>5</v>
      </c>
      <c r="AA7" s="24" t="s">
        <v>22</v>
      </c>
    </row>
    <row r="8" spans="1:27" x14ac:dyDescent="0.3">
      <c r="A8" s="1" t="s">
        <v>37</v>
      </c>
      <c r="C8" s="32">
        <v>0.02</v>
      </c>
      <c r="G8" s="9" t="s">
        <v>6</v>
      </c>
      <c r="H8" s="9" t="s">
        <v>11</v>
      </c>
      <c r="I8" s="9" t="s">
        <v>18</v>
      </c>
      <c r="J8" s="9" t="s">
        <v>23</v>
      </c>
      <c r="K8" s="9" t="s">
        <v>17</v>
      </c>
      <c r="L8" s="19" t="s">
        <v>10</v>
      </c>
      <c r="M8" s="9" t="s">
        <v>1</v>
      </c>
      <c r="N8" s="18" t="s">
        <v>21</v>
      </c>
      <c r="O8" s="20"/>
      <c r="P8" s="9" t="s">
        <v>30</v>
      </c>
      <c r="Q8" s="9"/>
      <c r="R8" s="9"/>
      <c r="S8" s="9"/>
      <c r="T8" s="9"/>
      <c r="U8" s="18"/>
      <c r="V8" s="22"/>
      <c r="W8" s="25"/>
      <c r="Z8" s="29">
        <v>0</v>
      </c>
      <c r="AA8" s="22"/>
    </row>
    <row r="9" spans="1:27" x14ac:dyDescent="0.3">
      <c r="A9" s="1" t="s">
        <v>45</v>
      </c>
      <c r="C9" s="32">
        <v>0.01</v>
      </c>
      <c r="E9" s="9">
        <v>1</v>
      </c>
      <c r="F9" s="9" t="b">
        <f>E9&gt;$C$5</f>
        <v>0</v>
      </c>
      <c r="G9" s="15">
        <f t="shared" ref="G9:G40" si="0">$C$10*$G$4^(E9-1)*F9+($C$31+$C$16*$G$4^(E9-1))*(E9=$C$5+1)</f>
        <v>0</v>
      </c>
      <c r="H9" s="15">
        <f>-X9</f>
        <v>0</v>
      </c>
      <c r="I9" s="15">
        <f>$C$4*12*$G$4^(E9-1)*NOT(F9)</f>
        <v>14400</v>
      </c>
      <c r="J9" s="15">
        <f t="shared" ref="J9:J40" si="1">$C$35*12*$G$4^(E9-1)*F9</f>
        <v>0</v>
      </c>
      <c r="K9" s="15">
        <f>Q9</f>
        <v>0</v>
      </c>
      <c r="L9" s="16">
        <f>SUM(G9:K9)</f>
        <v>14400</v>
      </c>
      <c r="M9" s="15">
        <f>$C$3*$G$4^(E9-1)*12</f>
        <v>30000</v>
      </c>
      <c r="N9" s="17">
        <f>M9-L9</f>
        <v>15600</v>
      </c>
      <c r="O9" s="45">
        <f>C38</f>
        <v>0</v>
      </c>
      <c r="P9" s="15">
        <f t="shared" ref="P9:P40" si="2">MAX(0,N9/(1-$C$37))</f>
        <v>24809.16030534351</v>
      </c>
      <c r="Q9" s="15">
        <f t="shared" ref="Q9:Q42" si="3">-SUM($S$9:$S$55)/$Q$3*AND(E9&gt;=$Q$4,E9&lt;=$Q$5)</f>
        <v>0</v>
      </c>
      <c r="R9" s="15">
        <f t="shared" ref="R9:R40" si="4">MIN(0,N9/(1-$C$37))</f>
        <v>0</v>
      </c>
      <c r="S9" s="15">
        <f t="shared" ref="S9:S40" si="5">-($C$29+$C$31)*(E9=$C$5+1)</f>
        <v>0</v>
      </c>
      <c r="T9" s="15">
        <f>(O9+S9)*$T$4+SUM(P9:R9)*$T$4/2</f>
        <v>620.2290076335878</v>
      </c>
      <c r="U9" s="17">
        <f>SUM(O9:T9)</f>
        <v>25429.389312977099</v>
      </c>
      <c r="V9" s="23">
        <f>$C$7*(1+$V$4)^(E9)*(E9&gt;$C$5)</f>
        <v>0</v>
      </c>
      <c r="W9" s="26">
        <f t="shared" ref="W9:W40" si="6">($C$29/$C$28-$C$29+$C$30)*(E9=$C$5+1)+Z8</f>
        <v>0</v>
      </c>
      <c r="X9" s="10">
        <f t="shared" ref="X9:X40" si="7">-($C$34*12)*(E9&gt;$C$5)*(E9&lt;=$C$5+$C$18)</f>
        <v>0</v>
      </c>
      <c r="Y9" s="10">
        <f>-X9-(W9-Z9)</f>
        <v>0</v>
      </c>
      <c r="Z9" s="27">
        <f>W9*(1+$Y$3)+X9*$Y$5</f>
        <v>0</v>
      </c>
      <c r="AA9" s="28">
        <f>U9*(1-$C$37)+V9-Z9+(SUM($Q$9:Q9,$S$9:S9))*$C$37</f>
        <v>15990</v>
      </c>
    </row>
    <row r="10" spans="1:27" x14ac:dyDescent="0.3">
      <c r="A10" s="1" t="s">
        <v>38</v>
      </c>
      <c r="C10" s="11">
        <f>C7*C9</f>
        <v>3000</v>
      </c>
      <c r="E10" s="9">
        <v>2</v>
      </c>
      <c r="F10" s="9" t="b">
        <f t="shared" ref="F10:F58" si="8">E10&gt;$C$5</f>
        <v>0</v>
      </c>
      <c r="G10" s="15">
        <f t="shared" si="0"/>
        <v>0</v>
      </c>
      <c r="H10" s="15">
        <f t="shared" ref="H10:H58" si="9">-X10</f>
        <v>0</v>
      </c>
      <c r="I10" s="15">
        <f t="shared" ref="I10:I58" si="10">$C$4*12*$G$4^(E10-1)*NOT(F10)</f>
        <v>14688</v>
      </c>
      <c r="J10" s="15">
        <f t="shared" si="1"/>
        <v>0</v>
      </c>
      <c r="K10" s="15">
        <f t="shared" ref="K10:K58" si="11">Q10</f>
        <v>0</v>
      </c>
      <c r="L10" s="16">
        <f t="shared" ref="L10:L58" si="12">SUM(G10:K10)</f>
        <v>14688</v>
      </c>
      <c r="M10" s="15">
        <f t="shared" ref="M10:M58" si="13">$C$3*$G$4^(E10-1)*12</f>
        <v>30600</v>
      </c>
      <c r="N10" s="17">
        <f t="shared" ref="N10:N58" si="14">M10-L10</f>
        <v>15912</v>
      </c>
      <c r="O10" s="21">
        <f>U9</f>
        <v>25429.389312977099</v>
      </c>
      <c r="P10" s="15">
        <f t="shared" si="2"/>
        <v>25305.343511450381</v>
      </c>
      <c r="Q10" s="15">
        <f t="shared" si="3"/>
        <v>0</v>
      </c>
      <c r="R10" s="15">
        <f t="shared" si="4"/>
        <v>0</v>
      </c>
      <c r="S10" s="15">
        <f t="shared" si="5"/>
        <v>0</v>
      </c>
      <c r="T10" s="15">
        <f t="shared" ref="T10:T58" si="15">(O10+S10)*$T$4+SUM(P10:R10)*$T$4/2</f>
        <v>1904.1030534351146</v>
      </c>
      <c r="U10" s="17">
        <f t="shared" ref="U10:U58" si="16">SUM(O10:T10)</f>
        <v>52638.835877862599</v>
      </c>
      <c r="V10" s="23">
        <f t="shared" ref="V10:V58" si="17">$C$7*(1+$V$4)^(E10)*(E10&gt;$C$5)</f>
        <v>0</v>
      </c>
      <c r="W10" s="26">
        <f t="shared" si="6"/>
        <v>0</v>
      </c>
      <c r="X10" s="10">
        <f t="shared" si="7"/>
        <v>0</v>
      </c>
      <c r="Y10" s="10">
        <f t="shared" ref="Y10:Y42" si="18">-X10-(W10-Z10)</f>
        <v>0</v>
      </c>
      <c r="Z10" s="27">
        <f t="shared" ref="Z10:Z42" si="19">W10*(1+$Y$3)+X10*$Y$5</f>
        <v>0</v>
      </c>
      <c r="AA10" s="28">
        <f>U10*(1-$C$37)+V10-Z10+(SUM($Q$9:Q10,$S$9:S10))*$C$37</f>
        <v>33099.300000000003</v>
      </c>
    </row>
    <row r="11" spans="1:27" x14ac:dyDescent="0.3">
      <c r="A11" s="1" t="s">
        <v>25</v>
      </c>
      <c r="E11" s="9">
        <v>3</v>
      </c>
      <c r="F11" s="9" t="b">
        <f t="shared" si="8"/>
        <v>0</v>
      </c>
      <c r="G11" s="15">
        <f t="shared" si="0"/>
        <v>0</v>
      </c>
      <c r="H11" s="15">
        <f t="shared" si="9"/>
        <v>0</v>
      </c>
      <c r="I11" s="15">
        <f t="shared" si="10"/>
        <v>14981.76</v>
      </c>
      <c r="J11" s="15">
        <f t="shared" si="1"/>
        <v>0</v>
      </c>
      <c r="K11" s="15">
        <f t="shared" si="11"/>
        <v>0</v>
      </c>
      <c r="L11" s="16">
        <f t="shared" si="12"/>
        <v>14981.76</v>
      </c>
      <c r="M11" s="15">
        <f t="shared" si="13"/>
        <v>31212</v>
      </c>
      <c r="N11" s="17">
        <f t="shared" si="14"/>
        <v>16230.24</v>
      </c>
      <c r="O11" s="21">
        <f t="shared" ref="O11:O42" si="20">U10</f>
        <v>52638.835877862599</v>
      </c>
      <c r="P11" s="15">
        <f t="shared" si="2"/>
        <v>25811.450381679388</v>
      </c>
      <c r="Q11" s="15">
        <f t="shared" si="3"/>
        <v>0</v>
      </c>
      <c r="R11" s="15">
        <f t="shared" si="4"/>
        <v>0</v>
      </c>
      <c r="S11" s="15">
        <f t="shared" si="5"/>
        <v>0</v>
      </c>
      <c r="T11" s="15">
        <f t="shared" si="15"/>
        <v>3277.2280534351148</v>
      </c>
      <c r="U11" s="17">
        <f t="shared" si="16"/>
        <v>81727.514312977102</v>
      </c>
      <c r="V11" s="23">
        <f t="shared" si="17"/>
        <v>0</v>
      </c>
      <c r="W11" s="26">
        <f t="shared" si="6"/>
        <v>0</v>
      </c>
      <c r="X11" s="10">
        <f t="shared" si="7"/>
        <v>0</v>
      </c>
      <c r="Y11" s="10">
        <f t="shared" si="18"/>
        <v>0</v>
      </c>
      <c r="Z11" s="27">
        <f t="shared" si="19"/>
        <v>0</v>
      </c>
      <c r="AA11" s="28">
        <f>U11*(1-$C$37)+V11-Z11+(SUM($Q$9:Q11,$S$9:S11))*$C$37</f>
        <v>51390.261000000006</v>
      </c>
    </row>
    <row r="12" spans="1:27" x14ac:dyDescent="0.3">
      <c r="B12" s="31">
        <v>0</v>
      </c>
      <c r="C12" s="33">
        <v>5.0000000000000001E-3</v>
      </c>
      <c r="E12" s="9">
        <v>4</v>
      </c>
      <c r="F12" s="9" t="b">
        <f t="shared" si="8"/>
        <v>0</v>
      </c>
      <c r="G12" s="15">
        <f t="shared" si="0"/>
        <v>0</v>
      </c>
      <c r="H12" s="15">
        <f t="shared" si="9"/>
        <v>0</v>
      </c>
      <c r="I12" s="15">
        <f t="shared" si="10"/>
        <v>15281.395199999999</v>
      </c>
      <c r="J12" s="15">
        <f t="shared" si="1"/>
        <v>0</v>
      </c>
      <c r="K12" s="15">
        <f t="shared" si="11"/>
        <v>0</v>
      </c>
      <c r="L12" s="16">
        <f t="shared" si="12"/>
        <v>15281.395199999999</v>
      </c>
      <c r="M12" s="15">
        <f t="shared" si="13"/>
        <v>31836.239999999998</v>
      </c>
      <c r="N12" s="17">
        <f t="shared" si="14"/>
        <v>16554.844799999999</v>
      </c>
      <c r="O12" s="21">
        <f t="shared" si="20"/>
        <v>81727.514312977102</v>
      </c>
      <c r="P12" s="15">
        <f t="shared" si="2"/>
        <v>26327.679389312976</v>
      </c>
      <c r="Q12" s="15">
        <f t="shared" si="3"/>
        <v>0</v>
      </c>
      <c r="R12" s="15">
        <f t="shared" si="4"/>
        <v>0</v>
      </c>
      <c r="S12" s="15">
        <f t="shared" si="5"/>
        <v>0</v>
      </c>
      <c r="T12" s="15">
        <f t="shared" si="15"/>
        <v>4744.56770038168</v>
      </c>
      <c r="U12" s="17">
        <f t="shared" si="16"/>
        <v>112799.76140267176</v>
      </c>
      <c r="V12" s="23">
        <f t="shared" si="17"/>
        <v>0</v>
      </c>
      <c r="W12" s="26">
        <f t="shared" si="6"/>
        <v>0</v>
      </c>
      <c r="X12" s="10">
        <f t="shared" si="7"/>
        <v>0</v>
      </c>
      <c r="Y12" s="10">
        <f t="shared" si="18"/>
        <v>0</v>
      </c>
      <c r="Z12" s="27">
        <f t="shared" si="19"/>
        <v>0</v>
      </c>
      <c r="AA12" s="28">
        <f>U12*(1-$C$37)+V12-Z12+(SUM($Q$9:Q12,$S$9:S12))*$C$37</f>
        <v>70928.48997000001</v>
      </c>
    </row>
    <row r="13" spans="1:27" x14ac:dyDescent="0.3">
      <c r="B13" s="31">
        <v>50000</v>
      </c>
      <c r="C13" s="33">
        <v>0.01</v>
      </c>
      <c r="E13" s="9">
        <v>5</v>
      </c>
      <c r="F13" s="9" t="b">
        <f t="shared" si="8"/>
        <v>0</v>
      </c>
      <c r="G13" s="15">
        <f t="shared" si="0"/>
        <v>0</v>
      </c>
      <c r="H13" s="15">
        <f t="shared" si="9"/>
        <v>0</v>
      </c>
      <c r="I13" s="15">
        <f t="shared" si="10"/>
        <v>15587.023104</v>
      </c>
      <c r="J13" s="15">
        <f t="shared" si="1"/>
        <v>0</v>
      </c>
      <c r="K13" s="15">
        <f t="shared" si="11"/>
        <v>0</v>
      </c>
      <c r="L13" s="16">
        <f t="shared" si="12"/>
        <v>15587.023104</v>
      </c>
      <c r="M13" s="15">
        <f t="shared" si="13"/>
        <v>32472.964799999998</v>
      </c>
      <c r="N13" s="17">
        <f t="shared" si="14"/>
        <v>16885.941695999998</v>
      </c>
      <c r="O13" s="21">
        <f t="shared" si="20"/>
        <v>112799.76140267176</v>
      </c>
      <c r="P13" s="15">
        <f t="shared" si="2"/>
        <v>26854.232977099233</v>
      </c>
      <c r="Q13" s="15">
        <f t="shared" si="3"/>
        <v>0</v>
      </c>
      <c r="R13" s="15">
        <f t="shared" si="4"/>
        <v>0</v>
      </c>
      <c r="S13" s="15">
        <f t="shared" si="5"/>
        <v>0</v>
      </c>
      <c r="T13" s="15">
        <f t="shared" si="15"/>
        <v>6311.3438945610696</v>
      </c>
      <c r="U13" s="17">
        <f t="shared" si="16"/>
        <v>145965.33827433208</v>
      </c>
      <c r="V13" s="23">
        <f t="shared" si="17"/>
        <v>0</v>
      </c>
      <c r="W13" s="26">
        <f t="shared" si="6"/>
        <v>0</v>
      </c>
      <c r="X13" s="10">
        <f t="shared" si="7"/>
        <v>0</v>
      </c>
      <c r="Y13" s="10">
        <f t="shared" si="18"/>
        <v>0</v>
      </c>
      <c r="Z13" s="27">
        <f t="shared" si="19"/>
        <v>0</v>
      </c>
      <c r="AA13" s="28">
        <f>U13*(1-$C$37)+V13-Z13+(SUM($Q$9:Q13,$S$9:S13))*$C$37</f>
        <v>91783.004706900014</v>
      </c>
    </row>
    <row r="14" spans="1:27" x14ac:dyDescent="0.3">
      <c r="B14" s="31">
        <v>250000</v>
      </c>
      <c r="C14" s="33">
        <v>1.4999999999999999E-2</v>
      </c>
      <c r="E14" s="9">
        <v>6</v>
      </c>
      <c r="F14" s="9" t="b">
        <f t="shared" si="8"/>
        <v>1</v>
      </c>
      <c r="G14" s="15">
        <f t="shared" si="0"/>
        <v>7648.7129783085602</v>
      </c>
      <c r="H14" s="15">
        <f t="shared" si="9"/>
        <v>17512.152569838272</v>
      </c>
      <c r="I14" s="15">
        <f t="shared" si="10"/>
        <v>0</v>
      </c>
      <c r="J14" s="15">
        <f t="shared" si="1"/>
        <v>1987.3454457600001</v>
      </c>
      <c r="K14" s="15">
        <f t="shared" si="11"/>
        <v>0</v>
      </c>
      <c r="L14" s="16">
        <f t="shared" si="12"/>
        <v>27148.210993906832</v>
      </c>
      <c r="M14" s="15">
        <f t="shared" si="13"/>
        <v>33122.424096000002</v>
      </c>
      <c r="N14" s="17">
        <f t="shared" si="14"/>
        <v>5974.2131020931702</v>
      </c>
      <c r="O14" s="21">
        <f t="shared" si="20"/>
        <v>145965.33827433208</v>
      </c>
      <c r="P14" s="15">
        <f t="shared" si="2"/>
        <v>9500.9750351354487</v>
      </c>
      <c r="Q14" s="15">
        <f t="shared" si="3"/>
        <v>0</v>
      </c>
      <c r="R14" s="15">
        <f t="shared" si="4"/>
        <v>0</v>
      </c>
      <c r="S14" s="15">
        <f t="shared" si="5"/>
        <v>-34146.652255108565</v>
      </c>
      <c r="T14" s="15">
        <f t="shared" si="15"/>
        <v>5828.4586768395629</v>
      </c>
      <c r="U14" s="17">
        <f t="shared" si="16"/>
        <v>127148.11973119855</v>
      </c>
      <c r="V14" s="23">
        <f t="shared" si="17"/>
        <v>337848.72577920003</v>
      </c>
      <c r="W14" s="26">
        <f t="shared" si="6"/>
        <v>308369.76833376003</v>
      </c>
      <c r="X14" s="10">
        <f t="shared" si="7"/>
        <v>-17512.152569838272</v>
      </c>
      <c r="Y14" s="10">
        <f t="shared" si="18"/>
        <v>9079.1825045336118</v>
      </c>
      <c r="Z14" s="27">
        <f t="shared" si="19"/>
        <v>299936.79826845537</v>
      </c>
      <c r="AA14" s="28">
        <f>U14*(1-$C$37)+V14-Z14+(SUM($Q$9:Q14,$S$9:S14))*$C$37</f>
        <v>105187.42788062603</v>
      </c>
    </row>
    <row r="15" spans="1:27" x14ac:dyDescent="0.3">
      <c r="B15" s="31">
        <v>500000</v>
      </c>
      <c r="C15" s="33">
        <v>0.02</v>
      </c>
      <c r="E15" s="9">
        <v>7</v>
      </c>
      <c r="F15" s="9" t="b">
        <f t="shared" si="8"/>
        <v>1</v>
      </c>
      <c r="G15" s="15">
        <f t="shared" si="0"/>
        <v>3378.487257792</v>
      </c>
      <c r="H15" s="15">
        <f t="shared" si="9"/>
        <v>17512.152569838272</v>
      </c>
      <c r="I15" s="15">
        <f t="shared" si="10"/>
        <v>0</v>
      </c>
      <c r="J15" s="15">
        <f t="shared" si="1"/>
        <v>2027.0923546752001</v>
      </c>
      <c r="K15" s="15">
        <f t="shared" si="11"/>
        <v>0</v>
      </c>
      <c r="L15" s="16">
        <f t="shared" si="12"/>
        <v>22917.732182305474</v>
      </c>
      <c r="M15" s="15">
        <f t="shared" si="13"/>
        <v>33784.872577920003</v>
      </c>
      <c r="N15" s="17">
        <f t="shared" si="14"/>
        <v>10867.14039561453</v>
      </c>
      <c r="O15" s="21">
        <f t="shared" si="20"/>
        <v>127148.11973119855</v>
      </c>
      <c r="P15" s="15">
        <f t="shared" si="2"/>
        <v>17282.347957402242</v>
      </c>
      <c r="Q15" s="15">
        <f t="shared" si="3"/>
        <v>0</v>
      </c>
      <c r="R15" s="15">
        <f t="shared" si="4"/>
        <v>0</v>
      </c>
      <c r="S15" s="15">
        <f t="shared" si="5"/>
        <v>0</v>
      </c>
      <c r="T15" s="15">
        <f t="shared" si="15"/>
        <v>6789.4646854949833</v>
      </c>
      <c r="U15" s="17">
        <f t="shared" si="16"/>
        <v>151219.93237409578</v>
      </c>
      <c r="V15" s="23">
        <f t="shared" si="17"/>
        <v>344605.70029478392</v>
      </c>
      <c r="W15" s="26">
        <f t="shared" si="6"/>
        <v>299936.79826845537</v>
      </c>
      <c r="X15" s="10">
        <f t="shared" si="7"/>
        <v>-17512.152569838272</v>
      </c>
      <c r="Y15" s="10">
        <f t="shared" si="18"/>
        <v>8824.2959843097451</v>
      </c>
      <c r="Z15" s="27">
        <f t="shared" si="19"/>
        <v>291248.94168292684</v>
      </c>
      <c r="AA15" s="28">
        <f>U15*(1-$C$37)+V15-Z15+(SUM($Q$9:Q15,$S$9:S15))*$C$37</f>
        <v>135768.61477159223</v>
      </c>
    </row>
    <row r="16" spans="1:27" x14ac:dyDescent="0.3">
      <c r="A16" s="1" t="s">
        <v>49</v>
      </c>
      <c r="C16" s="11">
        <f>MIN(C7,B13)*C12+MAX(0,MIN(C7-B13,B14-B13))*C13+MAX(0,MIN(C7-B14,B15-B14))*C14+MAX(0,C7-B15)*C15</f>
        <v>3000</v>
      </c>
      <c r="E16" s="9">
        <v>8</v>
      </c>
      <c r="F16" s="9" t="b">
        <f t="shared" si="8"/>
        <v>1</v>
      </c>
      <c r="G16" s="15">
        <f t="shared" si="0"/>
        <v>3446.0570029478395</v>
      </c>
      <c r="H16" s="15">
        <f t="shared" si="9"/>
        <v>17512.152569838272</v>
      </c>
      <c r="I16" s="15">
        <f t="shared" si="10"/>
        <v>0</v>
      </c>
      <c r="J16" s="15">
        <f t="shared" si="1"/>
        <v>2067.6342017687039</v>
      </c>
      <c r="K16" s="15">
        <f t="shared" si="11"/>
        <v>2276.4434836739042</v>
      </c>
      <c r="L16" s="16">
        <f t="shared" si="12"/>
        <v>25302.28725822872</v>
      </c>
      <c r="M16" s="15">
        <f t="shared" si="13"/>
        <v>34460.570029478396</v>
      </c>
      <c r="N16" s="17">
        <f t="shared" si="14"/>
        <v>9158.2827712496764</v>
      </c>
      <c r="O16" s="21">
        <f t="shared" si="20"/>
        <v>151219.93237409578</v>
      </c>
      <c r="P16" s="15">
        <f t="shared" si="2"/>
        <v>14564.699063692233</v>
      </c>
      <c r="Q16" s="15">
        <f t="shared" si="3"/>
        <v>2276.4434836739042</v>
      </c>
      <c r="R16" s="15">
        <f t="shared" si="4"/>
        <v>0</v>
      </c>
      <c r="S16" s="15">
        <f t="shared" si="5"/>
        <v>0</v>
      </c>
      <c r="T16" s="15">
        <f t="shared" si="15"/>
        <v>7982.025182388943</v>
      </c>
      <c r="U16" s="17">
        <f t="shared" si="16"/>
        <v>176043.10010385088</v>
      </c>
      <c r="V16" s="23">
        <f t="shared" si="17"/>
        <v>351497.81430067966</v>
      </c>
      <c r="W16" s="26">
        <f t="shared" si="6"/>
        <v>291248.94168292684</v>
      </c>
      <c r="X16" s="10">
        <f t="shared" si="7"/>
        <v>-17512.152569838272</v>
      </c>
      <c r="Y16" s="10">
        <f t="shared" si="18"/>
        <v>8561.7055190121719</v>
      </c>
      <c r="Z16" s="27">
        <f t="shared" si="19"/>
        <v>282298.49463210074</v>
      </c>
      <c r="AA16" s="28">
        <f>U16*(1-$C$37)+V16-Z16+(SUM($Q$9:Q16,$S$9:S16))*$C$37</f>
        <v>168064.9995179238</v>
      </c>
    </row>
    <row r="17" spans="1:28" x14ac:dyDescent="0.3">
      <c r="A17" s="1" t="s">
        <v>28</v>
      </c>
      <c r="C17" s="34">
        <v>0.03</v>
      </c>
      <c r="E17" s="9">
        <v>9</v>
      </c>
      <c r="F17" s="9" t="b">
        <f t="shared" si="8"/>
        <v>1</v>
      </c>
      <c r="G17" s="15">
        <f t="shared" si="0"/>
        <v>3514.9781430067965</v>
      </c>
      <c r="H17" s="15">
        <f t="shared" si="9"/>
        <v>17512.152569838272</v>
      </c>
      <c r="I17" s="15">
        <f t="shared" si="10"/>
        <v>0</v>
      </c>
      <c r="J17" s="15">
        <f t="shared" si="1"/>
        <v>2108.9868858040782</v>
      </c>
      <c r="K17" s="15">
        <f t="shared" si="11"/>
        <v>2276.4434836739042</v>
      </c>
      <c r="L17" s="16">
        <f t="shared" si="12"/>
        <v>25412.561082323053</v>
      </c>
      <c r="M17" s="15">
        <f t="shared" si="13"/>
        <v>35149.781430067967</v>
      </c>
      <c r="N17" s="17">
        <f t="shared" si="14"/>
        <v>9737.2203477449148</v>
      </c>
      <c r="O17" s="21">
        <f t="shared" si="20"/>
        <v>176043.10010385088</v>
      </c>
      <c r="P17" s="15">
        <f t="shared" si="2"/>
        <v>15485.401316388223</v>
      </c>
      <c r="Q17" s="15">
        <f t="shared" si="3"/>
        <v>2276.4434836739042</v>
      </c>
      <c r="R17" s="15">
        <f t="shared" si="4"/>
        <v>0</v>
      </c>
      <c r="S17" s="15">
        <f t="shared" si="5"/>
        <v>0</v>
      </c>
      <c r="T17" s="15">
        <f t="shared" si="15"/>
        <v>9246.2011251940967</v>
      </c>
      <c r="U17" s="17">
        <f t="shared" si="16"/>
        <v>203051.1460291071</v>
      </c>
      <c r="V17" s="23">
        <f t="shared" si="17"/>
        <v>358527.77058669325</v>
      </c>
      <c r="W17" s="26">
        <f t="shared" si="6"/>
        <v>282298.49463210074</v>
      </c>
      <c r="X17" s="10">
        <f t="shared" si="7"/>
        <v>-17512.152569838272</v>
      </c>
      <c r="Y17" s="10">
        <f t="shared" si="18"/>
        <v>8291.1782569009192</v>
      </c>
      <c r="Z17" s="27">
        <f t="shared" si="19"/>
        <v>273077.52031916339</v>
      </c>
      <c r="AA17" s="28">
        <f>U17*(1-$C$37)+V17-Z17+(SUM($Q$9:Q17,$S$9:S17))*$C$37</f>
        <v>202143.60521581559</v>
      </c>
    </row>
    <row r="18" spans="1:28" x14ac:dyDescent="0.3">
      <c r="A18" s="1" t="s">
        <v>46</v>
      </c>
      <c r="C18" s="31">
        <v>25</v>
      </c>
      <c r="D18" s="5">
        <f>((1+$T$4)^C5-1)/T4</f>
        <v>5.5256312500000027</v>
      </c>
      <c r="E18" s="9">
        <v>10</v>
      </c>
      <c r="F18" s="9" t="b">
        <f t="shared" si="8"/>
        <v>1</v>
      </c>
      <c r="G18" s="15">
        <f t="shared" si="0"/>
        <v>3585.2777058669326</v>
      </c>
      <c r="H18" s="15">
        <f t="shared" si="9"/>
        <v>17512.152569838272</v>
      </c>
      <c r="I18" s="15">
        <f t="shared" si="10"/>
        <v>0</v>
      </c>
      <c r="J18" s="15">
        <f t="shared" si="1"/>
        <v>2151.1666235201596</v>
      </c>
      <c r="K18" s="15">
        <f t="shared" si="11"/>
        <v>2276.4434836739042</v>
      </c>
      <c r="L18" s="16">
        <f t="shared" si="12"/>
        <v>25525.040382899271</v>
      </c>
      <c r="M18" s="15">
        <f t="shared" si="13"/>
        <v>35852.777058669322</v>
      </c>
      <c r="N18" s="17">
        <f t="shared" si="14"/>
        <v>10327.736675770051</v>
      </c>
      <c r="O18" s="21">
        <f t="shared" si="20"/>
        <v>203051.1460291071</v>
      </c>
      <c r="P18" s="15">
        <f t="shared" si="2"/>
        <v>16424.51761413812</v>
      </c>
      <c r="Q18" s="15">
        <f t="shared" si="3"/>
        <v>2276.4434836739042</v>
      </c>
      <c r="R18" s="15">
        <f t="shared" si="4"/>
        <v>0</v>
      </c>
      <c r="S18" s="15">
        <f t="shared" si="5"/>
        <v>0</v>
      </c>
      <c r="T18" s="15">
        <f t="shared" si="15"/>
        <v>10620.081328900656</v>
      </c>
      <c r="U18" s="17">
        <f t="shared" si="16"/>
        <v>232372.18845581976</v>
      </c>
      <c r="V18" s="23">
        <f t="shared" si="17"/>
        <v>365698.32599842711</v>
      </c>
      <c r="W18" s="26">
        <f t="shared" si="6"/>
        <v>273077.52031916339</v>
      </c>
      <c r="X18" s="10">
        <f t="shared" si="7"/>
        <v>-17512.152569838272</v>
      </c>
      <c r="Y18" s="10">
        <f t="shared" si="18"/>
        <v>8012.4743082923778</v>
      </c>
      <c r="Z18" s="27">
        <f t="shared" si="19"/>
        <v>263577.8420576175</v>
      </c>
      <c r="AA18" s="28">
        <f>U18*(1-$C$37)+V18-Z18+(SUM($Q$9:Q18,$S$9:S18))*$C$37</f>
        <v>238095.92618815208</v>
      </c>
      <c r="AB18" s="10"/>
    </row>
    <row r="19" spans="1:28" x14ac:dyDescent="0.3">
      <c r="E19" s="9">
        <v>11</v>
      </c>
      <c r="F19" s="9" t="b">
        <f t="shared" si="8"/>
        <v>1</v>
      </c>
      <c r="G19" s="15">
        <f t="shared" si="0"/>
        <v>3656.9832599842712</v>
      </c>
      <c r="H19" s="15">
        <f t="shared" si="9"/>
        <v>17512.152569838272</v>
      </c>
      <c r="I19" s="15">
        <f t="shared" si="10"/>
        <v>0</v>
      </c>
      <c r="J19" s="15">
        <f t="shared" si="1"/>
        <v>2194.1899559905628</v>
      </c>
      <c r="K19" s="15">
        <f t="shared" si="11"/>
        <v>2276.4434836739042</v>
      </c>
      <c r="L19" s="16">
        <f t="shared" si="12"/>
        <v>25639.769269487009</v>
      </c>
      <c r="M19" s="15">
        <f t="shared" si="13"/>
        <v>36569.832599842717</v>
      </c>
      <c r="N19" s="17">
        <f t="shared" si="14"/>
        <v>10930.063330355708</v>
      </c>
      <c r="O19" s="21">
        <f t="shared" si="20"/>
        <v>232372.18845581976</v>
      </c>
      <c r="P19" s="15">
        <f t="shared" si="2"/>
        <v>17382.416237843045</v>
      </c>
      <c r="Q19" s="15">
        <f t="shared" si="3"/>
        <v>2276.4434836739042</v>
      </c>
      <c r="R19" s="15">
        <f t="shared" si="4"/>
        <v>0</v>
      </c>
      <c r="S19" s="15">
        <f t="shared" si="5"/>
        <v>0</v>
      </c>
      <c r="T19" s="15">
        <f t="shared" si="15"/>
        <v>12110.080915828912</v>
      </c>
      <c r="U19" s="17">
        <f t="shared" si="16"/>
        <v>264141.12909316563</v>
      </c>
      <c r="V19" s="23">
        <f t="shared" si="17"/>
        <v>373012.29251839558</v>
      </c>
      <c r="W19" s="26">
        <f t="shared" si="6"/>
        <v>263577.8420576175</v>
      </c>
      <c r="X19" s="10">
        <f t="shared" si="7"/>
        <v>-17512.152569838272</v>
      </c>
      <c r="Y19" s="10">
        <f t="shared" si="18"/>
        <v>7725.346532837164</v>
      </c>
      <c r="Z19" s="27">
        <f t="shared" si="19"/>
        <v>253791.03602061639</v>
      </c>
      <c r="AA19" s="28">
        <f>U19*(1-$C$37)+V19-Z19+(SUM($Q$9:Q19,$S$9:S19))*$C$37</f>
        <v>276018.02443902439</v>
      </c>
    </row>
    <row r="20" spans="1:28" x14ac:dyDescent="0.3">
      <c r="A20" s="1" t="s">
        <v>29</v>
      </c>
      <c r="C20" s="35">
        <v>9.9750000000000005E-2</v>
      </c>
      <c r="D20" s="10"/>
      <c r="E20" s="9">
        <v>12</v>
      </c>
      <c r="F20" s="9" t="b">
        <f t="shared" si="8"/>
        <v>1</v>
      </c>
      <c r="G20" s="15">
        <f t="shared" si="0"/>
        <v>3730.1229251839559</v>
      </c>
      <c r="H20" s="15">
        <f t="shared" si="9"/>
        <v>17512.152569838272</v>
      </c>
      <c r="I20" s="15">
        <f t="shared" si="10"/>
        <v>0</v>
      </c>
      <c r="J20" s="15">
        <f t="shared" si="1"/>
        <v>2238.0737551103734</v>
      </c>
      <c r="K20" s="15">
        <f t="shared" si="11"/>
        <v>2276.4434836739042</v>
      </c>
      <c r="L20" s="16">
        <f t="shared" si="12"/>
        <v>25756.792733806509</v>
      </c>
      <c r="M20" s="15">
        <f t="shared" si="13"/>
        <v>37301.229251839555</v>
      </c>
      <c r="N20" s="17">
        <f t="shared" si="14"/>
        <v>11544.436518033046</v>
      </c>
      <c r="O20" s="21">
        <f t="shared" si="20"/>
        <v>264141.12909316563</v>
      </c>
      <c r="P20" s="15">
        <f t="shared" si="2"/>
        <v>18359.472834022017</v>
      </c>
      <c r="Q20" s="15">
        <f t="shared" si="3"/>
        <v>2276.4434836739042</v>
      </c>
      <c r="R20" s="15">
        <f t="shared" si="4"/>
        <v>0</v>
      </c>
      <c r="S20" s="15">
        <f t="shared" si="5"/>
        <v>0</v>
      </c>
      <c r="T20" s="15">
        <f t="shared" si="15"/>
        <v>13722.954362600682</v>
      </c>
      <c r="U20" s="17">
        <f t="shared" si="16"/>
        <v>298499.99977346224</v>
      </c>
      <c r="V20" s="23">
        <f t="shared" si="17"/>
        <v>380472.53836876358</v>
      </c>
      <c r="W20" s="26">
        <f t="shared" si="6"/>
        <v>253791.03602061639</v>
      </c>
      <c r="X20" s="10">
        <f t="shared" si="7"/>
        <v>-17512.152569838272</v>
      </c>
      <c r="Y20" s="10">
        <f t="shared" si="18"/>
        <v>7429.5403203688002</v>
      </c>
      <c r="Z20" s="27">
        <f t="shared" si="19"/>
        <v>243708.42377114692</v>
      </c>
      <c r="AA20" s="28">
        <f>U20*(1-$C$37)+V20-Z20+(SUM($Q$9:Q20,$S$9:S20))*$C$37</f>
        <v>316010.75624377216</v>
      </c>
    </row>
    <row r="21" spans="1:28" x14ac:dyDescent="0.3">
      <c r="E21" s="9">
        <v>13</v>
      </c>
      <c r="F21" s="9" t="b">
        <f t="shared" si="8"/>
        <v>1</v>
      </c>
      <c r="G21" s="15">
        <f t="shared" si="0"/>
        <v>3804.7253836876357</v>
      </c>
      <c r="H21" s="15">
        <f t="shared" si="9"/>
        <v>17512.152569838272</v>
      </c>
      <c r="I21" s="15">
        <f t="shared" si="10"/>
        <v>0</v>
      </c>
      <c r="J21" s="15">
        <f t="shared" si="1"/>
        <v>2282.8352302125813</v>
      </c>
      <c r="K21" s="15">
        <f t="shared" si="11"/>
        <v>2276.4434836739042</v>
      </c>
      <c r="L21" s="16">
        <f t="shared" si="12"/>
        <v>25876.156667412397</v>
      </c>
      <c r="M21" s="15">
        <f t="shared" si="13"/>
        <v>38047.253836876363</v>
      </c>
      <c r="N21" s="17">
        <f t="shared" si="14"/>
        <v>12171.097169463967</v>
      </c>
      <c r="O21" s="21">
        <f t="shared" si="20"/>
        <v>298499.99977346224</v>
      </c>
      <c r="P21" s="15">
        <f t="shared" si="2"/>
        <v>19356.070562124627</v>
      </c>
      <c r="Q21" s="15">
        <f t="shared" si="3"/>
        <v>2276.4434836739042</v>
      </c>
      <c r="R21" s="15">
        <f t="shared" si="4"/>
        <v>0</v>
      </c>
      <c r="S21" s="15">
        <f t="shared" si="5"/>
        <v>0</v>
      </c>
      <c r="T21" s="15">
        <f t="shared" si="15"/>
        <v>15465.812839818076</v>
      </c>
      <c r="U21" s="17">
        <f t="shared" si="16"/>
        <v>335598.32665907883</v>
      </c>
      <c r="V21" s="23">
        <f t="shared" si="17"/>
        <v>388081.98913613881</v>
      </c>
      <c r="W21" s="26">
        <f t="shared" si="6"/>
        <v>243708.42377114692</v>
      </c>
      <c r="X21" s="10">
        <f t="shared" si="7"/>
        <v>-17512.152569838272</v>
      </c>
      <c r="Y21" s="10">
        <f t="shared" si="18"/>
        <v>7124.7933651285675</v>
      </c>
      <c r="Z21" s="27">
        <f t="shared" si="19"/>
        <v>233321.06456643721</v>
      </c>
      <c r="AA21" s="28">
        <f>U21*(1-$C$37)+V21-Z21+(SUM($Q$9:Q21,$S$9:S21))*$C$37</f>
        <v>358180.00998267258</v>
      </c>
    </row>
    <row r="22" spans="1:28" x14ac:dyDescent="0.3">
      <c r="A22" s="14" t="s">
        <v>39</v>
      </c>
      <c r="B22" s="36">
        <v>0</v>
      </c>
      <c r="C22" s="37">
        <v>0</v>
      </c>
      <c r="E22" s="9">
        <v>14</v>
      </c>
      <c r="F22" s="9" t="b">
        <f t="shared" si="8"/>
        <v>1</v>
      </c>
      <c r="G22" s="15">
        <f t="shared" si="0"/>
        <v>3880.8198913613883</v>
      </c>
      <c r="H22" s="15">
        <f t="shared" si="9"/>
        <v>17512.152569838272</v>
      </c>
      <c r="I22" s="15">
        <f t="shared" si="10"/>
        <v>0</v>
      </c>
      <c r="J22" s="15">
        <f t="shared" si="1"/>
        <v>2328.4919348168328</v>
      </c>
      <c r="K22" s="15">
        <f t="shared" si="11"/>
        <v>2276.4434836739042</v>
      </c>
      <c r="L22" s="16">
        <f t="shared" si="12"/>
        <v>25997.9078796904</v>
      </c>
      <c r="M22" s="15">
        <f t="shared" si="13"/>
        <v>38808.19891361388</v>
      </c>
      <c r="N22" s="17">
        <f t="shared" si="14"/>
        <v>12810.29103392348</v>
      </c>
      <c r="O22" s="21">
        <f t="shared" si="20"/>
        <v>335598.32665907883</v>
      </c>
      <c r="P22" s="15">
        <f t="shared" si="2"/>
        <v>20372.60024478925</v>
      </c>
      <c r="Q22" s="15">
        <f t="shared" si="3"/>
        <v>2276.4434836739042</v>
      </c>
      <c r="R22" s="15">
        <f t="shared" si="4"/>
        <v>0</v>
      </c>
      <c r="S22" s="15">
        <f t="shared" si="5"/>
        <v>0</v>
      </c>
      <c r="T22" s="15">
        <f t="shared" si="15"/>
        <v>17346.142426165519</v>
      </c>
      <c r="U22" s="17">
        <f t="shared" si="16"/>
        <v>375593.51281370752</v>
      </c>
      <c r="V22" s="23">
        <f t="shared" si="17"/>
        <v>395843.62891886162</v>
      </c>
      <c r="W22" s="26">
        <f t="shared" si="6"/>
        <v>233321.06456643721</v>
      </c>
      <c r="X22" s="10">
        <f t="shared" si="7"/>
        <v>-17512.152569838272</v>
      </c>
      <c r="Y22" s="10">
        <f t="shared" si="18"/>
        <v>6810.8354331662085</v>
      </c>
      <c r="Z22" s="27">
        <f t="shared" si="19"/>
        <v>222619.74742976515</v>
      </c>
      <c r="AA22" s="28">
        <f>U22*(1-$C$37)+V22-Z22+(SUM($Q$9:Q22,$S$9:S22))*$C$37</f>
        <v>402636.95577723777</v>
      </c>
    </row>
    <row r="23" spans="1:28" x14ac:dyDescent="0.3">
      <c r="B23" s="38">
        <v>0.85</v>
      </c>
      <c r="C23" s="37">
        <v>2.8000000000000001E-2</v>
      </c>
      <c r="E23" s="9">
        <v>15</v>
      </c>
      <c r="F23" s="9" t="b">
        <f t="shared" si="8"/>
        <v>1</v>
      </c>
      <c r="G23" s="15">
        <f t="shared" si="0"/>
        <v>3958.4362891886162</v>
      </c>
      <c r="H23" s="15">
        <f t="shared" si="9"/>
        <v>17512.152569838272</v>
      </c>
      <c r="I23" s="15">
        <f t="shared" si="10"/>
        <v>0</v>
      </c>
      <c r="J23" s="15">
        <f t="shared" si="1"/>
        <v>2375.06177351317</v>
      </c>
      <c r="K23" s="15">
        <f t="shared" si="11"/>
        <v>2276.4434836739042</v>
      </c>
      <c r="L23" s="16">
        <f t="shared" si="12"/>
        <v>26122.094116213964</v>
      </c>
      <c r="M23" s="15">
        <f t="shared" si="13"/>
        <v>39584.362891886165</v>
      </c>
      <c r="N23" s="17">
        <f t="shared" si="14"/>
        <v>13462.268775672201</v>
      </c>
      <c r="O23" s="21">
        <f t="shared" si="20"/>
        <v>375593.51281370752</v>
      </c>
      <c r="P23" s="15">
        <f t="shared" si="2"/>
        <v>21409.46052110719</v>
      </c>
      <c r="Q23" s="15">
        <f t="shared" si="3"/>
        <v>2276.4434836739042</v>
      </c>
      <c r="R23" s="15">
        <f t="shared" si="4"/>
        <v>0</v>
      </c>
      <c r="S23" s="15">
        <f t="shared" si="5"/>
        <v>0</v>
      </c>
      <c r="T23" s="15">
        <f t="shared" si="15"/>
        <v>19371.823240804904</v>
      </c>
      <c r="U23" s="17">
        <f t="shared" si="16"/>
        <v>418651.24005929352</v>
      </c>
      <c r="V23" s="23">
        <f t="shared" si="17"/>
        <v>403760.50149723876</v>
      </c>
      <c r="W23" s="26">
        <f t="shared" si="6"/>
        <v>222619.74742976515</v>
      </c>
      <c r="X23" s="10">
        <f t="shared" si="7"/>
        <v>-17512.152569838272</v>
      </c>
      <c r="Y23" s="10">
        <f t="shared" si="18"/>
        <v>6487.3881227102793</v>
      </c>
      <c r="Z23" s="27">
        <f t="shared" si="19"/>
        <v>211594.98298263716</v>
      </c>
      <c r="AA23" s="28">
        <f>U23*(1-$C$37)+V23-Z23+(SUM($Q$9:Q23,$S$9:S23))*$C$37</f>
        <v>449498.30751590716</v>
      </c>
    </row>
    <row r="24" spans="1:28" x14ac:dyDescent="0.3">
      <c r="B24" s="38">
        <v>0.9</v>
      </c>
      <c r="C24" s="37">
        <v>3.1E-2</v>
      </c>
      <c r="E24" s="9">
        <v>16</v>
      </c>
      <c r="F24" s="9" t="b">
        <f t="shared" si="8"/>
        <v>1</v>
      </c>
      <c r="G24" s="15">
        <f t="shared" si="0"/>
        <v>4037.6050149723878</v>
      </c>
      <c r="H24" s="15">
        <f t="shared" si="9"/>
        <v>17512.152569838272</v>
      </c>
      <c r="I24" s="15">
        <f t="shared" si="10"/>
        <v>0</v>
      </c>
      <c r="J24" s="15">
        <f t="shared" si="1"/>
        <v>2422.5630089834326</v>
      </c>
      <c r="K24" s="15">
        <f t="shared" si="11"/>
        <v>2276.4434836739042</v>
      </c>
      <c r="L24" s="16">
        <f t="shared" si="12"/>
        <v>26248.764077468</v>
      </c>
      <c r="M24" s="15">
        <f t="shared" si="13"/>
        <v>40376.050149723873</v>
      </c>
      <c r="N24" s="17">
        <f t="shared" si="14"/>
        <v>14127.286072255873</v>
      </c>
      <c r="O24" s="21">
        <f t="shared" si="20"/>
        <v>418651.24005929352</v>
      </c>
      <c r="P24" s="15">
        <f t="shared" si="2"/>
        <v>22467.058002951449</v>
      </c>
      <c r="Q24" s="15">
        <f t="shared" si="3"/>
        <v>2276.4434836739042</v>
      </c>
      <c r="R24" s="15">
        <f t="shared" si="4"/>
        <v>0</v>
      </c>
      <c r="S24" s="15">
        <f t="shared" si="5"/>
        <v>0</v>
      </c>
      <c r="T24" s="15">
        <f t="shared" si="15"/>
        <v>21551.149540130311</v>
      </c>
      <c r="U24" s="17">
        <f t="shared" si="16"/>
        <v>464945.89108604915</v>
      </c>
      <c r="V24" s="23">
        <f t="shared" si="17"/>
        <v>411835.71152718359</v>
      </c>
      <c r="W24" s="26">
        <f t="shared" si="6"/>
        <v>211594.98298263716</v>
      </c>
      <c r="X24" s="10">
        <f t="shared" si="7"/>
        <v>-17512.152569838272</v>
      </c>
      <c r="Y24" s="10">
        <f t="shared" si="18"/>
        <v>6154.164617295839</v>
      </c>
      <c r="Z24" s="27">
        <f t="shared" si="19"/>
        <v>200236.99503009472</v>
      </c>
      <c r="AA24" s="28">
        <f>U24*(1-$C$37)+V24-Z24+(SUM($Q$9:Q24,$S$9:S24))*$C$37</f>
        <v>498886.59788515803</v>
      </c>
    </row>
    <row r="25" spans="1:28" x14ac:dyDescent="0.3">
      <c r="B25" s="38">
        <v>0.95</v>
      </c>
      <c r="C25" s="37">
        <v>0.04</v>
      </c>
      <c r="E25" s="9">
        <v>17</v>
      </c>
      <c r="F25" s="9" t="b">
        <f t="shared" si="8"/>
        <v>1</v>
      </c>
      <c r="G25" s="15">
        <f t="shared" si="0"/>
        <v>4118.3571152718359</v>
      </c>
      <c r="H25" s="15">
        <f t="shared" si="9"/>
        <v>17512.152569838272</v>
      </c>
      <c r="I25" s="15">
        <f t="shared" si="10"/>
        <v>0</v>
      </c>
      <c r="J25" s="15">
        <f t="shared" si="1"/>
        <v>2471.0142691631017</v>
      </c>
      <c r="K25" s="15">
        <f t="shared" si="11"/>
        <v>2276.4434836739042</v>
      </c>
      <c r="L25" s="16">
        <f t="shared" si="12"/>
        <v>26377.967437947114</v>
      </c>
      <c r="M25" s="15">
        <f t="shared" si="13"/>
        <v>41183.571152718359</v>
      </c>
      <c r="N25" s="17">
        <f t="shared" si="14"/>
        <v>14805.603714771245</v>
      </c>
      <c r="O25" s="21">
        <f t="shared" si="20"/>
        <v>464945.89108604915</v>
      </c>
      <c r="P25" s="15">
        <f t="shared" si="2"/>
        <v>23545.807434432641</v>
      </c>
      <c r="Q25" s="15">
        <f t="shared" si="3"/>
        <v>2276.4434836739042</v>
      </c>
      <c r="R25" s="15">
        <f t="shared" si="4"/>
        <v>0</v>
      </c>
      <c r="S25" s="15">
        <f t="shared" si="5"/>
        <v>0</v>
      </c>
      <c r="T25" s="15">
        <f t="shared" si="15"/>
        <v>23892.850827255123</v>
      </c>
      <c r="U25" s="17">
        <f t="shared" si="16"/>
        <v>514660.99283141078</v>
      </c>
      <c r="V25" s="23">
        <f t="shared" si="17"/>
        <v>420072.42575772729</v>
      </c>
      <c r="W25" s="26">
        <f t="shared" si="6"/>
        <v>200236.99503009472</v>
      </c>
      <c r="X25" s="10">
        <f t="shared" si="7"/>
        <v>-17512.152569838272</v>
      </c>
      <c r="Y25" s="10">
        <f t="shared" si="18"/>
        <v>5810.8694314302084</v>
      </c>
      <c r="Z25" s="27">
        <f t="shared" si="19"/>
        <v>188535.71189168666</v>
      </c>
      <c r="AA25" s="28">
        <f>U25*(1-$C$37)+V25-Z25+(SUM($Q$9:Q25,$S$9:S25))*$C$37</f>
        <v>550930.46705273294</v>
      </c>
    </row>
    <row r="26" spans="1:28" x14ac:dyDescent="0.3">
      <c r="C26" s="1"/>
      <c r="E26" s="9">
        <v>18</v>
      </c>
      <c r="F26" s="9" t="b">
        <f t="shared" si="8"/>
        <v>1</v>
      </c>
      <c r="G26" s="15">
        <f t="shared" si="0"/>
        <v>4200.7242575772734</v>
      </c>
      <c r="H26" s="15">
        <f t="shared" si="9"/>
        <v>17512.152569838272</v>
      </c>
      <c r="I26" s="15">
        <f t="shared" si="10"/>
        <v>0</v>
      </c>
      <c r="J26" s="15">
        <f t="shared" si="1"/>
        <v>2520.4345545463639</v>
      </c>
      <c r="K26" s="15">
        <f t="shared" si="11"/>
        <v>2276.4434836739042</v>
      </c>
      <c r="L26" s="16">
        <f t="shared" si="12"/>
        <v>26509.754865635816</v>
      </c>
      <c r="M26" s="15">
        <f t="shared" si="13"/>
        <v>42007.242575772732</v>
      </c>
      <c r="N26" s="17">
        <f t="shared" si="14"/>
        <v>15497.487710136917</v>
      </c>
      <c r="O26" s="21">
        <f t="shared" si="20"/>
        <v>514660.99283141078</v>
      </c>
      <c r="P26" s="15">
        <f t="shared" si="2"/>
        <v>24646.131854543441</v>
      </c>
      <c r="Q26" s="15">
        <f t="shared" si="3"/>
        <v>2276.4434836739042</v>
      </c>
      <c r="R26" s="15">
        <f t="shared" si="4"/>
        <v>0</v>
      </c>
      <c r="S26" s="15">
        <f t="shared" si="5"/>
        <v>0</v>
      </c>
      <c r="T26" s="15">
        <f t="shared" si="15"/>
        <v>26406.114025025974</v>
      </c>
      <c r="U26" s="17">
        <f t="shared" si="16"/>
        <v>567989.68219465401</v>
      </c>
      <c r="V26" s="23">
        <f t="shared" si="17"/>
        <v>428473.87427288183</v>
      </c>
      <c r="W26" s="26">
        <f t="shared" si="6"/>
        <v>188535.71189168666</v>
      </c>
      <c r="X26" s="10">
        <f t="shared" si="7"/>
        <v>-17512.152569838272</v>
      </c>
      <c r="Y26" s="10">
        <f t="shared" si="18"/>
        <v>5457.1981485718243</v>
      </c>
      <c r="Z26" s="27">
        <f t="shared" si="19"/>
        <v>176480.75747042021</v>
      </c>
      <c r="AA26" s="28">
        <f>U26*(1-$C$37)+V26-Z26+(SUM($Q$9:Q26,$S$9:S26))*$C$37</f>
        <v>605764.96568190097</v>
      </c>
    </row>
    <row r="27" spans="1:28" x14ac:dyDescent="0.3">
      <c r="A27" s="1" t="str">
        <f ca="1">"Ta mise de fonds possible en RAP selon le solde prévu de ton REER en "&amp;YEAR(TODAY())+Duree&amp;" (" &amp;TEXT(C46,"### ### ##0")&amp;" $)"</f>
        <v>Ta mise de fonds possible en RAP selon le solde prévu de ton REER en 2029 (137 086 $)</v>
      </c>
      <c r="C27" s="13">
        <f>IF(C46&lt;C47,A47,INDEX(A47:A50,MATCH(C46,C47:C50)))</f>
        <v>0.2</v>
      </c>
      <c r="E27" s="9">
        <v>19</v>
      </c>
      <c r="F27" s="9" t="b">
        <f t="shared" si="8"/>
        <v>1</v>
      </c>
      <c r="G27" s="15">
        <f t="shared" si="0"/>
        <v>4284.7387427288186</v>
      </c>
      <c r="H27" s="15">
        <f t="shared" si="9"/>
        <v>17512.152569838272</v>
      </c>
      <c r="I27" s="15">
        <f t="shared" si="10"/>
        <v>0</v>
      </c>
      <c r="J27" s="15">
        <f t="shared" si="1"/>
        <v>2570.8432456372907</v>
      </c>
      <c r="K27" s="15">
        <f t="shared" si="11"/>
        <v>2276.4434836739042</v>
      </c>
      <c r="L27" s="16">
        <f t="shared" si="12"/>
        <v>26644.178041878287</v>
      </c>
      <c r="M27" s="15">
        <f t="shared" si="13"/>
        <v>42847.38742728818</v>
      </c>
      <c r="N27" s="17">
        <f t="shared" si="14"/>
        <v>16203.209385409893</v>
      </c>
      <c r="O27" s="21">
        <f t="shared" si="20"/>
        <v>567989.68219465401</v>
      </c>
      <c r="P27" s="15">
        <f t="shared" si="2"/>
        <v>25768.462763056443</v>
      </c>
      <c r="Q27" s="15">
        <f t="shared" si="3"/>
        <v>2276.4434836739042</v>
      </c>
      <c r="R27" s="15">
        <f t="shared" si="4"/>
        <v>0</v>
      </c>
      <c r="S27" s="15">
        <f t="shared" si="5"/>
        <v>0</v>
      </c>
      <c r="T27" s="15">
        <f t="shared" si="15"/>
        <v>29100.60676590096</v>
      </c>
      <c r="U27" s="17">
        <f t="shared" si="16"/>
        <v>625135.19520728523</v>
      </c>
      <c r="V27" s="23">
        <f t="shared" si="17"/>
        <v>437043.35175833944</v>
      </c>
      <c r="W27" s="26">
        <f t="shared" si="6"/>
        <v>176480.75747042021</v>
      </c>
      <c r="X27" s="10">
        <f t="shared" si="7"/>
        <v>-17512.152569838272</v>
      </c>
      <c r="Y27" s="10">
        <f t="shared" si="18"/>
        <v>5092.83715118904</v>
      </c>
      <c r="Z27" s="27">
        <f t="shared" si="19"/>
        <v>164061.44205177098</v>
      </c>
      <c r="AA27" s="28">
        <f>U27*(1-$C$37)+V27-Z27+(SUM($Q$9:Q27,$S$9:S27))*$C$37</f>
        <v>663531.87298949016</v>
      </c>
    </row>
    <row r="28" spans="1:28" x14ac:dyDescent="0.3">
      <c r="A28" s="1" t="s">
        <v>40</v>
      </c>
      <c r="C28" s="44">
        <v>0.1</v>
      </c>
      <c r="E28" s="9">
        <v>20</v>
      </c>
      <c r="F28" s="9" t="b">
        <f t="shared" si="8"/>
        <v>1</v>
      </c>
      <c r="G28" s="15">
        <f t="shared" si="0"/>
        <v>4370.433517583394</v>
      </c>
      <c r="H28" s="15">
        <f t="shared" si="9"/>
        <v>17512.152569838272</v>
      </c>
      <c r="I28" s="15">
        <f t="shared" si="10"/>
        <v>0</v>
      </c>
      <c r="J28" s="15">
        <f t="shared" si="1"/>
        <v>2622.2601105500366</v>
      </c>
      <c r="K28" s="15">
        <f t="shared" si="11"/>
        <v>2276.4434836739042</v>
      </c>
      <c r="L28" s="16">
        <f t="shared" si="12"/>
        <v>26781.289681645609</v>
      </c>
      <c r="M28" s="15">
        <f t="shared" si="13"/>
        <v>43704.335175833941</v>
      </c>
      <c r="N28" s="17">
        <f t="shared" si="14"/>
        <v>16923.045494188333</v>
      </c>
      <c r="O28" s="21">
        <f t="shared" si="20"/>
        <v>625135.19520728523</v>
      </c>
      <c r="P28" s="15">
        <f t="shared" si="2"/>
        <v>26913.240289739715</v>
      </c>
      <c r="Q28" s="15">
        <f t="shared" si="3"/>
        <v>2276.4434836739042</v>
      </c>
      <c r="R28" s="15">
        <f t="shared" si="4"/>
        <v>0</v>
      </c>
      <c r="S28" s="15">
        <f t="shared" si="5"/>
        <v>0</v>
      </c>
      <c r="T28" s="15">
        <f t="shared" si="15"/>
        <v>31986.501854699603</v>
      </c>
      <c r="U28" s="17">
        <f t="shared" si="16"/>
        <v>686311.38083539833</v>
      </c>
      <c r="V28" s="23">
        <f t="shared" si="17"/>
        <v>445784.21879350627</v>
      </c>
      <c r="W28" s="26">
        <f t="shared" si="6"/>
        <v>164061.44205177098</v>
      </c>
      <c r="X28" s="10">
        <f t="shared" si="7"/>
        <v>-17512.152569838272</v>
      </c>
      <c r="Y28" s="10">
        <f t="shared" si="18"/>
        <v>4717.4633426603359</v>
      </c>
      <c r="Z28" s="27">
        <f t="shared" si="19"/>
        <v>151266.75282459304</v>
      </c>
      <c r="AA28" s="28">
        <f>U28*(1-$C$37)+V28-Z28+(SUM($Q$9:Q28,$S$9:S28))*$C$37</f>
        <v>724380.03059593227</v>
      </c>
    </row>
    <row r="29" spans="1:28" x14ac:dyDescent="0.3">
      <c r="A29" s="1" t="str">
        <f ca="1">"Ta mise de fonds calculée en dollars de "&amp;YEAR(TODAY())+Duree</f>
        <v>Ta mise de fonds calculée en dollars de 2029</v>
      </c>
      <c r="C29" s="11">
        <f>C7*C28*(1+C8)^C5</f>
        <v>33122.424096000002</v>
      </c>
      <c r="E29" s="9">
        <v>21</v>
      </c>
      <c r="F29" s="9" t="b">
        <f t="shared" si="8"/>
        <v>1</v>
      </c>
      <c r="G29" s="15">
        <f t="shared" si="0"/>
        <v>4457.8421879350626</v>
      </c>
      <c r="H29" s="15">
        <f t="shared" si="9"/>
        <v>17512.152569838272</v>
      </c>
      <c r="I29" s="15">
        <f t="shared" si="10"/>
        <v>0</v>
      </c>
      <c r="J29" s="15">
        <f t="shared" si="1"/>
        <v>2674.7053127610375</v>
      </c>
      <c r="K29" s="15">
        <f t="shared" si="11"/>
        <v>2276.4434836739042</v>
      </c>
      <c r="L29" s="16">
        <f t="shared" si="12"/>
        <v>26921.143554208276</v>
      </c>
      <c r="M29" s="15">
        <f t="shared" si="13"/>
        <v>44578.42187935063</v>
      </c>
      <c r="N29" s="17">
        <f t="shared" si="14"/>
        <v>17657.278325142353</v>
      </c>
      <c r="O29" s="21">
        <f t="shared" si="20"/>
        <v>686311.38083539833</v>
      </c>
      <c r="P29" s="15">
        <f t="shared" si="2"/>
        <v>28080.913366956669</v>
      </c>
      <c r="Q29" s="15">
        <f t="shared" si="3"/>
        <v>2276.4434836739042</v>
      </c>
      <c r="R29" s="15">
        <f t="shared" si="4"/>
        <v>0</v>
      </c>
      <c r="S29" s="15">
        <f t="shared" si="5"/>
        <v>0</v>
      </c>
      <c r="T29" s="15">
        <f t="shared" si="15"/>
        <v>35074.50296303568</v>
      </c>
      <c r="U29" s="17">
        <f t="shared" si="16"/>
        <v>751743.24064906454</v>
      </c>
      <c r="V29" s="23">
        <f t="shared" si="17"/>
        <v>454699.90316937637</v>
      </c>
      <c r="W29" s="26">
        <f t="shared" si="6"/>
        <v>151266.75282459304</v>
      </c>
      <c r="X29" s="10">
        <f t="shared" si="7"/>
        <v>-17512.152569838272</v>
      </c>
      <c r="Y29" s="10">
        <f t="shared" si="18"/>
        <v>4330.7438607688782</v>
      </c>
      <c r="Z29" s="27">
        <f t="shared" si="19"/>
        <v>138085.34411552365</v>
      </c>
      <c r="AA29" s="28">
        <f>U29*(1-$C$37)+V29-Z29+(SUM($Q$9:Q29,$S$9:S29))*$C$37</f>
        <v>788465.69295284478</v>
      </c>
    </row>
    <row r="30" spans="1:28" x14ac:dyDescent="0.3">
      <c r="A30" s="1" t="str">
        <f ca="1">"Ta prime SCHL prévue en dollars de "&amp;YEAR(TODAY())+Duree</f>
        <v>Ta prime SCHL prévue en dollars de 2029</v>
      </c>
      <c r="C30" s="11">
        <f>INDEX(C22:C25,MATCH((1-C28),B22:B25,1))*C7*(1+C8)^C5</f>
        <v>10267.951469760001</v>
      </c>
      <c r="E30" s="9">
        <v>22</v>
      </c>
      <c r="F30" s="9" t="b">
        <f t="shared" si="8"/>
        <v>1</v>
      </c>
      <c r="G30" s="15">
        <f t="shared" si="0"/>
        <v>4546.9990316937638</v>
      </c>
      <c r="H30" s="15">
        <f t="shared" si="9"/>
        <v>17512.152569838272</v>
      </c>
      <c r="I30" s="15">
        <f t="shared" si="10"/>
        <v>0</v>
      </c>
      <c r="J30" s="15">
        <f t="shared" si="1"/>
        <v>2728.1994190162582</v>
      </c>
      <c r="K30" s="15">
        <f t="shared" si="11"/>
        <v>2276.4434836739042</v>
      </c>
      <c r="L30" s="16">
        <f t="shared" si="12"/>
        <v>27063.794504222202</v>
      </c>
      <c r="M30" s="15">
        <f t="shared" si="13"/>
        <v>45469.990316937634</v>
      </c>
      <c r="N30" s="17">
        <f t="shared" si="14"/>
        <v>18406.195812715432</v>
      </c>
      <c r="O30" s="21">
        <f t="shared" si="20"/>
        <v>751743.24064906454</v>
      </c>
      <c r="P30" s="15">
        <f t="shared" si="2"/>
        <v>29271.939905717925</v>
      </c>
      <c r="Q30" s="15">
        <f t="shared" si="3"/>
        <v>2276.4434836739042</v>
      </c>
      <c r="R30" s="15">
        <f t="shared" si="4"/>
        <v>0</v>
      </c>
      <c r="S30" s="15">
        <f t="shared" si="5"/>
        <v>0</v>
      </c>
      <c r="T30" s="15">
        <f t="shared" si="15"/>
        <v>38375.871617188022</v>
      </c>
      <c r="U30" s="17">
        <f t="shared" si="16"/>
        <v>821667.49565564434</v>
      </c>
      <c r="V30" s="23">
        <f t="shared" si="17"/>
        <v>463793.90123276389</v>
      </c>
      <c r="W30" s="26">
        <f t="shared" si="6"/>
        <v>138085.34411552365</v>
      </c>
      <c r="X30" s="10">
        <f t="shared" si="7"/>
        <v>-17512.152569838272</v>
      </c>
      <c r="Y30" s="10">
        <f t="shared" si="18"/>
        <v>3932.3357825372332</v>
      </c>
      <c r="Z30" s="27">
        <f t="shared" si="19"/>
        <v>124505.52732822261</v>
      </c>
      <c r="AA30" s="28">
        <f>U30*(1-$C$37)+V30-Z30+(SUM($Q$9:Q30,$S$9:S30))*$C$37</f>
        <v>855952.89517281041</v>
      </c>
    </row>
    <row r="31" spans="1:28" x14ac:dyDescent="0.3">
      <c r="A31" s="1" t="str">
        <f ca="1">"La taxe sur ta prime SCHL en dollars de "&amp;YEAR(TODAY())+Duree</f>
        <v>La taxe sur ta prime SCHL en dollars de 2029</v>
      </c>
      <c r="C31" s="11">
        <f>C30*C20</f>
        <v>1024.22815910856</v>
      </c>
      <c r="E31" s="9">
        <v>23</v>
      </c>
      <c r="F31" s="9" t="b">
        <f t="shared" si="8"/>
        <v>1</v>
      </c>
      <c r="G31" s="15">
        <f t="shared" si="0"/>
        <v>4637.9390123276389</v>
      </c>
      <c r="H31" s="15">
        <f t="shared" si="9"/>
        <v>17512.152569838272</v>
      </c>
      <c r="I31" s="15">
        <f t="shared" si="10"/>
        <v>0</v>
      </c>
      <c r="J31" s="15">
        <f t="shared" si="1"/>
        <v>2782.7634073965837</v>
      </c>
      <c r="K31" s="15">
        <f t="shared" si="11"/>
        <v>0</v>
      </c>
      <c r="L31" s="16">
        <f t="shared" si="12"/>
        <v>24932.854989562496</v>
      </c>
      <c r="M31" s="15">
        <f t="shared" si="13"/>
        <v>46379.390123276389</v>
      </c>
      <c r="N31" s="17">
        <f t="shared" si="14"/>
        <v>21446.535133713893</v>
      </c>
      <c r="O31" s="21">
        <f t="shared" si="20"/>
        <v>821667.49565564434</v>
      </c>
      <c r="P31" s="15">
        <f t="shared" si="2"/>
        <v>34107.085136313442</v>
      </c>
      <c r="Q31" s="15">
        <f t="shared" si="3"/>
        <v>0</v>
      </c>
      <c r="R31" s="15">
        <f t="shared" si="4"/>
        <v>0</v>
      </c>
      <c r="S31" s="15">
        <f t="shared" si="5"/>
        <v>0</v>
      </c>
      <c r="T31" s="15">
        <f t="shared" si="15"/>
        <v>41936.051911190058</v>
      </c>
      <c r="U31" s="17">
        <f t="shared" si="16"/>
        <v>897710.63270314783</v>
      </c>
      <c r="V31" s="23">
        <f t="shared" si="17"/>
        <v>473069.77925741911</v>
      </c>
      <c r="W31" s="26">
        <f t="shared" si="6"/>
        <v>124505.52732822261</v>
      </c>
      <c r="X31" s="10">
        <f t="shared" si="7"/>
        <v>-17512.152569838272</v>
      </c>
      <c r="Y31" s="10">
        <f t="shared" si="18"/>
        <v>3521.8858201410294</v>
      </c>
      <c r="Z31" s="27">
        <f t="shared" si="19"/>
        <v>110515.26057852537</v>
      </c>
      <c r="AA31" s="28">
        <f>U31*(1-$C$37)+V31-Z31+(SUM($Q$9:Q31,$S$9:S31))*$C$37</f>
        <v>927034.96452263312</v>
      </c>
    </row>
    <row r="32" spans="1:28" x14ac:dyDescent="0.3">
      <c r="E32" s="9">
        <v>24</v>
      </c>
      <c r="F32" s="9" t="b">
        <f t="shared" si="8"/>
        <v>1</v>
      </c>
      <c r="G32" s="15">
        <f t="shared" si="0"/>
        <v>4730.6977925741912</v>
      </c>
      <c r="H32" s="15">
        <f t="shared" si="9"/>
        <v>17512.152569838272</v>
      </c>
      <c r="I32" s="15">
        <f t="shared" si="10"/>
        <v>0</v>
      </c>
      <c r="J32" s="15">
        <f t="shared" si="1"/>
        <v>2838.4186755445148</v>
      </c>
      <c r="K32" s="15">
        <f t="shared" si="11"/>
        <v>0</v>
      </c>
      <c r="L32" s="16">
        <f t="shared" si="12"/>
        <v>25081.269037956979</v>
      </c>
      <c r="M32" s="15">
        <f t="shared" si="13"/>
        <v>47306.977925741914</v>
      </c>
      <c r="N32" s="17">
        <f t="shared" si="14"/>
        <v>22225.708887784935</v>
      </c>
      <c r="O32" s="21">
        <f t="shared" si="20"/>
        <v>897710.63270314783</v>
      </c>
      <c r="P32" s="15">
        <f t="shared" si="2"/>
        <v>35346.229147240672</v>
      </c>
      <c r="Q32" s="15">
        <f t="shared" si="3"/>
        <v>0</v>
      </c>
      <c r="R32" s="15">
        <f t="shared" si="4"/>
        <v>0</v>
      </c>
      <c r="S32" s="15">
        <f t="shared" si="5"/>
        <v>0</v>
      </c>
      <c r="T32" s="15">
        <f t="shared" si="15"/>
        <v>45769.187363838413</v>
      </c>
      <c r="U32" s="17">
        <f t="shared" si="16"/>
        <v>978826.04921422689</v>
      </c>
      <c r="V32" s="23">
        <f t="shared" si="17"/>
        <v>482531.17484256753</v>
      </c>
      <c r="W32" s="26">
        <f t="shared" si="6"/>
        <v>110515.26057852537</v>
      </c>
      <c r="X32" s="10">
        <f t="shared" si="7"/>
        <v>-17512.152569838272</v>
      </c>
      <c r="Y32" s="10">
        <f t="shared" si="18"/>
        <v>3099.030007631427</v>
      </c>
      <c r="Z32" s="27">
        <f t="shared" si="19"/>
        <v>96102.138016318524</v>
      </c>
      <c r="AA32" s="28">
        <f>U32*(1-$C$37)+V32-Z32+(SUM($Q$9:Q32,$S$9:S32))*$C$37</f>
        <v>1001914.8565721548</v>
      </c>
    </row>
    <row r="33" spans="1:27" x14ac:dyDescent="0.3">
      <c r="C33" s="11"/>
      <c r="D33" s="3">
        <f>(1+C17/2)^(1/6) -1</f>
        <v>2.4845167246487776E-3</v>
      </c>
      <c r="E33" s="9">
        <v>25</v>
      </c>
      <c r="F33" s="9" t="b">
        <f t="shared" si="8"/>
        <v>1</v>
      </c>
      <c r="G33" s="15">
        <f t="shared" si="0"/>
        <v>4825.3117484256754</v>
      </c>
      <c r="H33" s="15">
        <f t="shared" si="9"/>
        <v>17512.152569838272</v>
      </c>
      <c r="I33" s="15">
        <f t="shared" si="10"/>
        <v>0</v>
      </c>
      <c r="J33" s="15">
        <f t="shared" si="1"/>
        <v>2895.1870490554052</v>
      </c>
      <c r="K33" s="15">
        <f t="shared" si="11"/>
        <v>0</v>
      </c>
      <c r="L33" s="16">
        <f t="shared" si="12"/>
        <v>25232.651367319355</v>
      </c>
      <c r="M33" s="15">
        <f t="shared" si="13"/>
        <v>48253.117484256749</v>
      </c>
      <c r="N33" s="17">
        <f t="shared" si="14"/>
        <v>23020.466116937394</v>
      </c>
      <c r="O33" s="21">
        <f t="shared" si="20"/>
        <v>978826.04921422689</v>
      </c>
      <c r="P33" s="15">
        <f t="shared" si="2"/>
        <v>36610.156038386442</v>
      </c>
      <c r="Q33" s="15">
        <f t="shared" si="3"/>
        <v>0</v>
      </c>
      <c r="R33" s="15">
        <f t="shared" si="4"/>
        <v>0</v>
      </c>
      <c r="S33" s="15">
        <f t="shared" si="5"/>
        <v>0</v>
      </c>
      <c r="T33" s="15">
        <f t="shared" si="15"/>
        <v>49856.556361671006</v>
      </c>
      <c r="U33" s="17">
        <f t="shared" si="16"/>
        <v>1065292.7616142842</v>
      </c>
      <c r="V33" s="23">
        <f t="shared" si="17"/>
        <v>492181.79833941889</v>
      </c>
      <c r="W33" s="26">
        <f t="shared" si="6"/>
        <v>96102.138016318524</v>
      </c>
      <c r="X33" s="10">
        <f t="shared" si="7"/>
        <v>-17512.152569838272</v>
      </c>
      <c r="Y33" s="10">
        <f t="shared" si="18"/>
        <v>2663.3933781886844</v>
      </c>
      <c r="Z33" s="27">
        <f t="shared" si="19"/>
        <v>81253.378824668936</v>
      </c>
      <c r="AA33" s="28">
        <f>U33*(1-$C$37)+V33-Z33+(SUM($Q$9:Q33,$S$9:S33))*$C$37</f>
        <v>1080784.5080178119</v>
      </c>
    </row>
    <row r="34" spans="1:27" x14ac:dyDescent="0.3">
      <c r="A34" s="1" t="str">
        <f>"Versements mensuels sur ton prêt hypothécaire"&amp;IF(C30&gt;0,", incluant la prime SCHL","")</f>
        <v>Versements mensuels sur ton prêt hypothécaire, incluant la prime SCHL</v>
      </c>
      <c r="C34" s="30">
        <f>(C7*(1+C8)^(C5)-C29+C30)/D34</f>
        <v>1459.3460474865226</v>
      </c>
      <c r="D34" s="40">
        <f>(1-(1+D33)^-(12*C18))/D33</f>
        <v>211.30681709446154</v>
      </c>
      <c r="E34" s="9">
        <v>26</v>
      </c>
      <c r="F34" s="9" t="b">
        <f t="shared" si="8"/>
        <v>1</v>
      </c>
      <c r="G34" s="15">
        <f t="shared" si="0"/>
        <v>4921.8179833941886</v>
      </c>
      <c r="H34" s="15">
        <f t="shared" si="9"/>
        <v>17512.152569838272</v>
      </c>
      <c r="I34" s="15">
        <f t="shared" si="10"/>
        <v>0</v>
      </c>
      <c r="J34" s="15">
        <f t="shared" si="1"/>
        <v>2953.0907900365132</v>
      </c>
      <c r="K34" s="15">
        <f t="shared" si="11"/>
        <v>0</v>
      </c>
      <c r="L34" s="16">
        <f t="shared" si="12"/>
        <v>25387.061343268972</v>
      </c>
      <c r="M34" s="15">
        <f t="shared" si="13"/>
        <v>49218.179833941889</v>
      </c>
      <c r="N34" s="17">
        <f t="shared" si="14"/>
        <v>23831.118490672918</v>
      </c>
      <c r="O34" s="21">
        <f t="shared" si="20"/>
        <v>1065292.7616142842</v>
      </c>
      <c r="P34" s="15">
        <f t="shared" si="2"/>
        <v>37899.361467355149</v>
      </c>
      <c r="Q34" s="15">
        <f t="shared" si="3"/>
        <v>0</v>
      </c>
      <c r="R34" s="15">
        <f t="shared" si="4"/>
        <v>0</v>
      </c>
      <c r="S34" s="15">
        <f t="shared" si="5"/>
        <v>0</v>
      </c>
      <c r="T34" s="15">
        <f t="shared" si="15"/>
        <v>54212.122117398088</v>
      </c>
      <c r="U34" s="17">
        <f t="shared" si="16"/>
        <v>1157404.2451990375</v>
      </c>
      <c r="V34" s="23">
        <f t="shared" si="17"/>
        <v>502025.43430620729</v>
      </c>
      <c r="W34" s="26">
        <f t="shared" si="6"/>
        <v>81253.378824668936</v>
      </c>
      <c r="X34" s="10">
        <f t="shared" si="7"/>
        <v>-17512.152569838272</v>
      </c>
      <c r="Y34" s="10">
        <f t="shared" si="18"/>
        <v>2214.5896316210528</v>
      </c>
      <c r="Z34" s="27">
        <f t="shared" si="19"/>
        <v>65955.815886451717</v>
      </c>
      <c r="AA34" s="28">
        <f>U34*(1-$C$37)+V34-Z34+(SUM($Q$9:Q34,$S$9:S34))*$C$37</f>
        <v>1163845.4078009105</v>
      </c>
    </row>
    <row r="35" spans="1:27" x14ac:dyDescent="0.3">
      <c r="A35" s="1" t="s">
        <v>34</v>
      </c>
      <c r="C35" s="31">
        <v>150</v>
      </c>
      <c r="E35" s="9">
        <v>27</v>
      </c>
      <c r="F35" s="9" t="b">
        <f t="shared" si="8"/>
        <v>1</v>
      </c>
      <c r="G35" s="15">
        <f t="shared" si="0"/>
        <v>5020.2543430620726</v>
      </c>
      <c r="H35" s="15">
        <f t="shared" si="9"/>
        <v>17512.152569838272</v>
      </c>
      <c r="I35" s="15">
        <f t="shared" si="10"/>
        <v>0</v>
      </c>
      <c r="J35" s="15">
        <f t="shared" si="1"/>
        <v>3012.1526058372438</v>
      </c>
      <c r="K35" s="15">
        <f t="shared" si="11"/>
        <v>0</v>
      </c>
      <c r="L35" s="16">
        <f t="shared" si="12"/>
        <v>25544.559518737587</v>
      </c>
      <c r="M35" s="15">
        <f t="shared" si="13"/>
        <v>50202.543430620724</v>
      </c>
      <c r="N35" s="17">
        <f t="shared" si="14"/>
        <v>24657.983911883137</v>
      </c>
      <c r="O35" s="21">
        <f t="shared" si="20"/>
        <v>1157404.2451990375</v>
      </c>
      <c r="P35" s="15">
        <f t="shared" si="2"/>
        <v>39214.351004903205</v>
      </c>
      <c r="Q35" s="15">
        <f t="shared" si="3"/>
        <v>0</v>
      </c>
      <c r="R35" s="15">
        <f t="shared" si="4"/>
        <v>0</v>
      </c>
      <c r="S35" s="15">
        <f t="shared" si="5"/>
        <v>0</v>
      </c>
      <c r="T35" s="15">
        <f t="shared" si="15"/>
        <v>58850.571035074456</v>
      </c>
      <c r="U35" s="17">
        <f t="shared" si="16"/>
        <v>1255469.1672390152</v>
      </c>
      <c r="V35" s="23">
        <f t="shared" si="17"/>
        <v>512065.94299233134</v>
      </c>
      <c r="W35" s="26">
        <f t="shared" si="6"/>
        <v>65955.815886451717</v>
      </c>
      <c r="X35" s="10">
        <f t="shared" si="7"/>
        <v>-17512.152569838272</v>
      </c>
      <c r="Y35" s="10">
        <f t="shared" si="18"/>
        <v>1752.2207918134263</v>
      </c>
      <c r="Z35" s="27">
        <f t="shared" si="19"/>
        <v>50195.884108426872</v>
      </c>
      <c r="AA35" s="28">
        <f>U35*(1-$C$37)+V35-Z35+(SUM($Q$9:Q35,$S$9:S35))*$C$37</f>
        <v>1251309.0712437972</v>
      </c>
    </row>
    <row r="36" spans="1:27" x14ac:dyDescent="0.3">
      <c r="E36" s="9">
        <v>28</v>
      </c>
      <c r="F36" s="9" t="b">
        <f t="shared" si="8"/>
        <v>1</v>
      </c>
      <c r="G36" s="15">
        <f t="shared" si="0"/>
        <v>5120.6594299233138</v>
      </c>
      <c r="H36" s="15">
        <f t="shared" si="9"/>
        <v>17512.152569838272</v>
      </c>
      <c r="I36" s="15">
        <f t="shared" si="10"/>
        <v>0</v>
      </c>
      <c r="J36" s="15">
        <f t="shared" si="1"/>
        <v>3072.3956579539881</v>
      </c>
      <c r="K36" s="15">
        <f t="shared" si="11"/>
        <v>0</v>
      </c>
      <c r="L36" s="16">
        <f t="shared" si="12"/>
        <v>25705.207657715575</v>
      </c>
      <c r="M36" s="15">
        <f t="shared" si="13"/>
        <v>51206.594299233126</v>
      </c>
      <c r="N36" s="17">
        <f t="shared" si="14"/>
        <v>25501.386641517551</v>
      </c>
      <c r="O36" s="21">
        <f t="shared" si="20"/>
        <v>1255469.1672390152</v>
      </c>
      <c r="P36" s="15">
        <f t="shared" si="2"/>
        <v>40555.640333202209</v>
      </c>
      <c r="Q36" s="15">
        <f t="shared" si="3"/>
        <v>0</v>
      </c>
      <c r="R36" s="15">
        <f t="shared" si="4"/>
        <v>0</v>
      </c>
      <c r="S36" s="15">
        <f t="shared" si="5"/>
        <v>0</v>
      </c>
      <c r="T36" s="15">
        <f t="shared" si="15"/>
        <v>63787.349370280819</v>
      </c>
      <c r="U36" s="17">
        <f t="shared" si="16"/>
        <v>1359812.1569424982</v>
      </c>
      <c r="V36" s="23">
        <f t="shared" si="17"/>
        <v>522307.26185217808</v>
      </c>
      <c r="W36" s="26">
        <f t="shared" si="6"/>
        <v>50195.884108426872</v>
      </c>
      <c r="X36" s="10">
        <f t="shared" si="7"/>
        <v>-17512.152569838272</v>
      </c>
      <c r="Y36" s="10">
        <f t="shared" si="18"/>
        <v>1275.8768538226104</v>
      </c>
      <c r="Z36" s="27">
        <f t="shared" si="19"/>
        <v>33959.60839241121</v>
      </c>
      <c r="AA36" s="28">
        <f>U36*(1-$C$37)+V36-Z36+(SUM($Q$9:Q36,$S$9:S36))*$C$37</f>
        <v>1343397.5377452099</v>
      </c>
    </row>
    <row r="37" spans="1:27" x14ac:dyDescent="0.3">
      <c r="A37" s="1" t="s">
        <v>48</v>
      </c>
      <c r="C37" s="34">
        <v>0.37119999999999997</v>
      </c>
      <c r="E37" s="9">
        <v>29</v>
      </c>
      <c r="F37" s="9" t="b">
        <f t="shared" si="8"/>
        <v>1</v>
      </c>
      <c r="G37" s="15">
        <f t="shared" si="0"/>
        <v>5223.0726185217809</v>
      </c>
      <c r="H37" s="15">
        <f t="shared" si="9"/>
        <v>17512.152569838272</v>
      </c>
      <c r="I37" s="15">
        <f t="shared" si="10"/>
        <v>0</v>
      </c>
      <c r="J37" s="15">
        <f t="shared" si="1"/>
        <v>3133.8435711130687</v>
      </c>
      <c r="K37" s="15">
        <f t="shared" si="11"/>
        <v>0</v>
      </c>
      <c r="L37" s="16">
        <f t="shared" si="12"/>
        <v>25869.068759473124</v>
      </c>
      <c r="M37" s="15">
        <f t="shared" si="13"/>
        <v>52230.726185217813</v>
      </c>
      <c r="N37" s="17">
        <f t="shared" si="14"/>
        <v>26361.657425744688</v>
      </c>
      <c r="O37" s="21">
        <f t="shared" si="20"/>
        <v>1359812.1569424982</v>
      </c>
      <c r="P37" s="15">
        <f t="shared" si="2"/>
        <v>41923.755448067248</v>
      </c>
      <c r="Q37" s="15">
        <f t="shared" si="3"/>
        <v>0</v>
      </c>
      <c r="R37" s="15">
        <f t="shared" si="4"/>
        <v>0</v>
      </c>
      <c r="S37" s="15">
        <f t="shared" si="5"/>
        <v>0</v>
      </c>
      <c r="T37" s="15">
        <f t="shared" si="15"/>
        <v>69038.701733326583</v>
      </c>
      <c r="U37" s="17">
        <f t="shared" si="16"/>
        <v>1470774.614123892</v>
      </c>
      <c r="V37" s="23">
        <f t="shared" si="17"/>
        <v>532753.40708922152</v>
      </c>
      <c r="W37" s="26">
        <f t="shared" si="6"/>
        <v>33959.60839241121</v>
      </c>
      <c r="X37" s="10">
        <f t="shared" si="7"/>
        <v>-17512.152569838272</v>
      </c>
      <c r="Y37" s="10">
        <f t="shared" si="18"/>
        <v>785.13542030601457</v>
      </c>
      <c r="Z37" s="27">
        <f t="shared" si="19"/>
        <v>17232.591242878952</v>
      </c>
      <c r="AA37" s="28">
        <f>U37*(1-$C$37)+V37-Z37+(SUM($Q$9:Q37,$S$9:S37))*$C$37</f>
        <v>1440343.893207446</v>
      </c>
    </row>
    <row r="38" spans="1:27" x14ac:dyDescent="0.3">
      <c r="A38" s="1" t="s">
        <v>35</v>
      </c>
      <c r="C38" s="31">
        <v>0</v>
      </c>
      <c r="E38" s="9">
        <v>30</v>
      </c>
      <c r="F38" s="9" t="b">
        <f t="shared" si="8"/>
        <v>1</v>
      </c>
      <c r="G38" s="15">
        <f t="shared" si="0"/>
        <v>5327.5340708922158</v>
      </c>
      <c r="H38" s="15">
        <f t="shared" si="9"/>
        <v>17512.152569838272</v>
      </c>
      <c r="I38" s="15">
        <f t="shared" si="10"/>
        <v>0</v>
      </c>
      <c r="J38" s="15">
        <f t="shared" si="1"/>
        <v>3196.5204425353295</v>
      </c>
      <c r="K38" s="15">
        <f t="shared" si="11"/>
        <v>0</v>
      </c>
      <c r="L38" s="16">
        <f t="shared" si="12"/>
        <v>26036.207083265817</v>
      </c>
      <c r="M38" s="15">
        <f t="shared" si="13"/>
        <v>53275.340708922158</v>
      </c>
      <c r="N38" s="17">
        <f t="shared" si="14"/>
        <v>27239.133625656341</v>
      </c>
      <c r="O38" s="21">
        <f t="shared" si="20"/>
        <v>1470774.614123892</v>
      </c>
      <c r="P38" s="15">
        <f t="shared" si="2"/>
        <v>43319.232865229547</v>
      </c>
      <c r="Q38" s="15">
        <f t="shared" si="3"/>
        <v>0</v>
      </c>
      <c r="R38" s="15">
        <f t="shared" si="4"/>
        <v>0</v>
      </c>
      <c r="S38" s="15">
        <f t="shared" si="5"/>
        <v>0</v>
      </c>
      <c r="T38" s="15">
        <f t="shared" si="15"/>
        <v>74621.711527825348</v>
      </c>
      <c r="U38" s="17">
        <f t="shared" si="16"/>
        <v>1588715.5585169469</v>
      </c>
      <c r="V38" s="23">
        <f t="shared" si="17"/>
        <v>543408.47523100604</v>
      </c>
      <c r="W38" s="26">
        <f t="shared" si="6"/>
        <v>17232.591242878952</v>
      </c>
      <c r="X38" s="10">
        <f t="shared" si="7"/>
        <v>-17512.152569838272</v>
      </c>
      <c r="Y38" s="10">
        <f t="shared" si="18"/>
        <v>279.56132696138229</v>
      </c>
      <c r="Z38" s="27">
        <f t="shared" si="19"/>
        <v>2.0627339836210012E-9</v>
      </c>
      <c r="AA38" s="28">
        <f>U38*(1-$C$37)+V38-Z38+(SUM($Q$9:Q38,$S$9:S38))*$C$37</f>
        <v>1542392.8184264603</v>
      </c>
    </row>
    <row r="39" spans="1:27" ht="14.55" customHeight="1" x14ac:dyDescent="0.3">
      <c r="A39" s="1" t="s">
        <v>36</v>
      </c>
      <c r="C39" s="34">
        <v>0.05</v>
      </c>
      <c r="E39" s="9">
        <v>31</v>
      </c>
      <c r="F39" s="9" t="b">
        <f t="shared" si="8"/>
        <v>1</v>
      </c>
      <c r="G39" s="15">
        <f t="shared" si="0"/>
        <v>5434.0847523100601</v>
      </c>
      <c r="H39" s="15">
        <f t="shared" si="9"/>
        <v>0</v>
      </c>
      <c r="I39" s="15">
        <f t="shared" si="10"/>
        <v>0</v>
      </c>
      <c r="J39" s="15">
        <f t="shared" si="1"/>
        <v>3260.4508513860364</v>
      </c>
      <c r="K39" s="15">
        <f t="shared" si="11"/>
        <v>0</v>
      </c>
      <c r="L39" s="16">
        <f t="shared" si="12"/>
        <v>8694.5356036960966</v>
      </c>
      <c r="M39" s="15">
        <f t="shared" si="13"/>
        <v>54340.847523100601</v>
      </c>
      <c r="N39" s="17">
        <f t="shared" si="14"/>
        <v>45646.311919404507</v>
      </c>
      <c r="O39" s="21">
        <f t="shared" si="20"/>
        <v>1588715.5585169469</v>
      </c>
      <c r="P39" s="15">
        <f t="shared" si="2"/>
        <v>72592.735240783251</v>
      </c>
      <c r="Q39" s="15">
        <f t="shared" si="3"/>
        <v>0</v>
      </c>
      <c r="R39" s="15">
        <f t="shared" si="4"/>
        <v>0</v>
      </c>
      <c r="S39" s="15">
        <f t="shared" si="5"/>
        <v>0</v>
      </c>
      <c r="T39" s="15">
        <f t="shared" si="15"/>
        <v>81250.596306866923</v>
      </c>
      <c r="U39" s="17">
        <f t="shared" si="16"/>
        <v>1742558.8900645971</v>
      </c>
      <c r="V39" s="23">
        <f t="shared" si="17"/>
        <v>554276.64473562606</v>
      </c>
      <c r="W39" s="26">
        <f t="shared" si="6"/>
        <v>2.0627339836210012E-9</v>
      </c>
      <c r="X39" s="10">
        <f t="shared" si="7"/>
        <v>0</v>
      </c>
      <c r="Y39" s="10">
        <f t="shared" si="18"/>
        <v>6.2346134654947548E-11</v>
      </c>
      <c r="Z39" s="27">
        <f t="shared" si="19"/>
        <v>2.1250801182759488E-9</v>
      </c>
      <c r="AA39" s="28">
        <f>U39*(1-$C$37)+V39-Z39+(SUM($Q$9:Q39,$S$9:S39))*$C$37</f>
        <v>1649997.6748082426</v>
      </c>
    </row>
    <row r="40" spans="1:27" x14ac:dyDescent="0.3">
      <c r="A40" s="1" t="s">
        <v>47</v>
      </c>
      <c r="C40" s="31">
        <v>15</v>
      </c>
      <c r="E40" s="9">
        <v>32</v>
      </c>
      <c r="F40" s="9" t="b">
        <f t="shared" si="8"/>
        <v>1</v>
      </c>
      <c r="G40" s="15">
        <f t="shared" si="0"/>
        <v>5542.76644735626</v>
      </c>
      <c r="H40" s="15">
        <f t="shared" si="9"/>
        <v>0</v>
      </c>
      <c r="I40" s="15">
        <f t="shared" si="10"/>
        <v>0</v>
      </c>
      <c r="J40" s="15">
        <f t="shared" si="1"/>
        <v>3325.6598684137562</v>
      </c>
      <c r="K40" s="15">
        <f t="shared" si="11"/>
        <v>0</v>
      </c>
      <c r="L40" s="16">
        <f t="shared" si="12"/>
        <v>8868.4263157700152</v>
      </c>
      <c r="M40" s="15">
        <f t="shared" si="13"/>
        <v>55427.664473562603</v>
      </c>
      <c r="N40" s="17">
        <f t="shared" si="14"/>
        <v>46559.238157792584</v>
      </c>
      <c r="O40" s="21">
        <f t="shared" si="20"/>
        <v>1742558.8900645971</v>
      </c>
      <c r="P40" s="15">
        <f t="shared" si="2"/>
        <v>74044.589945598884</v>
      </c>
      <c r="Q40" s="15">
        <f t="shared" si="3"/>
        <v>0</v>
      </c>
      <c r="R40" s="15">
        <f t="shared" si="4"/>
        <v>0</v>
      </c>
      <c r="S40" s="15">
        <f t="shared" si="5"/>
        <v>0</v>
      </c>
      <c r="T40" s="15">
        <f t="shared" si="15"/>
        <v>88979.059251869839</v>
      </c>
      <c r="U40" s="17">
        <f t="shared" si="16"/>
        <v>1905582.5392620659</v>
      </c>
      <c r="V40" s="23">
        <f t="shared" si="17"/>
        <v>565362.1776303387</v>
      </c>
      <c r="W40" s="26">
        <f t="shared" si="6"/>
        <v>2.1250801182759488E-9</v>
      </c>
      <c r="X40" s="10">
        <f t="shared" si="7"/>
        <v>0</v>
      </c>
      <c r="Y40" s="10">
        <f t="shared" si="18"/>
        <v>6.4230546574893304E-11</v>
      </c>
      <c r="Z40" s="27">
        <f t="shared" si="19"/>
        <v>2.1893106648508421E-9</v>
      </c>
      <c r="AA40" s="28">
        <f>U40*(1-$C$37)+V40-Z40+(SUM($Q$9:Q40,$S$9:S40))*$C$37</f>
        <v>1763592.4783183236</v>
      </c>
    </row>
    <row r="41" spans="1:27" x14ac:dyDescent="0.3">
      <c r="E41" s="9">
        <v>33</v>
      </c>
      <c r="F41" s="9" t="b">
        <f t="shared" si="8"/>
        <v>1</v>
      </c>
      <c r="G41" s="15">
        <f t="shared" ref="G41:G58" si="21">$C$10*$G$4^(E41-1)*F41+($C$31+$C$16*$G$4^(E41-1))*(E41=$C$5+1)</f>
        <v>5653.6217763033865</v>
      </c>
      <c r="H41" s="15">
        <f t="shared" si="9"/>
        <v>0</v>
      </c>
      <c r="I41" s="15">
        <f t="shared" si="10"/>
        <v>0</v>
      </c>
      <c r="J41" s="15">
        <f t="shared" ref="J41:J58" si="22">$C$35*12*$G$4^(E41-1)*F41</f>
        <v>3392.1730657820322</v>
      </c>
      <c r="K41" s="15">
        <f t="shared" si="11"/>
        <v>0</v>
      </c>
      <c r="L41" s="16">
        <f t="shared" si="12"/>
        <v>9045.7948420854191</v>
      </c>
      <c r="M41" s="15">
        <f t="shared" si="13"/>
        <v>56536.21776303387</v>
      </c>
      <c r="N41" s="17">
        <f t="shared" si="14"/>
        <v>47490.422920948447</v>
      </c>
      <c r="O41" s="21">
        <f t="shared" si="20"/>
        <v>1905582.5392620659</v>
      </c>
      <c r="P41" s="15">
        <f t="shared" ref="P41:P58" si="23">MAX(0,N41/(1-$C$37))</f>
        <v>75525.481744510893</v>
      </c>
      <c r="Q41" s="15">
        <f t="shared" si="3"/>
        <v>0</v>
      </c>
      <c r="R41" s="15">
        <f t="shared" ref="R41:R58" si="24">MIN(0,N41/(1-$C$37))</f>
        <v>0</v>
      </c>
      <c r="S41" s="15">
        <f t="shared" ref="S41:S58" si="25">-($C$29+$C$31)*(E41=$C$5+1)</f>
        <v>0</v>
      </c>
      <c r="T41" s="15">
        <f t="shared" si="15"/>
        <v>97167.264006716083</v>
      </c>
      <c r="U41" s="17">
        <f t="shared" si="16"/>
        <v>2078275.2850132929</v>
      </c>
      <c r="V41" s="23">
        <f t="shared" si="17"/>
        <v>576669.42118294549</v>
      </c>
      <c r="W41" s="26">
        <f t="shared" ref="W41:W58" si="26">($C$29/$C$28-$C$29+$C$30)*(E41=$C$5+1)+Z40</f>
        <v>2.1893106648508421E-9</v>
      </c>
      <c r="X41" s="10">
        <f t="shared" ref="X41:X58" si="27">-($C$34*12)*(E41&gt;$C$5)*(E41&lt;=$C$5+$C$18)</f>
        <v>0</v>
      </c>
      <c r="Y41" s="10">
        <f t="shared" si="18"/>
        <v>6.6171914845119468E-11</v>
      </c>
      <c r="Z41" s="27">
        <f t="shared" si="19"/>
        <v>2.2554825796959616E-9</v>
      </c>
      <c r="AA41" s="28">
        <f>U41*(1-$C$37)+V41-Z41+(SUM($Q$9:Q41,$S$9:S41))*$C$37</f>
        <v>1883488.9203993017</v>
      </c>
    </row>
    <row r="42" spans="1:27" x14ac:dyDescent="0.3">
      <c r="A42" s="1" t="s">
        <v>41</v>
      </c>
      <c r="C42" s="31">
        <v>8</v>
      </c>
      <c r="E42" s="9">
        <v>34</v>
      </c>
      <c r="F42" s="9" t="b">
        <f t="shared" si="8"/>
        <v>1</v>
      </c>
      <c r="G42" s="15">
        <f t="shared" si="21"/>
        <v>5766.6942118294546</v>
      </c>
      <c r="H42" s="15">
        <f t="shared" si="9"/>
        <v>0</v>
      </c>
      <c r="I42" s="15">
        <f t="shared" si="10"/>
        <v>0</v>
      </c>
      <c r="J42" s="15">
        <f t="shared" si="22"/>
        <v>3460.0165270976731</v>
      </c>
      <c r="K42" s="15">
        <f t="shared" si="11"/>
        <v>0</v>
      </c>
      <c r="L42" s="16">
        <f t="shared" si="12"/>
        <v>9226.7107389271277</v>
      </c>
      <c r="M42" s="15">
        <f t="shared" si="13"/>
        <v>57666.942118294552</v>
      </c>
      <c r="N42" s="17">
        <f t="shared" si="14"/>
        <v>48440.231379367426</v>
      </c>
      <c r="O42" s="21">
        <f t="shared" si="20"/>
        <v>2078275.2850132929</v>
      </c>
      <c r="P42" s="15">
        <f t="shared" si="23"/>
        <v>77035.991379401123</v>
      </c>
      <c r="Q42" s="15">
        <f t="shared" si="3"/>
        <v>0</v>
      </c>
      <c r="R42" s="15">
        <f t="shared" si="24"/>
        <v>0</v>
      </c>
      <c r="S42" s="15">
        <f t="shared" si="25"/>
        <v>0</v>
      </c>
      <c r="T42" s="15">
        <f t="shared" si="15"/>
        <v>105839.66403514968</v>
      </c>
      <c r="U42" s="17">
        <f t="shared" si="16"/>
        <v>2261150.9404278439</v>
      </c>
      <c r="V42" s="23">
        <f t="shared" si="17"/>
        <v>588202.80960660439</v>
      </c>
      <c r="W42" s="26">
        <f t="shared" si="26"/>
        <v>2.2554825796959616E-9</v>
      </c>
      <c r="X42" s="10">
        <f t="shared" si="27"/>
        <v>0</v>
      </c>
      <c r="Y42" s="10">
        <f t="shared" si="18"/>
        <v>6.8171960971313347E-11</v>
      </c>
      <c r="Z42" s="27">
        <f t="shared" si="19"/>
        <v>2.3236545406672749E-9</v>
      </c>
      <c r="AA42" s="28">
        <f>U42*(1-$C$37)+V42-Z42+(SUM($Q$9:Q42,$S$9:S42))*$C$37</f>
        <v>2010014.5209476305</v>
      </c>
    </row>
    <row r="43" spans="1:27" ht="15.6" x14ac:dyDescent="0.3">
      <c r="A43" s="1" t="str">
        <f>"Ta richesse nette dans "&amp;C42&amp;" ans"</f>
        <v>Ta richesse nette dans 8 ans</v>
      </c>
      <c r="C43" s="39" cm="1">
        <f t="array" ref="C43">INDEX(AA9:AA58,C42)</f>
        <v>168064.9995179238</v>
      </c>
      <c r="E43" s="9">
        <v>35</v>
      </c>
      <c r="F43" s="9" t="b">
        <f t="shared" si="8"/>
        <v>1</v>
      </c>
      <c r="G43" s="15">
        <f t="shared" si="21"/>
        <v>5882.028096066043</v>
      </c>
      <c r="H43" s="15">
        <f t="shared" si="9"/>
        <v>0</v>
      </c>
      <c r="I43" s="15">
        <f t="shared" si="10"/>
        <v>0</v>
      </c>
      <c r="J43" s="15">
        <f t="shared" si="22"/>
        <v>3529.2168576396261</v>
      </c>
      <c r="K43" s="15">
        <f t="shared" si="11"/>
        <v>0</v>
      </c>
      <c r="L43" s="16">
        <f t="shared" si="12"/>
        <v>9411.2449537056691</v>
      </c>
      <c r="M43" s="15">
        <f t="shared" si="13"/>
        <v>58820.280960660442</v>
      </c>
      <c r="N43" s="17">
        <f t="shared" si="14"/>
        <v>49409.036006954775</v>
      </c>
      <c r="O43" s="21">
        <f t="shared" ref="O43:O58" si="28">U42</f>
        <v>2261150.9404278439</v>
      </c>
      <c r="P43" s="15">
        <f t="shared" si="23"/>
        <v>78576.711206989145</v>
      </c>
      <c r="Q43" s="15">
        <f t="shared" ref="Q43:Q57" si="29">-SUM($S$9:$S$55)/$Q$3*AND(E43&gt;=$Q$4,E43&lt;=$Q$5)</f>
        <v>0</v>
      </c>
      <c r="R43" s="15">
        <f t="shared" si="24"/>
        <v>0</v>
      </c>
      <c r="S43" s="15">
        <f t="shared" si="25"/>
        <v>0</v>
      </c>
      <c r="T43" s="15">
        <f t="shared" si="15"/>
        <v>115021.96480156694</v>
      </c>
      <c r="U43" s="17">
        <f t="shared" si="16"/>
        <v>2454749.6164364005</v>
      </c>
      <c r="V43" s="23">
        <f t="shared" si="17"/>
        <v>599966.86579873646</v>
      </c>
      <c r="W43" s="26">
        <f t="shared" si="26"/>
        <v>2.3236545406672749E-9</v>
      </c>
      <c r="X43" s="10">
        <f t="shared" si="27"/>
        <v>0</v>
      </c>
      <c r="Y43" s="10">
        <f t="shared" ref="Y43:Y58" si="30">-X43-(W43-Z43)</f>
        <v>7.0232458491671177E-11</v>
      </c>
      <c r="Z43" s="27">
        <f t="shared" ref="Z43:Z58" si="31">W43*(1+$Y$3)+X43*$Y$5</f>
        <v>2.3938869991589461E-9</v>
      </c>
      <c r="AA43" s="28">
        <f>U43*(1-$C$37)+V43-Z43+(SUM($Q$9:Q43,$S$9:S43))*$C$37</f>
        <v>2143513.4246139429</v>
      </c>
    </row>
    <row r="44" spans="1:27" x14ac:dyDescent="0.3">
      <c r="E44" s="9">
        <v>36</v>
      </c>
      <c r="F44" s="9" t="b">
        <f t="shared" si="8"/>
        <v>1</v>
      </c>
      <c r="G44" s="15">
        <f t="shared" si="21"/>
        <v>5999.668657987364</v>
      </c>
      <c r="H44" s="15">
        <f t="shared" si="9"/>
        <v>0</v>
      </c>
      <c r="I44" s="15">
        <f t="shared" si="10"/>
        <v>0</v>
      </c>
      <c r="J44" s="15">
        <f t="shared" si="22"/>
        <v>3599.8011947924183</v>
      </c>
      <c r="K44" s="15">
        <f t="shared" si="11"/>
        <v>0</v>
      </c>
      <c r="L44" s="16">
        <f t="shared" si="12"/>
        <v>9599.4698527797827</v>
      </c>
      <c r="M44" s="15">
        <f t="shared" si="13"/>
        <v>59996.68657987364</v>
      </c>
      <c r="N44" s="17">
        <f t="shared" si="14"/>
        <v>50397.216727093859</v>
      </c>
      <c r="O44" s="21">
        <f t="shared" si="28"/>
        <v>2454749.6164364005</v>
      </c>
      <c r="P44" s="15">
        <f t="shared" si="23"/>
        <v>80148.245431128904</v>
      </c>
      <c r="Q44" s="15">
        <f t="shared" si="29"/>
        <v>0</v>
      </c>
      <c r="R44" s="15">
        <f t="shared" si="24"/>
        <v>0</v>
      </c>
      <c r="S44" s="15">
        <f t="shared" si="25"/>
        <v>0</v>
      </c>
      <c r="T44" s="15">
        <f t="shared" si="15"/>
        <v>124741.18695759826</v>
      </c>
      <c r="U44" s="17">
        <f t="shared" si="16"/>
        <v>2659639.0488251275</v>
      </c>
      <c r="V44" s="23">
        <f t="shared" si="17"/>
        <v>611966.2031147111</v>
      </c>
      <c r="W44" s="26">
        <f t="shared" si="26"/>
        <v>2.3938869991589461E-9</v>
      </c>
      <c r="X44" s="10">
        <f t="shared" si="27"/>
        <v>0</v>
      </c>
      <c r="Y44" s="10">
        <f t="shared" si="30"/>
        <v>7.2355234549582287E-11</v>
      </c>
      <c r="Z44" s="27">
        <f t="shared" si="31"/>
        <v>2.4662422337085284E-9</v>
      </c>
      <c r="AA44" s="28">
        <f>U44*(1-$C$37)+V44-Z44+(SUM($Q$9:Q44,$S$9:S44))*$C$37</f>
        <v>2284347.2370159491</v>
      </c>
    </row>
    <row r="45" spans="1:27" x14ac:dyDescent="0.3">
      <c r="A45" s="3" t="s">
        <v>13</v>
      </c>
      <c r="B45" s="3"/>
      <c r="C45" s="41"/>
      <c r="E45" s="9">
        <v>37</v>
      </c>
      <c r="F45" s="9" t="b">
        <f t="shared" si="8"/>
        <v>1</v>
      </c>
      <c r="G45" s="15">
        <f t="shared" si="21"/>
        <v>6119.6620311471106</v>
      </c>
      <c r="H45" s="15">
        <f t="shared" si="9"/>
        <v>0</v>
      </c>
      <c r="I45" s="15">
        <f t="shared" si="10"/>
        <v>0</v>
      </c>
      <c r="J45" s="15">
        <f t="shared" si="22"/>
        <v>3671.7972186882666</v>
      </c>
      <c r="K45" s="15">
        <f t="shared" si="11"/>
        <v>0</v>
      </c>
      <c r="L45" s="16">
        <f t="shared" si="12"/>
        <v>9791.4592498353777</v>
      </c>
      <c r="M45" s="15">
        <f t="shared" si="13"/>
        <v>61196.62031147111</v>
      </c>
      <c r="N45" s="17">
        <f t="shared" si="14"/>
        <v>51405.161061635736</v>
      </c>
      <c r="O45" s="21">
        <f t="shared" si="28"/>
        <v>2659639.0488251275</v>
      </c>
      <c r="P45" s="15">
        <f t="shared" si="23"/>
        <v>81751.210339751487</v>
      </c>
      <c r="Q45" s="15">
        <f t="shared" si="29"/>
        <v>0</v>
      </c>
      <c r="R45" s="15">
        <f t="shared" si="24"/>
        <v>0</v>
      </c>
      <c r="S45" s="15">
        <f t="shared" si="25"/>
        <v>0</v>
      </c>
      <c r="T45" s="15">
        <f t="shared" si="15"/>
        <v>135025.73269975017</v>
      </c>
      <c r="U45" s="17">
        <f t="shared" si="16"/>
        <v>2876415.9918646291</v>
      </c>
      <c r="V45" s="23">
        <f t="shared" si="17"/>
        <v>624205.52717700542</v>
      </c>
      <c r="W45" s="26">
        <f t="shared" si="26"/>
        <v>2.4662422337085284E-9</v>
      </c>
      <c r="X45" s="10">
        <f t="shared" si="27"/>
        <v>0</v>
      </c>
      <c r="Y45" s="10">
        <f t="shared" si="30"/>
        <v>7.4542171513843486E-11</v>
      </c>
      <c r="Z45" s="27">
        <f t="shared" si="31"/>
        <v>2.5407844052223719E-9</v>
      </c>
      <c r="AA45" s="28">
        <f>U45*(1-$C$37)+V45-Z45+(SUM($Q$9:Q45,$S$9:S45))*$C$37</f>
        <v>2432895.902861482</v>
      </c>
    </row>
    <row r="46" spans="1:27" x14ac:dyDescent="0.3">
      <c r="A46" s="42" t="s">
        <v>14</v>
      </c>
      <c r="B46" s="42"/>
      <c r="C46" s="41">
        <f>C38*(1+$C$39)^(C5+1)+12*(C3-C4)/(1-C37)*D18</f>
        <v>137086.27146946572</v>
      </c>
      <c r="E46" s="9">
        <v>38</v>
      </c>
      <c r="F46" s="9" t="b">
        <f t="shared" si="8"/>
        <v>1</v>
      </c>
      <c r="G46" s="15">
        <f t="shared" si="21"/>
        <v>6242.0552717700539</v>
      </c>
      <c r="H46" s="15">
        <f t="shared" si="9"/>
        <v>0</v>
      </c>
      <c r="I46" s="15">
        <f t="shared" si="10"/>
        <v>0</v>
      </c>
      <c r="J46" s="15">
        <f t="shared" si="22"/>
        <v>3745.2331630620324</v>
      </c>
      <c r="K46" s="15">
        <f t="shared" si="11"/>
        <v>0</v>
      </c>
      <c r="L46" s="16">
        <f t="shared" si="12"/>
        <v>9987.2884348320858</v>
      </c>
      <c r="M46" s="15">
        <f t="shared" si="13"/>
        <v>62420.552717700542</v>
      </c>
      <c r="N46" s="17">
        <f t="shared" si="14"/>
        <v>52433.264282868455</v>
      </c>
      <c r="O46" s="21">
        <f t="shared" si="28"/>
        <v>2876415.9918646291</v>
      </c>
      <c r="P46" s="15">
        <f t="shared" si="23"/>
        <v>83386.234546546519</v>
      </c>
      <c r="Q46" s="15">
        <f t="shared" si="29"/>
        <v>0</v>
      </c>
      <c r="R46" s="15">
        <f t="shared" si="24"/>
        <v>0</v>
      </c>
      <c r="S46" s="15">
        <f t="shared" si="25"/>
        <v>0</v>
      </c>
      <c r="T46" s="15">
        <f t="shared" si="15"/>
        <v>145905.45545689514</v>
      </c>
      <c r="U46" s="17">
        <f t="shared" si="16"/>
        <v>3105707.6818680707</v>
      </c>
      <c r="V46" s="23">
        <f t="shared" si="17"/>
        <v>636689.63772054564</v>
      </c>
      <c r="W46" s="26">
        <f t="shared" si="26"/>
        <v>2.5407844052223719E-9</v>
      </c>
      <c r="X46" s="10">
        <f t="shared" si="27"/>
        <v>0</v>
      </c>
      <c r="Y46" s="10">
        <f t="shared" si="30"/>
        <v>7.679520864784957E-11</v>
      </c>
      <c r="Z46" s="27">
        <f t="shared" si="31"/>
        <v>2.6175796138702214E-9</v>
      </c>
      <c r="AA46" s="28">
        <f>U46*(1-$C$37)+V46-Z46+(SUM($Q$9:Q46,$S$9:S46))*$C$37</f>
        <v>2589558.6280791857</v>
      </c>
    </row>
    <row r="47" spans="1:27" x14ac:dyDescent="0.3">
      <c r="A47" s="8">
        <v>0.05</v>
      </c>
      <c r="B47" s="8"/>
      <c r="C47" s="41">
        <f>$C$7*A47*(1+$C$8)^$C$5</f>
        <v>16561.212048000001</v>
      </c>
      <c r="E47" s="9">
        <v>39</v>
      </c>
      <c r="F47" s="9" t="b">
        <f t="shared" si="8"/>
        <v>1</v>
      </c>
      <c r="G47" s="15">
        <f t="shared" si="21"/>
        <v>6366.8963772054558</v>
      </c>
      <c r="H47" s="15">
        <f t="shared" si="9"/>
        <v>0</v>
      </c>
      <c r="I47" s="15">
        <f t="shared" si="10"/>
        <v>0</v>
      </c>
      <c r="J47" s="15">
        <f t="shared" si="22"/>
        <v>3820.1378263232737</v>
      </c>
      <c r="K47" s="15">
        <f t="shared" si="11"/>
        <v>0</v>
      </c>
      <c r="L47" s="16">
        <f t="shared" si="12"/>
        <v>10187.034203528729</v>
      </c>
      <c r="M47" s="15">
        <f t="shared" si="13"/>
        <v>63668.963772054558</v>
      </c>
      <c r="N47" s="17">
        <f t="shared" si="14"/>
        <v>53481.929568525826</v>
      </c>
      <c r="O47" s="21">
        <f t="shared" si="28"/>
        <v>3105707.6818680707</v>
      </c>
      <c r="P47" s="15">
        <f t="shared" si="23"/>
        <v>85053.959237477451</v>
      </c>
      <c r="Q47" s="15">
        <f t="shared" si="29"/>
        <v>0</v>
      </c>
      <c r="R47" s="15">
        <f t="shared" si="24"/>
        <v>0</v>
      </c>
      <c r="S47" s="15">
        <f t="shared" si="25"/>
        <v>0</v>
      </c>
      <c r="T47" s="15">
        <f t="shared" si="15"/>
        <v>157411.7330743405</v>
      </c>
      <c r="U47" s="17">
        <f t="shared" si="16"/>
        <v>3348173.3741798885</v>
      </c>
      <c r="V47" s="23">
        <f t="shared" si="17"/>
        <v>649423.43047495629</v>
      </c>
      <c r="W47" s="26">
        <f t="shared" si="26"/>
        <v>2.6175796138702214E-9</v>
      </c>
      <c r="X47" s="10">
        <f t="shared" si="27"/>
        <v>0</v>
      </c>
      <c r="Y47" s="10">
        <f t="shared" si="30"/>
        <v>7.9116343829230672E-11</v>
      </c>
      <c r="Z47" s="27">
        <f t="shared" si="31"/>
        <v>2.6966959576994521E-9</v>
      </c>
      <c r="AA47" s="28">
        <f>U47*(1-$C$37)+V47-Z47+(SUM($Q$9:Q47,$S$9:S47))*$C$37</f>
        <v>2754754.8481592676</v>
      </c>
    </row>
    <row r="48" spans="1:27" x14ac:dyDescent="0.3">
      <c r="A48" s="8">
        <v>0.1</v>
      </c>
      <c r="B48" s="8"/>
      <c r="C48" s="41">
        <f>C47*2</f>
        <v>33122.424096000002</v>
      </c>
      <c r="E48" s="9">
        <v>40</v>
      </c>
      <c r="F48" s="9" t="b">
        <f t="shared" si="8"/>
        <v>1</v>
      </c>
      <c r="G48" s="15">
        <f t="shared" si="21"/>
        <v>6494.2343047495624</v>
      </c>
      <c r="H48" s="15">
        <f t="shared" si="9"/>
        <v>0</v>
      </c>
      <c r="I48" s="15">
        <f t="shared" si="10"/>
        <v>0</v>
      </c>
      <c r="J48" s="15">
        <f t="shared" si="22"/>
        <v>3896.5405828497373</v>
      </c>
      <c r="K48" s="15">
        <f t="shared" si="11"/>
        <v>0</v>
      </c>
      <c r="L48" s="16">
        <f t="shared" si="12"/>
        <v>10390.7748875993</v>
      </c>
      <c r="M48" s="15">
        <f t="shared" si="13"/>
        <v>64942.343047495626</v>
      </c>
      <c r="N48" s="17">
        <f t="shared" si="14"/>
        <v>54551.568159896327</v>
      </c>
      <c r="O48" s="21">
        <f t="shared" si="28"/>
        <v>3348173.3741798885</v>
      </c>
      <c r="P48" s="15">
        <f t="shared" si="23"/>
        <v>86755.038422226979</v>
      </c>
      <c r="Q48" s="15">
        <f t="shared" si="29"/>
        <v>0</v>
      </c>
      <c r="R48" s="15">
        <f t="shared" si="24"/>
        <v>0</v>
      </c>
      <c r="S48" s="15">
        <f t="shared" si="25"/>
        <v>0</v>
      </c>
      <c r="T48" s="15">
        <f t="shared" si="15"/>
        <v>169577.54466955012</v>
      </c>
      <c r="U48" s="17">
        <f t="shared" si="16"/>
        <v>3604505.9572716653</v>
      </c>
      <c r="V48" s="23">
        <f t="shared" si="17"/>
        <v>662411.89908445557</v>
      </c>
      <c r="W48" s="26">
        <f t="shared" si="26"/>
        <v>2.6966959576994521E-9</v>
      </c>
      <c r="X48" s="10">
        <f t="shared" si="27"/>
        <v>0</v>
      </c>
      <c r="Y48" s="10">
        <f t="shared" si="30"/>
        <v>8.150763532146924E-11</v>
      </c>
      <c r="Z48" s="27">
        <f t="shared" si="31"/>
        <v>2.7782035930209213E-9</v>
      </c>
      <c r="AA48" s="28">
        <f>U48*(1-$C$37)+V48-Z48+(SUM($Q$9:Q48,$S$9:S48))*$C$37</f>
        <v>2928925.2450168757</v>
      </c>
    </row>
    <row r="49" spans="1:27" x14ac:dyDescent="0.3">
      <c r="A49" s="8">
        <v>0.15</v>
      </c>
      <c r="B49" s="8"/>
      <c r="C49" s="41">
        <f>C47*3</f>
        <v>49683.636144000004</v>
      </c>
      <c r="E49" s="9">
        <v>41</v>
      </c>
      <c r="F49" s="9" t="b">
        <f t="shared" si="8"/>
        <v>1</v>
      </c>
      <c r="G49" s="15">
        <f t="shared" si="21"/>
        <v>6624.1189908445558</v>
      </c>
      <c r="H49" s="15">
        <f t="shared" si="9"/>
        <v>0</v>
      </c>
      <c r="I49" s="15">
        <f t="shared" si="10"/>
        <v>0</v>
      </c>
      <c r="J49" s="15">
        <f t="shared" si="22"/>
        <v>3974.4713945067333</v>
      </c>
      <c r="K49" s="15">
        <f t="shared" si="11"/>
        <v>0</v>
      </c>
      <c r="L49" s="16">
        <f t="shared" si="12"/>
        <v>10598.59038535129</v>
      </c>
      <c r="M49" s="15">
        <f t="shared" si="13"/>
        <v>66241.189908445551</v>
      </c>
      <c r="N49" s="17">
        <f t="shared" si="14"/>
        <v>55642.599523094264</v>
      </c>
      <c r="O49" s="21">
        <f t="shared" si="28"/>
        <v>3604505.9572716653</v>
      </c>
      <c r="P49" s="15">
        <f t="shared" si="23"/>
        <v>88490.139190671543</v>
      </c>
      <c r="Q49" s="15">
        <f t="shared" si="29"/>
        <v>0</v>
      </c>
      <c r="R49" s="15">
        <f t="shared" si="24"/>
        <v>0</v>
      </c>
      <c r="S49" s="15">
        <f t="shared" si="25"/>
        <v>0</v>
      </c>
      <c r="T49" s="15">
        <f t="shared" si="15"/>
        <v>182437.55134335006</v>
      </c>
      <c r="U49" s="17">
        <f t="shared" si="16"/>
        <v>3875433.647805687</v>
      </c>
      <c r="V49" s="23">
        <f t="shared" si="17"/>
        <v>675660.13706614461</v>
      </c>
      <c r="W49" s="26">
        <f t="shared" si="26"/>
        <v>2.7782035930209213E-9</v>
      </c>
      <c r="X49" s="10">
        <f t="shared" si="27"/>
        <v>0</v>
      </c>
      <c r="Y49" s="10">
        <f t="shared" si="30"/>
        <v>8.3971203599060819E-11</v>
      </c>
      <c r="Z49" s="27">
        <f t="shared" si="31"/>
        <v>2.8621747966199822E-9</v>
      </c>
      <c r="AA49" s="28">
        <f>U49*(1-$C$37)+V49-Z49+(SUM($Q$9:Q49,$S$9:S49))*$C$37</f>
        <v>3112532.814806358</v>
      </c>
    </row>
    <row r="50" spans="1:27" x14ac:dyDescent="0.3">
      <c r="A50" s="8">
        <v>0.2</v>
      </c>
      <c r="B50" s="8"/>
      <c r="C50" s="41">
        <f>C47*4</f>
        <v>66244.848192000005</v>
      </c>
      <c r="E50" s="9">
        <v>42</v>
      </c>
      <c r="F50" s="9" t="b">
        <f t="shared" si="8"/>
        <v>1</v>
      </c>
      <c r="G50" s="15">
        <f t="shared" si="21"/>
        <v>6756.6013706614467</v>
      </c>
      <c r="H50" s="15">
        <f t="shared" si="9"/>
        <v>0</v>
      </c>
      <c r="I50" s="15">
        <f t="shared" si="10"/>
        <v>0</v>
      </c>
      <c r="J50" s="15">
        <f t="shared" si="22"/>
        <v>4053.9608223968676</v>
      </c>
      <c r="K50" s="15">
        <f t="shared" si="11"/>
        <v>0</v>
      </c>
      <c r="L50" s="16">
        <f t="shared" si="12"/>
        <v>10810.562193058315</v>
      </c>
      <c r="M50" s="15">
        <f t="shared" si="13"/>
        <v>67566.013706614467</v>
      </c>
      <c r="N50" s="17">
        <f t="shared" si="14"/>
        <v>56755.451513556152</v>
      </c>
      <c r="O50" s="21">
        <f t="shared" si="28"/>
        <v>3875433.647805687</v>
      </c>
      <c r="P50" s="15">
        <f t="shared" si="23"/>
        <v>90259.941974484973</v>
      </c>
      <c r="Q50" s="15">
        <f t="shared" si="29"/>
        <v>0</v>
      </c>
      <c r="R50" s="15">
        <f t="shared" si="24"/>
        <v>0</v>
      </c>
      <c r="S50" s="15">
        <f t="shared" si="25"/>
        <v>0</v>
      </c>
      <c r="T50" s="15">
        <f t="shared" si="15"/>
        <v>196028.1809396465</v>
      </c>
      <c r="U50" s="17">
        <f t="shared" si="16"/>
        <v>4161721.7707198183</v>
      </c>
      <c r="V50" s="23">
        <f t="shared" si="17"/>
        <v>689173.33980746754</v>
      </c>
      <c r="W50" s="26">
        <f t="shared" si="26"/>
        <v>2.8621747966199822E-9</v>
      </c>
      <c r="X50" s="10">
        <f t="shared" si="27"/>
        <v>0</v>
      </c>
      <c r="Y50" s="10">
        <f t="shared" si="30"/>
        <v>8.6509233227842825E-11</v>
      </c>
      <c r="Z50" s="27">
        <f t="shared" si="31"/>
        <v>2.948684029847825E-9</v>
      </c>
      <c r="AA50" s="28">
        <f>U50*(1-$C$37)+V50-Z50+(SUM($Q$9:Q50,$S$9:S50))*$C$37</f>
        <v>3306063.9892360866</v>
      </c>
    </row>
    <row r="51" spans="1:27" x14ac:dyDescent="0.3">
      <c r="E51" s="9">
        <v>43</v>
      </c>
      <c r="F51" s="9" t="b">
        <f t="shared" si="8"/>
        <v>1</v>
      </c>
      <c r="G51" s="15">
        <f t="shared" si="21"/>
        <v>6891.7333980746753</v>
      </c>
      <c r="H51" s="15">
        <f t="shared" si="9"/>
        <v>0</v>
      </c>
      <c r="I51" s="15">
        <f t="shared" si="10"/>
        <v>0</v>
      </c>
      <c r="J51" s="15">
        <f t="shared" si="22"/>
        <v>4135.0400388448052</v>
      </c>
      <c r="K51" s="15">
        <f t="shared" si="11"/>
        <v>0</v>
      </c>
      <c r="L51" s="16">
        <f t="shared" si="12"/>
        <v>11026.77343691948</v>
      </c>
      <c r="M51" s="15">
        <f t="shared" si="13"/>
        <v>68917.333980746742</v>
      </c>
      <c r="N51" s="17">
        <f t="shared" si="14"/>
        <v>57890.560543827261</v>
      </c>
      <c r="O51" s="21">
        <f t="shared" si="28"/>
        <v>4161721.7707198183</v>
      </c>
      <c r="P51" s="15">
        <f t="shared" si="23"/>
        <v>92065.140813974649</v>
      </c>
      <c r="Q51" s="15">
        <f t="shared" si="29"/>
        <v>0</v>
      </c>
      <c r="R51" s="15">
        <f t="shared" si="24"/>
        <v>0</v>
      </c>
      <c r="S51" s="15">
        <f t="shared" si="25"/>
        <v>0</v>
      </c>
      <c r="T51" s="15">
        <f t="shared" si="15"/>
        <v>210387.71705634028</v>
      </c>
      <c r="U51" s="17">
        <f t="shared" si="16"/>
        <v>4464174.628590133</v>
      </c>
      <c r="V51" s="23">
        <f t="shared" si="17"/>
        <v>702956.8066036168</v>
      </c>
      <c r="W51" s="26">
        <f t="shared" si="26"/>
        <v>2.948684029847825E-9</v>
      </c>
      <c r="X51" s="10">
        <f t="shared" si="27"/>
        <v>0</v>
      </c>
      <c r="Y51" s="10">
        <f t="shared" si="30"/>
        <v>8.9123974802154345E-11</v>
      </c>
      <c r="Z51" s="27">
        <f t="shared" si="31"/>
        <v>3.0378080046499793E-9</v>
      </c>
      <c r="AA51" s="28">
        <f>U51*(1-$C$37)+V51-Z51+(SUM($Q$9:Q51,$S$9:S51))*$C$37</f>
        <v>3510029.8130610897</v>
      </c>
    </row>
    <row r="52" spans="1:27" x14ac:dyDescent="0.3">
      <c r="E52" s="9">
        <v>44</v>
      </c>
      <c r="F52" s="9" t="b">
        <f t="shared" si="8"/>
        <v>1</v>
      </c>
      <c r="G52" s="15">
        <f t="shared" si="21"/>
        <v>7029.5680660361677</v>
      </c>
      <c r="H52" s="15">
        <f t="shared" si="9"/>
        <v>0</v>
      </c>
      <c r="I52" s="15">
        <f t="shared" si="10"/>
        <v>0</v>
      </c>
      <c r="J52" s="15">
        <f t="shared" si="22"/>
        <v>4217.7408396217006</v>
      </c>
      <c r="K52" s="15">
        <f t="shared" si="11"/>
        <v>0</v>
      </c>
      <c r="L52" s="16">
        <f t="shared" si="12"/>
        <v>11247.308905657868</v>
      </c>
      <c r="M52" s="15">
        <f t="shared" si="13"/>
        <v>70295.680660361686</v>
      </c>
      <c r="N52" s="17">
        <f t="shared" si="14"/>
        <v>59048.371754703818</v>
      </c>
      <c r="O52" s="21">
        <f t="shared" si="28"/>
        <v>4464174.628590133</v>
      </c>
      <c r="P52" s="15">
        <f t="shared" si="23"/>
        <v>93906.443630254158</v>
      </c>
      <c r="Q52" s="15">
        <f t="shared" si="29"/>
        <v>0</v>
      </c>
      <c r="R52" s="15">
        <f t="shared" si="24"/>
        <v>0</v>
      </c>
      <c r="S52" s="15">
        <f t="shared" si="25"/>
        <v>0</v>
      </c>
      <c r="T52" s="15">
        <f t="shared" si="15"/>
        <v>225556.39252026303</v>
      </c>
      <c r="U52" s="17">
        <f t="shared" si="16"/>
        <v>4783637.4647406498</v>
      </c>
      <c r="V52" s="23">
        <f t="shared" si="17"/>
        <v>717015.94273568923</v>
      </c>
      <c r="W52" s="26">
        <f t="shared" si="26"/>
        <v>3.0378080046499793E-9</v>
      </c>
      <c r="X52" s="10">
        <f t="shared" si="27"/>
        <v>0</v>
      </c>
      <c r="Y52" s="10">
        <f t="shared" si="30"/>
        <v>9.1817746940549571E-11</v>
      </c>
      <c r="Z52" s="27">
        <f t="shared" si="31"/>
        <v>3.1296257515905289E-9</v>
      </c>
      <c r="AA52" s="28">
        <f>U52*(1-$C$37)+V52-Z52+(SUM($Q$9:Q52,$S$9:S52))*$C$37</f>
        <v>3724967.1805646066</v>
      </c>
    </row>
    <row r="53" spans="1:27" x14ac:dyDescent="0.3">
      <c r="E53" s="9">
        <v>45</v>
      </c>
      <c r="F53" s="9" t="b">
        <f t="shared" si="8"/>
        <v>1</v>
      </c>
      <c r="G53" s="15">
        <f t="shared" si="21"/>
        <v>7170.1594273568926</v>
      </c>
      <c r="H53" s="15">
        <f t="shared" si="9"/>
        <v>0</v>
      </c>
      <c r="I53" s="15">
        <f t="shared" si="10"/>
        <v>0</v>
      </c>
      <c r="J53" s="15">
        <f t="shared" si="22"/>
        <v>4302.0956564141352</v>
      </c>
      <c r="K53" s="15">
        <f t="shared" si="11"/>
        <v>0</v>
      </c>
      <c r="L53" s="16">
        <f t="shared" si="12"/>
        <v>11472.255083771028</v>
      </c>
      <c r="M53" s="15">
        <f t="shared" si="13"/>
        <v>71701.594273568917</v>
      </c>
      <c r="N53" s="17">
        <f t="shared" si="14"/>
        <v>60229.339189797887</v>
      </c>
      <c r="O53" s="21">
        <f t="shared" si="28"/>
        <v>4783637.4647406498</v>
      </c>
      <c r="P53" s="15">
        <f t="shared" si="23"/>
        <v>95784.572502859228</v>
      </c>
      <c r="Q53" s="15">
        <f t="shared" si="29"/>
        <v>0</v>
      </c>
      <c r="R53" s="15">
        <f t="shared" si="24"/>
        <v>0</v>
      </c>
      <c r="S53" s="15">
        <f t="shared" si="25"/>
        <v>0</v>
      </c>
      <c r="T53" s="15">
        <f t="shared" si="15"/>
        <v>241576.48754960397</v>
      </c>
      <c r="U53" s="17">
        <f t="shared" si="16"/>
        <v>5120998.5247931127</v>
      </c>
      <c r="V53" s="23">
        <f t="shared" si="17"/>
        <v>731356.26159040292</v>
      </c>
      <c r="W53" s="26">
        <f t="shared" si="26"/>
        <v>3.1296257515905289E-9</v>
      </c>
      <c r="X53" s="10">
        <f t="shared" si="27"/>
        <v>0</v>
      </c>
      <c r="Y53" s="10">
        <f t="shared" si="30"/>
        <v>9.4592938341827589E-11</v>
      </c>
      <c r="Z53" s="27">
        <f t="shared" si="31"/>
        <v>3.2242186899323565E-9</v>
      </c>
      <c r="AA53" s="28">
        <f>U53*(1-$C$37)+V53-Z53+(SUM($Q$9:Q53,$S$9:S53))*$C$37</f>
        <v>3951440.1339803091</v>
      </c>
    </row>
    <row r="54" spans="1:27" x14ac:dyDescent="0.3">
      <c r="E54" s="9">
        <v>46</v>
      </c>
      <c r="F54" s="9" t="b">
        <f t="shared" si="8"/>
        <v>1</v>
      </c>
      <c r="G54" s="15">
        <f t="shared" si="21"/>
        <v>7313.5626159040294</v>
      </c>
      <c r="H54" s="15">
        <f t="shared" si="9"/>
        <v>0</v>
      </c>
      <c r="I54" s="15">
        <f t="shared" si="10"/>
        <v>0</v>
      </c>
      <c r="J54" s="15">
        <f t="shared" si="22"/>
        <v>4388.1375695424176</v>
      </c>
      <c r="K54" s="15">
        <f t="shared" si="11"/>
        <v>0</v>
      </c>
      <c r="L54" s="16">
        <f t="shared" si="12"/>
        <v>11701.700185446447</v>
      </c>
      <c r="M54" s="15">
        <f t="shared" si="13"/>
        <v>73135.626159040301</v>
      </c>
      <c r="N54" s="17">
        <f t="shared" si="14"/>
        <v>61433.925973593854</v>
      </c>
      <c r="O54" s="21">
        <f t="shared" si="28"/>
        <v>5120998.5247931127</v>
      </c>
      <c r="P54" s="15">
        <f t="shared" si="23"/>
        <v>97700.26395291643</v>
      </c>
      <c r="Q54" s="15">
        <f t="shared" si="29"/>
        <v>0</v>
      </c>
      <c r="R54" s="15">
        <f t="shared" si="24"/>
        <v>0</v>
      </c>
      <c r="S54" s="15">
        <f t="shared" si="25"/>
        <v>0</v>
      </c>
      <c r="T54" s="15">
        <f t="shared" si="15"/>
        <v>258492.43283847856</v>
      </c>
      <c r="U54" s="17">
        <f t="shared" si="16"/>
        <v>5477191.2215845073</v>
      </c>
      <c r="V54" s="23">
        <f t="shared" si="17"/>
        <v>745983.38682221109</v>
      </c>
      <c r="W54" s="26">
        <f t="shared" si="26"/>
        <v>3.2242186899323565E-9</v>
      </c>
      <c r="X54" s="10">
        <f t="shared" si="27"/>
        <v>0</v>
      </c>
      <c r="Y54" s="10">
        <f t="shared" si="30"/>
        <v>9.7452009903209497E-11</v>
      </c>
      <c r="Z54" s="27">
        <f t="shared" si="31"/>
        <v>3.321670699835566E-9</v>
      </c>
      <c r="AA54" s="28">
        <f>U54*(1-$C$37)+V54-Z54+(SUM($Q$9:Q54,$S$9:S54))*$C$37</f>
        <v>4190041.2269545463</v>
      </c>
    </row>
    <row r="55" spans="1:27" x14ac:dyDescent="0.3">
      <c r="E55" s="9">
        <v>47</v>
      </c>
      <c r="F55" s="9" t="b">
        <f t="shared" si="8"/>
        <v>1</v>
      </c>
      <c r="G55" s="15">
        <f t="shared" si="21"/>
        <v>7459.8338682221111</v>
      </c>
      <c r="H55" s="15">
        <f t="shared" si="9"/>
        <v>0</v>
      </c>
      <c r="I55" s="15">
        <f t="shared" si="10"/>
        <v>0</v>
      </c>
      <c r="J55" s="15">
        <f t="shared" si="22"/>
        <v>4475.9003209332668</v>
      </c>
      <c r="K55" s="15">
        <f t="shared" si="11"/>
        <v>0</v>
      </c>
      <c r="L55" s="16">
        <f t="shared" si="12"/>
        <v>11935.734189155377</v>
      </c>
      <c r="M55" s="15">
        <f t="shared" si="13"/>
        <v>74598.338682221103</v>
      </c>
      <c r="N55" s="17">
        <f t="shared" si="14"/>
        <v>62662.604493065723</v>
      </c>
      <c r="O55" s="21">
        <f t="shared" si="28"/>
        <v>5477191.2215845073</v>
      </c>
      <c r="P55" s="15">
        <f t="shared" si="23"/>
        <v>99654.269231974744</v>
      </c>
      <c r="Q55" s="15">
        <f t="shared" si="29"/>
        <v>0</v>
      </c>
      <c r="R55" s="15">
        <f t="shared" si="24"/>
        <v>0</v>
      </c>
      <c r="S55" s="15">
        <f t="shared" si="25"/>
        <v>0</v>
      </c>
      <c r="T55" s="15">
        <f t="shared" si="15"/>
        <v>276350.91781002475</v>
      </c>
      <c r="U55" s="17">
        <f t="shared" si="16"/>
        <v>5853196.408626507</v>
      </c>
      <c r="V55" s="23">
        <f t="shared" si="17"/>
        <v>760903.05455865513</v>
      </c>
      <c r="W55" s="26">
        <f t="shared" si="26"/>
        <v>3.321670699835566E-9</v>
      </c>
      <c r="X55" s="10">
        <f t="shared" si="27"/>
        <v>0</v>
      </c>
      <c r="Y55" s="10">
        <f t="shared" si="30"/>
        <v>1.0039749690253432E-10</v>
      </c>
      <c r="Z55" s="27">
        <f t="shared" si="31"/>
        <v>3.4220681967381003E-9</v>
      </c>
      <c r="AA55" s="28">
        <f>U55*(1-$C$37)+V55-Z55+(SUM($Q$9:Q55,$S$9:S55))*$C$37</f>
        <v>4441392.9563029995</v>
      </c>
    </row>
    <row r="56" spans="1:27" x14ac:dyDescent="0.3">
      <c r="E56" s="9">
        <v>48</v>
      </c>
      <c r="F56" s="9" t="b">
        <f t="shared" si="8"/>
        <v>1</v>
      </c>
      <c r="G56" s="15">
        <f t="shared" si="21"/>
        <v>7609.0305455865509</v>
      </c>
      <c r="H56" s="15">
        <f t="shared" si="9"/>
        <v>0</v>
      </c>
      <c r="I56" s="15">
        <f t="shared" si="10"/>
        <v>0</v>
      </c>
      <c r="J56" s="15">
        <f t="shared" si="22"/>
        <v>4565.4183273519302</v>
      </c>
      <c r="K56" s="15">
        <f t="shared" si="11"/>
        <v>0</v>
      </c>
      <c r="L56" s="16">
        <f t="shared" si="12"/>
        <v>12174.448872938481</v>
      </c>
      <c r="M56" s="15">
        <f t="shared" si="13"/>
        <v>76090.305455865513</v>
      </c>
      <c r="N56" s="17">
        <f t="shared" si="14"/>
        <v>63915.85658292703</v>
      </c>
      <c r="O56" s="21">
        <f t="shared" si="28"/>
        <v>5853196.408626507</v>
      </c>
      <c r="P56" s="15">
        <f t="shared" si="23"/>
        <v>101647.35461661423</v>
      </c>
      <c r="Q56" s="15">
        <f t="shared" si="29"/>
        <v>0</v>
      </c>
      <c r="R56" s="15">
        <f t="shared" si="24"/>
        <v>0</v>
      </c>
      <c r="S56" s="15">
        <f t="shared" si="25"/>
        <v>0</v>
      </c>
      <c r="T56" s="15">
        <f t="shared" si="15"/>
        <v>295201.00429674069</v>
      </c>
      <c r="U56" s="17">
        <f t="shared" si="16"/>
        <v>6250044.7675398616</v>
      </c>
      <c r="V56" s="23">
        <f t="shared" si="17"/>
        <v>776121.11564982834</v>
      </c>
      <c r="W56" s="26">
        <f t="shared" si="26"/>
        <v>3.4220681967381003E-9</v>
      </c>
      <c r="X56" s="10">
        <f t="shared" si="27"/>
        <v>0</v>
      </c>
      <c r="Y56" s="10">
        <f t="shared" si="30"/>
        <v>1.0343201124641351E-10</v>
      </c>
      <c r="Z56" s="27">
        <f t="shared" si="31"/>
        <v>3.5255002079845138E-9</v>
      </c>
      <c r="AA56" s="28">
        <f>U56*(1-$C$37)+V56-Z56+(SUM($Q$9:Q56,$S$9:S56))*$C$37</f>
        <v>4706149.2654788895</v>
      </c>
    </row>
    <row r="57" spans="1:27" x14ac:dyDescent="0.3">
      <c r="E57" s="9">
        <v>49</v>
      </c>
      <c r="F57" s="9" t="b">
        <f t="shared" si="8"/>
        <v>1</v>
      </c>
      <c r="G57" s="15">
        <f t="shared" si="21"/>
        <v>7761.2111564982833</v>
      </c>
      <c r="H57" s="15">
        <f t="shared" si="9"/>
        <v>0</v>
      </c>
      <c r="I57" s="15">
        <f t="shared" si="10"/>
        <v>0</v>
      </c>
      <c r="J57" s="15">
        <f t="shared" si="22"/>
        <v>4656.7266938989696</v>
      </c>
      <c r="K57" s="15">
        <f t="shared" si="11"/>
        <v>0</v>
      </c>
      <c r="L57" s="16">
        <f t="shared" si="12"/>
        <v>12417.937850397253</v>
      </c>
      <c r="M57" s="15">
        <f t="shared" si="13"/>
        <v>77612.111564982828</v>
      </c>
      <c r="N57" s="17">
        <f t="shared" si="14"/>
        <v>65194.173714585573</v>
      </c>
      <c r="O57" s="21">
        <f t="shared" si="28"/>
        <v>6250044.7675398616</v>
      </c>
      <c r="P57" s="15">
        <f t="shared" si="23"/>
        <v>103680.30170894651</v>
      </c>
      <c r="Q57" s="15">
        <f t="shared" si="29"/>
        <v>0</v>
      </c>
      <c r="R57" s="15">
        <f t="shared" si="24"/>
        <v>0</v>
      </c>
      <c r="S57" s="15">
        <f t="shared" si="25"/>
        <v>0</v>
      </c>
      <c r="T57" s="15">
        <f t="shared" si="15"/>
        <v>315094.24591971678</v>
      </c>
      <c r="U57" s="17">
        <f t="shared" si="16"/>
        <v>6668819.3151685251</v>
      </c>
      <c r="V57" s="23">
        <f t="shared" si="17"/>
        <v>791643.53796282492</v>
      </c>
      <c r="W57" s="26">
        <f t="shared" si="26"/>
        <v>3.5255002079845138E-9</v>
      </c>
      <c r="X57" s="10">
        <f t="shared" si="27"/>
        <v>0</v>
      </c>
      <c r="Y57" s="10">
        <f t="shared" si="30"/>
        <v>1.0655824378633624E-10</v>
      </c>
      <c r="Z57" s="27">
        <f t="shared" si="31"/>
        <v>3.6320584517708501E-9</v>
      </c>
      <c r="AA57" s="28">
        <f>U57*(1-$C$37)+V57-Z57+(SUM($Q$9:Q57,$S$9:S57))*$C$37</f>
        <v>4984997.1233407902</v>
      </c>
    </row>
    <row r="58" spans="1:27" x14ac:dyDescent="0.3">
      <c r="E58" s="9">
        <v>50</v>
      </c>
      <c r="F58" s="9" t="b">
        <f t="shared" si="8"/>
        <v>1</v>
      </c>
      <c r="G58" s="15">
        <f t="shared" si="21"/>
        <v>7916.4353796282494</v>
      </c>
      <c r="H58" s="15">
        <f t="shared" si="9"/>
        <v>0</v>
      </c>
      <c r="I58" s="15">
        <f t="shared" si="10"/>
        <v>0</v>
      </c>
      <c r="J58" s="15">
        <f t="shared" si="22"/>
        <v>4749.8612277769498</v>
      </c>
      <c r="K58" s="15">
        <f t="shared" si="11"/>
        <v>0</v>
      </c>
      <c r="L58" s="16">
        <f t="shared" si="12"/>
        <v>12666.296607405198</v>
      </c>
      <c r="M58" s="15">
        <f t="shared" si="13"/>
        <v>79164.353796282492</v>
      </c>
      <c r="N58" s="17">
        <f t="shared" si="14"/>
        <v>66498.057188877297</v>
      </c>
      <c r="O58" s="21">
        <f t="shared" si="28"/>
        <v>6668819.3151685251</v>
      </c>
      <c r="P58" s="15">
        <f t="shared" si="23"/>
        <v>105753.90774312547</v>
      </c>
      <c r="Q58" s="15">
        <f>-SUM($S$9:$S$55)/$Q$3*AND(E58&gt;=$Q$4,E58&lt;=$Q$5)</f>
        <v>0</v>
      </c>
      <c r="R58" s="15">
        <f t="shared" si="24"/>
        <v>0</v>
      </c>
      <c r="S58" s="15">
        <f t="shared" si="25"/>
        <v>0</v>
      </c>
      <c r="T58" s="15">
        <f t="shared" si="15"/>
        <v>336084.81345200446</v>
      </c>
      <c r="U58" s="17">
        <f t="shared" si="16"/>
        <v>7110658.0363636548</v>
      </c>
      <c r="V58" s="23">
        <f t="shared" si="17"/>
        <v>807476.40872208145</v>
      </c>
      <c r="W58" s="26">
        <f t="shared" si="26"/>
        <v>3.6320584517708501E-9</v>
      </c>
      <c r="X58" s="10">
        <f t="shared" si="27"/>
        <v>0</v>
      </c>
      <c r="Y58" s="10">
        <f t="shared" si="30"/>
        <v>1.0977896670477897E-10</v>
      </c>
      <c r="Z58" s="27">
        <f t="shared" si="31"/>
        <v>3.741837418475629E-9</v>
      </c>
      <c r="AA58" s="28">
        <f>U58*(1-$C$37)+V58-Z58+(SUM($Q$9:Q58,$S$9:S58))*$C$37</f>
        <v>5278658.1819875436</v>
      </c>
    </row>
  </sheetData>
  <sheetProtection algorithmName="SHA-512" hashValue="mgU56KW3W1OWbtM9XN9G1EhAZZkJr4+q0WaLlS5tVu50VbljB4tfkksbMpc2p1130uqV5kwvKYaXtkC16RhI6Q==" saltValue="uz5yHm6LFxbBG2hCYQpsRA==" spinCount="100000" sheet="1" objects="1" scenarios="1" selectLockedCells="1"/>
  <mergeCells count="4">
    <mergeCell ref="O6:U6"/>
    <mergeCell ref="W6:Z6"/>
    <mergeCell ref="G6:N6"/>
    <mergeCell ref="A1:AA1"/>
  </mergeCells>
  <dataValidations count="2">
    <dataValidation type="decimal" allowBlank="1" showInputMessage="1" showErrorMessage="1" sqref="C28" xr:uid="{4F7F26A9-5649-4003-979E-6DD9379F1FCC}">
      <formula1>0</formula1>
      <formula2>C27</formula2>
    </dataValidation>
    <dataValidation type="whole" allowBlank="1" showInputMessage="1" showErrorMessage="1" sqref="C40" xr:uid="{821A2E30-881D-4F94-B43E-84BD9D75C0AE}">
      <formula1>1</formula1>
      <formula2>15</formula2>
    </dataValidation>
  </dataValidations>
  <hyperlinks>
    <hyperlink ref="A22" r:id="rId1" display="Table SCHL" xr:uid="{48F007AF-87B7-4C03-B7AD-26726A7ED16C}"/>
  </hyperlinks>
  <pageMargins left="0.70866141732283472" right="0.70866141732283472" top="0.74803149606299213" bottom="0.74803149606299213" header="0.31496062992125984" footer="0.31496062992125984"/>
  <pageSetup paperSize="127" scale="47" orientation="landscape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Budget</vt:lpstr>
      <vt:lpstr>Duree</vt:lpstr>
      <vt:lpstr>TxHypoth</vt:lpstr>
      <vt:lpstr>TxREER</vt:lpstr>
      <vt:lpstr>ValNette</vt:lpstr>
      <vt:lpstr>Budget!Zone_d_impression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 Provost</dc:creator>
  <cp:lastModifiedBy>Dany Provost</cp:lastModifiedBy>
  <cp:lastPrinted>2021-10-12T19:53:14Z</cp:lastPrinted>
  <dcterms:created xsi:type="dcterms:W3CDTF">2021-07-27T15:57:24Z</dcterms:created>
  <dcterms:modified xsi:type="dcterms:W3CDTF">2024-11-20T23:01:37Z</dcterms:modified>
</cp:coreProperties>
</file>