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https://d.docs.live.net/8b296d8c64c106d0/Økonomi Studiet/2. Semester/Erhvers Økonomi/Eksamens Oplæsning/Uploadeds til Eksamen/Excel Værktøjer/"/>
    </mc:Choice>
  </mc:AlternateContent>
  <xr:revisionPtr revIDLastSave="31" documentId="13_ncr:1_{F28A4893-B97A-43DD-A4D3-FC90FE2529E6}" xr6:coauthVersionLast="47" xr6:coauthVersionMax="47" xr10:uidLastSave="{72756713-5970-6A4C-AE03-0D0650F9AD3A}"/>
  <bookViews>
    <workbookView xWindow="4340" yWindow="500" windowWidth="24460" windowHeight="15160" tabRatio="822" firstSheet="2" activeTab="10" xr2:uid="{00000000-000D-0000-FFFF-FFFF00000000}"/>
  </bookViews>
  <sheets>
    <sheet name="Templates" sheetId="23" r:id="rId1"/>
    <sheet name="Regnskab - Nøgletal" sheetId="10" r:id="rId2"/>
    <sheet name="Regnskab - Balance + Resultat" sheetId="11" r:id="rId3"/>
    <sheet name="Regnskab - Årsopgørelse" sheetId="22" r:id="rId4"/>
    <sheet name="Regnskab - debi + kredi" sheetId="6" r:id="rId5"/>
    <sheet name="Regnskab - Afskrivninger" sheetId="5" r:id="rId6"/>
    <sheet name="Investeringer - Generel teori" sheetId="1" r:id="rId7"/>
    <sheet name="Investeringer - Kalkyler" sheetId="3" r:id="rId8"/>
    <sheet name="Finansiering - Låntagning" sheetId="7" r:id="rId9"/>
    <sheet name="Finansiering - Afkast+Risiko" sheetId="16" r:id="rId10"/>
    <sheet name="Finansiering - Porteføljer" sheetId="17" r:id="rId11"/>
    <sheet name="Finansiering - CAPM" sheetId="21" r:id="rId12"/>
    <sheet name="Finansiering - Mange aktier" sheetId="18" r:id="rId13"/>
    <sheet name="Finansiering - Fundamentalværdi" sheetId="19" r:id="rId14"/>
    <sheet name="Strategi - Produktionoptimering" sheetId="8" r:id="rId15"/>
  </sheets>
  <definedNames>
    <definedName name="_xlnm._FilterDatabase" localSheetId="4" hidden="1">'Regnskab - debi + kredi'!$E$10:$O$42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4" i="11" l="1"/>
  <c r="H20" i="11"/>
  <c r="H17" i="11"/>
  <c r="H16" i="11"/>
  <c r="H12" i="11"/>
  <c r="H13" i="11"/>
  <c r="D61" i="17"/>
  <c r="D113" i="7"/>
  <c r="D104" i="7"/>
  <c r="F103" i="7"/>
  <c r="F69" i="7"/>
  <c r="B69" i="7"/>
  <c r="F22" i="7"/>
  <c r="F24" i="7" s="1"/>
  <c r="F19" i="7"/>
  <c r="F21" i="7"/>
  <c r="F20" i="7"/>
  <c r="E10" i="1"/>
  <c r="H55" i="11"/>
  <c r="H54" i="11"/>
  <c r="H52" i="11"/>
  <c r="H50" i="11"/>
  <c r="H49" i="11"/>
  <c r="H48" i="11"/>
  <c r="H47" i="11"/>
  <c r="H46" i="11"/>
  <c r="H51" i="11" s="1"/>
  <c r="H53" i="11" s="1"/>
  <c r="H45" i="11"/>
  <c r="H44" i="11"/>
  <c r="H43" i="11"/>
  <c r="J12" i="11"/>
  <c r="J14" i="11"/>
  <c r="J19" i="11"/>
  <c r="J22" i="11" s="1"/>
  <c r="J31" i="11" s="1"/>
  <c r="J26" i="11"/>
  <c r="J27" i="11"/>
  <c r="J28" i="11"/>
  <c r="J29" i="11"/>
  <c r="H30" i="11"/>
  <c r="H29" i="11"/>
  <c r="H28" i="11"/>
  <c r="H27" i="11"/>
  <c r="D76" i="11" s="1"/>
  <c r="H26" i="11"/>
  <c r="H25" i="11"/>
  <c r="H31" i="11" s="1"/>
  <c r="D75" i="11" s="1"/>
  <c r="O22" i="10"/>
  <c r="O21" i="10"/>
  <c r="F45" i="7"/>
  <c r="E46" i="7"/>
  <c r="F46" i="7" s="1"/>
  <c r="B45" i="7"/>
  <c r="L6" i="23"/>
  <c r="K14" i="23"/>
  <c r="K15" i="23" s="1"/>
  <c r="K16" i="23" s="1"/>
  <c r="K17" i="23" s="1"/>
  <c r="K18" i="23" s="1"/>
  <c r="K19" i="23" s="1"/>
  <c r="K20" i="23" s="1"/>
  <c r="K21" i="23" s="1"/>
  <c r="K22" i="23" s="1"/>
  <c r="K23" i="23" s="1"/>
  <c r="K24" i="23" s="1"/>
  <c r="K25" i="23" s="1"/>
  <c r="K26" i="23" s="1"/>
  <c r="K27" i="23" s="1"/>
  <c r="K28" i="23" s="1"/>
  <c r="K29" i="23" s="1"/>
  <c r="K30" i="23" s="1"/>
  <c r="K31" i="23" s="1"/>
  <c r="K32" i="23" s="1"/>
  <c r="K33" i="23" s="1"/>
  <c r="E5" i="23"/>
  <c r="E19" i="23" s="1"/>
  <c r="F19" i="23" s="1"/>
  <c r="B13" i="23"/>
  <c r="C14" i="23" s="1"/>
  <c r="A69" i="23"/>
  <c r="A68" i="23"/>
  <c r="A67" i="23"/>
  <c r="A66" i="23"/>
  <c r="C70" i="23"/>
  <c r="D70" i="23"/>
  <c r="E70" i="23"/>
  <c r="B70" i="23"/>
  <c r="F67" i="23"/>
  <c r="F68" i="23"/>
  <c r="F69" i="23"/>
  <c r="F66" i="23"/>
  <c r="C53" i="23"/>
  <c r="D54" i="23"/>
  <c r="B53" i="23"/>
  <c r="B54" i="23"/>
  <c r="C54" i="23"/>
  <c r="B52" i="23"/>
  <c r="C50" i="23"/>
  <c r="A52" i="23" s="1"/>
  <c r="D50" i="23"/>
  <c r="A53" i="23" s="1"/>
  <c r="E50" i="23"/>
  <c r="A54" i="23" s="1"/>
  <c r="B50" i="23"/>
  <c r="A51" i="23" s="1"/>
  <c r="P13" i="23"/>
  <c r="Q14" i="23" s="1"/>
  <c r="S14" i="23" s="1"/>
  <c r="T14" i="23" s="1"/>
  <c r="I13" i="23"/>
  <c r="J14" i="23" s="1"/>
  <c r="D73" i="11" l="1"/>
  <c r="H56" i="11"/>
  <c r="H57" i="11" s="1"/>
  <c r="D67" i="11"/>
  <c r="L14" i="23"/>
  <c r="M14" i="23" s="1"/>
  <c r="M13" i="23"/>
  <c r="T13" i="23"/>
  <c r="F70" i="23"/>
  <c r="F13" i="23"/>
  <c r="P14" i="23"/>
  <c r="Q15" i="23" s="1"/>
  <c r="S15" i="23" s="1"/>
  <c r="T15" i="23" s="1"/>
  <c r="E14" i="23"/>
  <c r="F14" i="23" s="1"/>
  <c r="P15" i="23"/>
  <c r="P16" i="23" s="1"/>
  <c r="Q17" i="23" s="1"/>
  <c r="S17" i="23" s="1"/>
  <c r="T17" i="23" s="1"/>
  <c r="I14" i="23"/>
  <c r="J15" i="23" s="1"/>
  <c r="L15" i="23" s="1"/>
  <c r="M15" i="23" s="1"/>
  <c r="E26" i="23"/>
  <c r="F26" i="23" s="1"/>
  <c r="E18" i="23"/>
  <c r="F18" i="23" s="1"/>
  <c r="E33" i="23"/>
  <c r="F33" i="23" s="1"/>
  <c r="E25" i="23"/>
  <c r="F25" i="23" s="1"/>
  <c r="E17" i="23"/>
  <c r="F17" i="23" s="1"/>
  <c r="E32" i="23"/>
  <c r="F32" i="23" s="1"/>
  <c r="E24" i="23"/>
  <c r="F24" i="23" s="1"/>
  <c r="E16" i="23"/>
  <c r="F16" i="23" s="1"/>
  <c r="E31" i="23"/>
  <c r="F31" i="23" s="1"/>
  <c r="E23" i="23"/>
  <c r="F23" i="23" s="1"/>
  <c r="E15" i="23"/>
  <c r="F15" i="23" s="1"/>
  <c r="E30" i="23"/>
  <c r="F30" i="23" s="1"/>
  <c r="E22" i="23"/>
  <c r="F22" i="23" s="1"/>
  <c r="E29" i="23"/>
  <c r="F29" i="23" s="1"/>
  <c r="E21" i="23"/>
  <c r="F21" i="23" s="1"/>
  <c r="E28" i="23"/>
  <c r="F28" i="23" s="1"/>
  <c r="E20" i="23"/>
  <c r="F20" i="23" s="1"/>
  <c r="E27" i="23"/>
  <c r="F27" i="23" s="1"/>
  <c r="E6" i="23" l="1"/>
  <c r="D14" i="23"/>
  <c r="B14" i="23" s="1"/>
  <c r="Q16" i="23"/>
  <c r="S16" i="23" s="1"/>
  <c r="T16" i="23" s="1"/>
  <c r="P17" i="23"/>
  <c r="Q18" i="23" s="1"/>
  <c r="S18" i="23" s="1"/>
  <c r="T18" i="23" s="1"/>
  <c r="I15" i="23"/>
  <c r="J16" i="23" s="1"/>
  <c r="L16" i="23" s="1"/>
  <c r="M16" i="23" s="1"/>
  <c r="P18" i="23" l="1"/>
  <c r="Q19" i="23" s="1"/>
  <c r="S19" i="23" s="1"/>
  <c r="T19" i="23" s="1"/>
  <c r="I16" i="23"/>
  <c r="J17" i="23" s="1"/>
  <c r="L17" i="23" s="1"/>
  <c r="M17" i="23" s="1"/>
  <c r="C15" i="23"/>
  <c r="D15" i="23" s="1"/>
  <c r="B15" i="23" s="1"/>
  <c r="P19" i="23" l="1"/>
  <c r="Q20" i="23" s="1"/>
  <c r="S20" i="23" s="1"/>
  <c r="T20" i="23" s="1"/>
  <c r="I17" i="23"/>
  <c r="J18" i="23" s="1"/>
  <c r="L18" i="23" s="1"/>
  <c r="M18" i="23" s="1"/>
  <c r="C16" i="23"/>
  <c r="D16" i="23" s="1"/>
  <c r="B16" i="23" s="1"/>
  <c r="C17" i="23" s="1"/>
  <c r="P20" i="23" l="1"/>
  <c r="Q21" i="23" s="1"/>
  <c r="S21" i="23" s="1"/>
  <c r="T21" i="23" s="1"/>
  <c r="I18" i="23"/>
  <c r="J19" i="23" s="1"/>
  <c r="L19" i="23" s="1"/>
  <c r="M19" i="23" s="1"/>
  <c r="D17" i="23"/>
  <c r="B17" i="23" s="1"/>
  <c r="C18" i="23" s="1"/>
  <c r="P21" i="23" l="1"/>
  <c r="Q22" i="23" s="1"/>
  <c r="S22" i="23" s="1"/>
  <c r="T22" i="23" s="1"/>
  <c r="I19" i="23"/>
  <c r="J20" i="23" s="1"/>
  <c r="L20" i="23" s="1"/>
  <c r="M20" i="23" s="1"/>
  <c r="D18" i="23"/>
  <c r="B18" i="23" s="1"/>
  <c r="C19" i="23" s="1"/>
  <c r="P22" i="23" l="1"/>
  <c r="Q23" i="23" s="1"/>
  <c r="S23" i="23" s="1"/>
  <c r="T23" i="23" s="1"/>
  <c r="I20" i="23"/>
  <c r="J21" i="23" s="1"/>
  <c r="L21" i="23" s="1"/>
  <c r="M21" i="23" s="1"/>
  <c r="D19" i="23"/>
  <c r="B19" i="23" s="1"/>
  <c r="C20" i="23" s="1"/>
  <c r="P23" i="23" l="1"/>
  <c r="Q24" i="23" s="1"/>
  <c r="S24" i="23" s="1"/>
  <c r="T24" i="23" s="1"/>
  <c r="I21" i="23"/>
  <c r="J22" i="23" s="1"/>
  <c r="L22" i="23" s="1"/>
  <c r="M22" i="23" s="1"/>
  <c r="D20" i="23"/>
  <c r="B20" i="23" s="1"/>
  <c r="C21" i="23" s="1"/>
  <c r="P24" i="23" l="1"/>
  <c r="Q25" i="23" s="1"/>
  <c r="S25" i="23" s="1"/>
  <c r="T25" i="23" s="1"/>
  <c r="I22" i="23"/>
  <c r="J23" i="23" s="1"/>
  <c r="L23" i="23" s="1"/>
  <c r="M23" i="23" s="1"/>
  <c r="D21" i="23"/>
  <c r="B21" i="23" s="1"/>
  <c r="C22" i="23" s="1"/>
  <c r="P25" i="23" l="1"/>
  <c r="Q26" i="23" s="1"/>
  <c r="S26" i="23" s="1"/>
  <c r="T26" i="23" s="1"/>
  <c r="I23" i="23"/>
  <c r="J24" i="23" s="1"/>
  <c r="L24" i="23" s="1"/>
  <c r="M24" i="23" s="1"/>
  <c r="D22" i="23"/>
  <c r="B22" i="23" s="1"/>
  <c r="C23" i="23" s="1"/>
  <c r="P26" i="23" l="1"/>
  <c r="Q27" i="23" s="1"/>
  <c r="S27" i="23" s="1"/>
  <c r="T27" i="23" s="1"/>
  <c r="I24" i="23"/>
  <c r="J25" i="23" s="1"/>
  <c r="L25" i="23" s="1"/>
  <c r="M25" i="23" s="1"/>
  <c r="D23" i="23"/>
  <c r="B23" i="23" s="1"/>
  <c r="C24" i="23" s="1"/>
  <c r="P27" i="23" l="1"/>
  <c r="Q28" i="23" s="1"/>
  <c r="S28" i="23" s="1"/>
  <c r="T28" i="23" s="1"/>
  <c r="I25" i="23"/>
  <c r="J26" i="23" s="1"/>
  <c r="L26" i="23" s="1"/>
  <c r="M26" i="23" s="1"/>
  <c r="D24" i="23"/>
  <c r="B24" i="23" s="1"/>
  <c r="C25" i="23" s="1"/>
  <c r="P28" i="23" l="1"/>
  <c r="Q29" i="23" s="1"/>
  <c r="S29" i="23" s="1"/>
  <c r="T29" i="23" s="1"/>
  <c r="I26" i="23"/>
  <c r="J27" i="23" s="1"/>
  <c r="L27" i="23" s="1"/>
  <c r="M27" i="23" s="1"/>
  <c r="D25" i="23"/>
  <c r="B25" i="23" s="1"/>
  <c r="C26" i="23" s="1"/>
  <c r="P29" i="23" l="1"/>
  <c r="Q30" i="23" s="1"/>
  <c r="S30" i="23" s="1"/>
  <c r="T30" i="23" s="1"/>
  <c r="I27" i="23"/>
  <c r="J28" i="23" s="1"/>
  <c r="L28" i="23" s="1"/>
  <c r="M28" i="23" s="1"/>
  <c r="D26" i="23"/>
  <c r="B26" i="23" s="1"/>
  <c r="C27" i="23" s="1"/>
  <c r="P30" i="23" l="1"/>
  <c r="Q31" i="23" s="1"/>
  <c r="S31" i="23" s="1"/>
  <c r="T31" i="23" s="1"/>
  <c r="I28" i="23"/>
  <c r="J29" i="23" s="1"/>
  <c r="L29" i="23" s="1"/>
  <c r="M29" i="23" s="1"/>
  <c r="D27" i="23"/>
  <c r="B27" i="23" s="1"/>
  <c r="C28" i="23" s="1"/>
  <c r="I29" i="23"/>
  <c r="J30" i="23" s="1"/>
  <c r="L30" i="23" s="1"/>
  <c r="M30" i="23" s="1"/>
  <c r="D40" i="3"/>
  <c r="E17" i="21"/>
  <c r="B19" i="3"/>
  <c r="E9" i="1"/>
  <c r="E8" i="1"/>
  <c r="C20" i="5"/>
  <c r="O31" i="10"/>
  <c r="O34" i="10"/>
  <c r="P27" i="10"/>
  <c r="Q27" i="10"/>
  <c r="P28" i="10"/>
  <c r="Q28" i="10"/>
  <c r="O28" i="10"/>
  <c r="O27" i="10"/>
  <c r="C109" i="21" l="1"/>
  <c r="P31" i="23"/>
  <c r="Q32" i="23" s="1"/>
  <c r="S32" i="23" s="1"/>
  <c r="T32" i="23" s="1"/>
  <c r="D28" i="23"/>
  <c r="B28" i="23" s="1"/>
  <c r="C29" i="23" s="1"/>
  <c r="I30" i="23"/>
  <c r="J31" i="23" s="1"/>
  <c r="L31" i="23" s="1"/>
  <c r="M31" i="23" s="1"/>
  <c r="I28" i="6"/>
  <c r="C52" i="6"/>
  <c r="P32" i="23" l="1"/>
  <c r="Q33" i="23" s="1"/>
  <c r="S33" i="23" s="1"/>
  <c r="T33" i="23" s="1"/>
  <c r="T7" i="23" s="1"/>
  <c r="T8" i="23" s="1"/>
  <c r="D29" i="23"/>
  <c r="B29" i="23" s="1"/>
  <c r="C30" i="23" s="1"/>
  <c r="I31" i="23"/>
  <c r="J32" i="23" s="1"/>
  <c r="L32" i="23" s="1"/>
  <c r="M32" i="23" s="1"/>
  <c r="D38" i="19"/>
  <c r="E38" i="19"/>
  <c r="C38" i="19"/>
  <c r="D24" i="19"/>
  <c r="E24" i="19"/>
  <c r="C24" i="19"/>
  <c r="E51" i="18"/>
  <c r="E95" i="18" s="1"/>
  <c r="F51" i="18"/>
  <c r="F95" i="18" s="1"/>
  <c r="G51" i="18"/>
  <c r="G95" i="18" s="1"/>
  <c r="H51" i="18"/>
  <c r="H95" i="18" s="1"/>
  <c r="I51" i="18"/>
  <c r="I95" i="18" s="1"/>
  <c r="J51" i="18"/>
  <c r="J95" i="18" s="1"/>
  <c r="K51" i="18"/>
  <c r="K95" i="18" s="1"/>
  <c r="L51" i="18"/>
  <c r="L95" i="18" s="1"/>
  <c r="E52" i="18"/>
  <c r="E96" i="18" s="1"/>
  <c r="F52" i="18"/>
  <c r="F96" i="18" s="1"/>
  <c r="G52" i="18"/>
  <c r="G96" i="18" s="1"/>
  <c r="H52" i="18"/>
  <c r="H96" i="18" s="1"/>
  <c r="I52" i="18"/>
  <c r="I96" i="18" s="1"/>
  <c r="J52" i="18"/>
  <c r="J96" i="18" s="1"/>
  <c r="K52" i="18"/>
  <c r="K96" i="18" s="1"/>
  <c r="L52" i="18"/>
  <c r="L96" i="18" s="1"/>
  <c r="E53" i="18"/>
  <c r="E97" i="18" s="1"/>
  <c r="F53" i="18"/>
  <c r="F97" i="18" s="1"/>
  <c r="G53" i="18"/>
  <c r="G97" i="18" s="1"/>
  <c r="H53" i="18"/>
  <c r="H97" i="18" s="1"/>
  <c r="I53" i="18"/>
  <c r="I97" i="18" s="1"/>
  <c r="J53" i="18"/>
  <c r="J97" i="18" s="1"/>
  <c r="K53" i="18"/>
  <c r="K97" i="18" s="1"/>
  <c r="L53" i="18"/>
  <c r="L97" i="18" s="1"/>
  <c r="E54" i="18"/>
  <c r="E98" i="18" s="1"/>
  <c r="F54" i="18"/>
  <c r="F98" i="18" s="1"/>
  <c r="G54" i="18"/>
  <c r="G98" i="18" s="1"/>
  <c r="H54" i="18"/>
  <c r="H98" i="18" s="1"/>
  <c r="I54" i="18"/>
  <c r="I98" i="18" s="1"/>
  <c r="J54" i="18"/>
  <c r="J98" i="18" s="1"/>
  <c r="K54" i="18"/>
  <c r="K98" i="18" s="1"/>
  <c r="L54" i="18"/>
  <c r="L98" i="18" s="1"/>
  <c r="E55" i="18"/>
  <c r="E99" i="18" s="1"/>
  <c r="F55" i="18"/>
  <c r="F99" i="18" s="1"/>
  <c r="G55" i="18"/>
  <c r="G99" i="18" s="1"/>
  <c r="H55" i="18"/>
  <c r="H99" i="18" s="1"/>
  <c r="I55" i="18"/>
  <c r="I99" i="18" s="1"/>
  <c r="J55" i="18"/>
  <c r="J99" i="18" s="1"/>
  <c r="K55" i="18"/>
  <c r="K99" i="18" s="1"/>
  <c r="L55" i="18"/>
  <c r="L99" i="18" s="1"/>
  <c r="E56" i="18"/>
  <c r="E100" i="18" s="1"/>
  <c r="F56" i="18"/>
  <c r="F100" i="18" s="1"/>
  <c r="G56" i="18"/>
  <c r="G100" i="18" s="1"/>
  <c r="H56" i="18"/>
  <c r="H100" i="18" s="1"/>
  <c r="I56" i="18"/>
  <c r="I100" i="18" s="1"/>
  <c r="J56" i="18"/>
  <c r="J100" i="18" s="1"/>
  <c r="K56" i="18"/>
  <c r="K100" i="18" s="1"/>
  <c r="L56" i="18"/>
  <c r="L100" i="18" s="1"/>
  <c r="E57" i="18"/>
  <c r="E101" i="18" s="1"/>
  <c r="F57" i="18"/>
  <c r="F101" i="18" s="1"/>
  <c r="G57" i="18"/>
  <c r="G101" i="18" s="1"/>
  <c r="H57" i="18"/>
  <c r="H101" i="18" s="1"/>
  <c r="I57" i="18"/>
  <c r="I101" i="18" s="1"/>
  <c r="J57" i="18"/>
  <c r="J101" i="18" s="1"/>
  <c r="K57" i="18"/>
  <c r="K101" i="18" s="1"/>
  <c r="L57" i="18"/>
  <c r="L101" i="18" s="1"/>
  <c r="E58" i="18"/>
  <c r="E102" i="18" s="1"/>
  <c r="F58" i="18"/>
  <c r="F102" i="18" s="1"/>
  <c r="G58" i="18"/>
  <c r="G102" i="18" s="1"/>
  <c r="H58" i="18"/>
  <c r="H102" i="18" s="1"/>
  <c r="I58" i="18"/>
  <c r="I102" i="18" s="1"/>
  <c r="J58" i="18"/>
  <c r="J102" i="18" s="1"/>
  <c r="K58" i="18"/>
  <c r="K102" i="18" s="1"/>
  <c r="L58" i="18"/>
  <c r="L102" i="18" s="1"/>
  <c r="E59" i="18"/>
  <c r="E103" i="18" s="1"/>
  <c r="F59" i="18"/>
  <c r="F103" i="18" s="1"/>
  <c r="G59" i="18"/>
  <c r="G103" i="18" s="1"/>
  <c r="H59" i="18"/>
  <c r="H103" i="18" s="1"/>
  <c r="I59" i="18"/>
  <c r="I103" i="18" s="1"/>
  <c r="J59" i="18"/>
  <c r="J103" i="18" s="1"/>
  <c r="K59" i="18"/>
  <c r="K103" i="18" s="1"/>
  <c r="L59" i="18"/>
  <c r="L103" i="18" s="1"/>
  <c r="E60" i="18"/>
  <c r="E104" i="18" s="1"/>
  <c r="F60" i="18"/>
  <c r="F104" i="18" s="1"/>
  <c r="G60" i="18"/>
  <c r="G104" i="18" s="1"/>
  <c r="H60" i="18"/>
  <c r="H104" i="18" s="1"/>
  <c r="I60" i="18"/>
  <c r="I104" i="18" s="1"/>
  <c r="J60" i="18"/>
  <c r="J104" i="18" s="1"/>
  <c r="K60" i="18"/>
  <c r="K104" i="18" s="1"/>
  <c r="L60" i="18"/>
  <c r="L104" i="18" s="1"/>
  <c r="E61" i="18"/>
  <c r="E105" i="18" s="1"/>
  <c r="F61" i="18"/>
  <c r="F105" i="18" s="1"/>
  <c r="G61" i="18"/>
  <c r="G105" i="18" s="1"/>
  <c r="H61" i="18"/>
  <c r="H105" i="18" s="1"/>
  <c r="I61" i="18"/>
  <c r="I105" i="18" s="1"/>
  <c r="J61" i="18"/>
  <c r="J105" i="18" s="1"/>
  <c r="K61" i="18"/>
  <c r="K105" i="18" s="1"/>
  <c r="L61" i="18"/>
  <c r="L105" i="18" s="1"/>
  <c r="E62" i="18"/>
  <c r="E106" i="18" s="1"/>
  <c r="F62" i="18"/>
  <c r="F106" i="18" s="1"/>
  <c r="G62" i="18"/>
  <c r="G106" i="18" s="1"/>
  <c r="H62" i="18"/>
  <c r="H106" i="18" s="1"/>
  <c r="I62" i="18"/>
  <c r="I106" i="18" s="1"/>
  <c r="J62" i="18"/>
  <c r="J106" i="18" s="1"/>
  <c r="K62" i="18"/>
  <c r="K106" i="18" s="1"/>
  <c r="L62" i="18"/>
  <c r="L106" i="18" s="1"/>
  <c r="E63" i="18"/>
  <c r="E107" i="18" s="1"/>
  <c r="F63" i="18"/>
  <c r="F107" i="18" s="1"/>
  <c r="G63" i="18"/>
  <c r="G107" i="18" s="1"/>
  <c r="H63" i="18"/>
  <c r="H107" i="18" s="1"/>
  <c r="I63" i="18"/>
  <c r="I107" i="18" s="1"/>
  <c r="J63" i="18"/>
  <c r="J107" i="18" s="1"/>
  <c r="K63" i="18"/>
  <c r="K107" i="18" s="1"/>
  <c r="L63" i="18"/>
  <c r="L107" i="18" s="1"/>
  <c r="E64" i="18"/>
  <c r="E108" i="18" s="1"/>
  <c r="F64" i="18"/>
  <c r="F108" i="18" s="1"/>
  <c r="G64" i="18"/>
  <c r="G108" i="18" s="1"/>
  <c r="H64" i="18"/>
  <c r="H108" i="18" s="1"/>
  <c r="I64" i="18"/>
  <c r="I108" i="18" s="1"/>
  <c r="J64" i="18"/>
  <c r="J108" i="18" s="1"/>
  <c r="K64" i="18"/>
  <c r="K108" i="18" s="1"/>
  <c r="L64" i="18"/>
  <c r="L108" i="18" s="1"/>
  <c r="E65" i="18"/>
  <c r="E109" i="18" s="1"/>
  <c r="F65" i="18"/>
  <c r="F109" i="18" s="1"/>
  <c r="G65" i="18"/>
  <c r="G109" i="18" s="1"/>
  <c r="H65" i="18"/>
  <c r="H109" i="18" s="1"/>
  <c r="I65" i="18"/>
  <c r="I109" i="18" s="1"/>
  <c r="J65" i="18"/>
  <c r="J109" i="18" s="1"/>
  <c r="K65" i="18"/>
  <c r="K109" i="18" s="1"/>
  <c r="L65" i="18"/>
  <c r="L109" i="18" s="1"/>
  <c r="E66" i="18"/>
  <c r="E110" i="18" s="1"/>
  <c r="F66" i="18"/>
  <c r="F110" i="18" s="1"/>
  <c r="G66" i="18"/>
  <c r="G110" i="18" s="1"/>
  <c r="H66" i="18"/>
  <c r="H110" i="18" s="1"/>
  <c r="I66" i="18"/>
  <c r="I110" i="18" s="1"/>
  <c r="J66" i="18"/>
  <c r="J110" i="18" s="1"/>
  <c r="K66" i="18"/>
  <c r="K110" i="18" s="1"/>
  <c r="L66" i="18"/>
  <c r="L110" i="18" s="1"/>
  <c r="E67" i="18"/>
  <c r="E111" i="18" s="1"/>
  <c r="F67" i="18"/>
  <c r="F111" i="18" s="1"/>
  <c r="G67" i="18"/>
  <c r="G111" i="18" s="1"/>
  <c r="H67" i="18"/>
  <c r="H111" i="18" s="1"/>
  <c r="I67" i="18"/>
  <c r="I111" i="18" s="1"/>
  <c r="J67" i="18"/>
  <c r="J111" i="18" s="1"/>
  <c r="K67" i="18"/>
  <c r="K111" i="18" s="1"/>
  <c r="L67" i="18"/>
  <c r="L111" i="18" s="1"/>
  <c r="E68" i="18"/>
  <c r="E112" i="18" s="1"/>
  <c r="F68" i="18"/>
  <c r="F112" i="18" s="1"/>
  <c r="G68" i="18"/>
  <c r="G112" i="18" s="1"/>
  <c r="H68" i="18"/>
  <c r="H112" i="18" s="1"/>
  <c r="I68" i="18"/>
  <c r="I112" i="18" s="1"/>
  <c r="J68" i="18"/>
  <c r="J112" i="18" s="1"/>
  <c r="K68" i="18"/>
  <c r="K112" i="18" s="1"/>
  <c r="L68" i="18"/>
  <c r="L112" i="18" s="1"/>
  <c r="E69" i="18"/>
  <c r="E113" i="18" s="1"/>
  <c r="F69" i="18"/>
  <c r="F113" i="18" s="1"/>
  <c r="G69" i="18"/>
  <c r="G113" i="18" s="1"/>
  <c r="H69" i="18"/>
  <c r="H113" i="18" s="1"/>
  <c r="I69" i="18"/>
  <c r="I113" i="18" s="1"/>
  <c r="J69" i="18"/>
  <c r="J113" i="18" s="1"/>
  <c r="K69" i="18"/>
  <c r="K113" i="18" s="1"/>
  <c r="L69" i="18"/>
  <c r="L113" i="18" s="1"/>
  <c r="E70" i="18"/>
  <c r="E114" i="18" s="1"/>
  <c r="F70" i="18"/>
  <c r="F114" i="18" s="1"/>
  <c r="G70" i="18"/>
  <c r="G114" i="18" s="1"/>
  <c r="H70" i="18"/>
  <c r="H114" i="18" s="1"/>
  <c r="I70" i="18"/>
  <c r="I114" i="18" s="1"/>
  <c r="J70" i="18"/>
  <c r="J114" i="18" s="1"/>
  <c r="K70" i="18"/>
  <c r="K114" i="18" s="1"/>
  <c r="L70" i="18"/>
  <c r="L114" i="18" s="1"/>
  <c r="E71" i="18"/>
  <c r="E115" i="18" s="1"/>
  <c r="F71" i="18"/>
  <c r="F115" i="18" s="1"/>
  <c r="G71" i="18"/>
  <c r="G115" i="18" s="1"/>
  <c r="H71" i="18"/>
  <c r="H115" i="18" s="1"/>
  <c r="I71" i="18"/>
  <c r="I115" i="18" s="1"/>
  <c r="J71" i="18"/>
  <c r="J115" i="18" s="1"/>
  <c r="K71" i="18"/>
  <c r="K115" i="18" s="1"/>
  <c r="L71" i="18"/>
  <c r="L115" i="18" s="1"/>
  <c r="E72" i="18"/>
  <c r="E116" i="18" s="1"/>
  <c r="F72" i="18"/>
  <c r="F116" i="18" s="1"/>
  <c r="G72" i="18"/>
  <c r="G116" i="18" s="1"/>
  <c r="H72" i="18"/>
  <c r="H116" i="18" s="1"/>
  <c r="I72" i="18"/>
  <c r="I116" i="18" s="1"/>
  <c r="J72" i="18"/>
  <c r="J116" i="18" s="1"/>
  <c r="K72" i="18"/>
  <c r="K116" i="18" s="1"/>
  <c r="L72" i="18"/>
  <c r="L116" i="18" s="1"/>
  <c r="E73" i="18"/>
  <c r="E117" i="18" s="1"/>
  <c r="F73" i="18"/>
  <c r="F117" i="18" s="1"/>
  <c r="G73" i="18"/>
  <c r="G117" i="18" s="1"/>
  <c r="H73" i="18"/>
  <c r="H117" i="18" s="1"/>
  <c r="I73" i="18"/>
  <c r="I117" i="18" s="1"/>
  <c r="J73" i="18"/>
  <c r="J117" i="18" s="1"/>
  <c r="K73" i="18"/>
  <c r="K117" i="18" s="1"/>
  <c r="L73" i="18"/>
  <c r="L117" i="18" s="1"/>
  <c r="E74" i="18"/>
  <c r="E118" i="18" s="1"/>
  <c r="F74" i="18"/>
  <c r="F118" i="18" s="1"/>
  <c r="G74" i="18"/>
  <c r="G118" i="18" s="1"/>
  <c r="H74" i="18"/>
  <c r="H118" i="18" s="1"/>
  <c r="I74" i="18"/>
  <c r="I118" i="18" s="1"/>
  <c r="J74" i="18"/>
  <c r="J118" i="18" s="1"/>
  <c r="K74" i="18"/>
  <c r="K118" i="18" s="1"/>
  <c r="L74" i="18"/>
  <c r="L118" i="18" s="1"/>
  <c r="E75" i="18"/>
  <c r="E119" i="18" s="1"/>
  <c r="F75" i="18"/>
  <c r="F119" i="18" s="1"/>
  <c r="G75" i="18"/>
  <c r="G119" i="18" s="1"/>
  <c r="H75" i="18"/>
  <c r="H119" i="18" s="1"/>
  <c r="I75" i="18"/>
  <c r="I119" i="18" s="1"/>
  <c r="J75" i="18"/>
  <c r="J119" i="18" s="1"/>
  <c r="K75" i="18"/>
  <c r="K119" i="18" s="1"/>
  <c r="L75" i="18"/>
  <c r="L119" i="18" s="1"/>
  <c r="E76" i="18"/>
  <c r="E120" i="18" s="1"/>
  <c r="F76" i="18"/>
  <c r="F120" i="18" s="1"/>
  <c r="G76" i="18"/>
  <c r="G120" i="18" s="1"/>
  <c r="H76" i="18"/>
  <c r="H120" i="18" s="1"/>
  <c r="I76" i="18"/>
  <c r="I120" i="18" s="1"/>
  <c r="J76" i="18"/>
  <c r="J120" i="18" s="1"/>
  <c r="K76" i="18"/>
  <c r="K120" i="18" s="1"/>
  <c r="L76" i="18"/>
  <c r="L120" i="18" s="1"/>
  <c r="E77" i="18"/>
  <c r="E121" i="18" s="1"/>
  <c r="F77" i="18"/>
  <c r="F121" i="18" s="1"/>
  <c r="G77" i="18"/>
  <c r="G121" i="18" s="1"/>
  <c r="H77" i="18"/>
  <c r="H121" i="18" s="1"/>
  <c r="I77" i="18"/>
  <c r="I121" i="18" s="1"/>
  <c r="J77" i="18"/>
  <c r="J121" i="18" s="1"/>
  <c r="K77" i="18"/>
  <c r="K121" i="18" s="1"/>
  <c r="L77" i="18"/>
  <c r="L121" i="18" s="1"/>
  <c r="E78" i="18"/>
  <c r="E122" i="18" s="1"/>
  <c r="F78" i="18"/>
  <c r="F122" i="18" s="1"/>
  <c r="G78" i="18"/>
  <c r="G122" i="18" s="1"/>
  <c r="H78" i="18"/>
  <c r="H122" i="18" s="1"/>
  <c r="I78" i="18"/>
  <c r="I122" i="18" s="1"/>
  <c r="J78" i="18"/>
  <c r="J122" i="18" s="1"/>
  <c r="K78" i="18"/>
  <c r="K122" i="18" s="1"/>
  <c r="L78" i="18"/>
  <c r="L122" i="18" s="1"/>
  <c r="E79" i="18"/>
  <c r="E123" i="18" s="1"/>
  <c r="F79" i="18"/>
  <c r="F123" i="18" s="1"/>
  <c r="G79" i="18"/>
  <c r="G123" i="18" s="1"/>
  <c r="H79" i="18"/>
  <c r="H123" i="18" s="1"/>
  <c r="I79" i="18"/>
  <c r="I123" i="18" s="1"/>
  <c r="J79" i="18"/>
  <c r="J123" i="18" s="1"/>
  <c r="K79" i="18"/>
  <c r="K123" i="18" s="1"/>
  <c r="L79" i="18"/>
  <c r="L123" i="18" s="1"/>
  <c r="E80" i="18"/>
  <c r="E124" i="18" s="1"/>
  <c r="F80" i="18"/>
  <c r="F124" i="18" s="1"/>
  <c r="G80" i="18"/>
  <c r="G124" i="18" s="1"/>
  <c r="H80" i="18"/>
  <c r="H124" i="18" s="1"/>
  <c r="I80" i="18"/>
  <c r="I124" i="18" s="1"/>
  <c r="J80" i="18"/>
  <c r="J124" i="18" s="1"/>
  <c r="K80" i="18"/>
  <c r="K124" i="18" s="1"/>
  <c r="L80" i="18"/>
  <c r="L124" i="18" s="1"/>
  <c r="E81" i="18"/>
  <c r="E125" i="18" s="1"/>
  <c r="F81" i="18"/>
  <c r="F125" i="18" s="1"/>
  <c r="G81" i="18"/>
  <c r="G125" i="18" s="1"/>
  <c r="H81" i="18"/>
  <c r="H125" i="18" s="1"/>
  <c r="I81" i="18"/>
  <c r="I125" i="18" s="1"/>
  <c r="J81" i="18"/>
  <c r="J125" i="18" s="1"/>
  <c r="K81" i="18"/>
  <c r="K125" i="18" s="1"/>
  <c r="L81" i="18"/>
  <c r="L125" i="18" s="1"/>
  <c r="E82" i="18"/>
  <c r="E126" i="18" s="1"/>
  <c r="F82" i="18"/>
  <c r="F126" i="18" s="1"/>
  <c r="G82" i="18"/>
  <c r="G126" i="18" s="1"/>
  <c r="H82" i="18"/>
  <c r="H126" i="18" s="1"/>
  <c r="I82" i="18"/>
  <c r="I126" i="18" s="1"/>
  <c r="J82" i="18"/>
  <c r="J126" i="18" s="1"/>
  <c r="K82" i="18"/>
  <c r="K126" i="18" s="1"/>
  <c r="L82" i="18"/>
  <c r="L126" i="18" s="1"/>
  <c r="E83" i="18"/>
  <c r="E127" i="18" s="1"/>
  <c r="F83" i="18"/>
  <c r="F127" i="18" s="1"/>
  <c r="G83" i="18"/>
  <c r="G127" i="18" s="1"/>
  <c r="H83" i="18"/>
  <c r="H127" i="18" s="1"/>
  <c r="I83" i="18"/>
  <c r="I127" i="18" s="1"/>
  <c r="J83" i="18"/>
  <c r="J127" i="18" s="1"/>
  <c r="K83" i="18"/>
  <c r="K127" i="18" s="1"/>
  <c r="L83" i="18"/>
  <c r="L127" i="18" s="1"/>
  <c r="E84" i="18"/>
  <c r="E128" i="18" s="1"/>
  <c r="F84" i="18"/>
  <c r="F128" i="18" s="1"/>
  <c r="G84" i="18"/>
  <c r="G128" i="18" s="1"/>
  <c r="H84" i="18"/>
  <c r="H128" i="18" s="1"/>
  <c r="I84" i="18"/>
  <c r="I128" i="18" s="1"/>
  <c r="J84" i="18"/>
  <c r="J128" i="18" s="1"/>
  <c r="K84" i="18"/>
  <c r="K128" i="18" s="1"/>
  <c r="L84" i="18"/>
  <c r="L128" i="18" s="1"/>
  <c r="E85" i="18"/>
  <c r="E129" i="18" s="1"/>
  <c r="F85" i="18"/>
  <c r="F129" i="18" s="1"/>
  <c r="G85" i="18"/>
  <c r="G129" i="18" s="1"/>
  <c r="H85" i="18"/>
  <c r="H129" i="18" s="1"/>
  <c r="I85" i="18"/>
  <c r="I129" i="18" s="1"/>
  <c r="J85" i="18"/>
  <c r="J129" i="18" s="1"/>
  <c r="K85" i="18"/>
  <c r="K129" i="18" s="1"/>
  <c r="L85" i="18"/>
  <c r="L129" i="18" s="1"/>
  <c r="E86" i="18"/>
  <c r="E130" i="18" s="1"/>
  <c r="F86" i="18"/>
  <c r="F130" i="18" s="1"/>
  <c r="G86" i="18"/>
  <c r="G130" i="18" s="1"/>
  <c r="H86" i="18"/>
  <c r="H130" i="18" s="1"/>
  <c r="I86" i="18"/>
  <c r="I130" i="18" s="1"/>
  <c r="J86" i="18"/>
  <c r="J130" i="18" s="1"/>
  <c r="K86" i="18"/>
  <c r="K130" i="18" s="1"/>
  <c r="L86" i="18"/>
  <c r="L130" i="18" s="1"/>
  <c r="E87" i="18"/>
  <c r="E131" i="18" s="1"/>
  <c r="F87" i="18"/>
  <c r="F131" i="18" s="1"/>
  <c r="G87" i="18"/>
  <c r="G131" i="18" s="1"/>
  <c r="H87" i="18"/>
  <c r="H131" i="18" s="1"/>
  <c r="I87" i="18"/>
  <c r="I131" i="18" s="1"/>
  <c r="J87" i="18"/>
  <c r="J131" i="18" s="1"/>
  <c r="K87" i="18"/>
  <c r="K131" i="18" s="1"/>
  <c r="L87" i="18"/>
  <c r="L131" i="18" s="1"/>
  <c r="E88" i="18"/>
  <c r="E132" i="18" s="1"/>
  <c r="F88" i="18"/>
  <c r="F132" i="18" s="1"/>
  <c r="G88" i="18"/>
  <c r="G132" i="18" s="1"/>
  <c r="H88" i="18"/>
  <c r="H132" i="18" s="1"/>
  <c r="I88" i="18"/>
  <c r="I132" i="18" s="1"/>
  <c r="J88" i="18"/>
  <c r="J132" i="18" s="1"/>
  <c r="K88" i="18"/>
  <c r="K132" i="18" s="1"/>
  <c r="L88" i="18"/>
  <c r="L132" i="18" s="1"/>
  <c r="E89" i="18"/>
  <c r="E133" i="18" s="1"/>
  <c r="F89" i="18"/>
  <c r="F133" i="18" s="1"/>
  <c r="G89" i="18"/>
  <c r="G133" i="18" s="1"/>
  <c r="H89" i="18"/>
  <c r="H133" i="18" s="1"/>
  <c r="I89" i="18"/>
  <c r="I133" i="18" s="1"/>
  <c r="J89" i="18"/>
  <c r="J133" i="18" s="1"/>
  <c r="K89" i="18"/>
  <c r="K133" i="18" s="1"/>
  <c r="L89" i="18"/>
  <c r="L133" i="18" s="1"/>
  <c r="D51" i="18"/>
  <c r="E142" i="3"/>
  <c r="A143" i="3"/>
  <c r="B143" i="3"/>
  <c r="C143" i="3"/>
  <c r="E143" i="3"/>
  <c r="A144" i="3"/>
  <c r="B144" i="3"/>
  <c r="C144" i="3"/>
  <c r="E144" i="3"/>
  <c r="A145" i="3"/>
  <c r="B145" i="3"/>
  <c r="C145" i="3"/>
  <c r="E145" i="3"/>
  <c r="A146" i="3"/>
  <c r="B146" i="3"/>
  <c r="C146" i="3"/>
  <c r="E146" i="3"/>
  <c r="A147" i="3"/>
  <c r="B147" i="3"/>
  <c r="C147" i="3"/>
  <c r="E147" i="3"/>
  <c r="A148" i="3"/>
  <c r="C148" i="3"/>
  <c r="E148" i="3"/>
  <c r="A149" i="3"/>
  <c r="B149" i="3"/>
  <c r="C149" i="3"/>
  <c r="E149" i="3"/>
  <c r="A150" i="3"/>
  <c r="B150" i="3"/>
  <c r="C150" i="3"/>
  <c r="E150" i="3"/>
  <c r="A151" i="3"/>
  <c r="B151" i="3"/>
  <c r="C151" i="3"/>
  <c r="E151" i="3"/>
  <c r="A152" i="3"/>
  <c r="B152" i="3"/>
  <c r="C152" i="3"/>
  <c r="D152" i="3"/>
  <c r="E152" i="3"/>
  <c r="A153" i="3"/>
  <c r="B153" i="3"/>
  <c r="C153" i="3"/>
  <c r="D153" i="3"/>
  <c r="A154" i="3"/>
  <c r="B154" i="3"/>
  <c r="C154" i="3"/>
  <c r="D154" i="3"/>
  <c r="R18" i="3"/>
  <c r="C18" i="3"/>
  <c r="C50" i="3"/>
  <c r="D38" i="3"/>
  <c r="D144" i="3" s="1"/>
  <c r="I158" i="3" s="1"/>
  <c r="R50" i="3"/>
  <c r="C21" i="3" l="1"/>
  <c r="C20" i="3"/>
  <c r="D30" i="23"/>
  <c r="B30" i="23" s="1"/>
  <c r="C31" i="23" s="1"/>
  <c r="I32" i="23"/>
  <c r="J33" i="23" s="1"/>
  <c r="L33" i="23" s="1"/>
  <c r="M33" i="23" s="1"/>
  <c r="L7" i="23" s="1"/>
  <c r="L8" i="23" s="1"/>
  <c r="S18" i="3"/>
  <c r="R22" i="3"/>
  <c r="C53" i="3"/>
  <c r="R20" i="3"/>
  <c r="S50" i="3"/>
  <c r="S53" i="3" s="1"/>
  <c r="R52" i="3"/>
  <c r="C22" i="3"/>
  <c r="C23" i="3" s="1"/>
  <c r="B132" i="3" s="1"/>
  <c r="R21" i="3"/>
  <c r="C159" i="3"/>
  <c r="C52" i="3"/>
  <c r="D18" i="3"/>
  <c r="D21" i="3" s="1"/>
  <c r="R53" i="3"/>
  <c r="D50" i="3"/>
  <c r="D52" i="3" s="1"/>
  <c r="D22" i="3" l="1"/>
  <c r="C24" i="3"/>
  <c r="D31" i="23"/>
  <c r="B31" i="23" s="1"/>
  <c r="C32" i="23" s="1"/>
  <c r="I33" i="23"/>
  <c r="R23" i="3"/>
  <c r="S52" i="3"/>
  <c r="T50" i="3"/>
  <c r="U50" i="3" s="1"/>
  <c r="T18" i="3"/>
  <c r="S20" i="3"/>
  <c r="S21" i="3"/>
  <c r="S22" i="3"/>
  <c r="E18" i="3"/>
  <c r="D20" i="3"/>
  <c r="D23" i="3" s="1"/>
  <c r="D24" i="3" s="1"/>
  <c r="E50" i="3"/>
  <c r="F50" i="3" s="1"/>
  <c r="F52" i="3" s="1"/>
  <c r="D53" i="3"/>
  <c r="R24" i="3" l="1"/>
  <c r="B133" i="3"/>
  <c r="T53" i="3"/>
  <c r="D32" i="23"/>
  <c r="B32" i="23" s="1"/>
  <c r="C33" i="23" s="1"/>
  <c r="S23" i="3"/>
  <c r="S24" i="3" s="1"/>
  <c r="U52" i="3"/>
  <c r="U18" i="3"/>
  <c r="T20" i="3"/>
  <c r="T21" i="3"/>
  <c r="T22" i="3"/>
  <c r="T52" i="3"/>
  <c r="E52" i="3"/>
  <c r="E53" i="3"/>
  <c r="F18" i="3"/>
  <c r="E20" i="3"/>
  <c r="E22" i="3"/>
  <c r="E21" i="3"/>
  <c r="U53" i="3"/>
  <c r="V50" i="3"/>
  <c r="F53" i="3"/>
  <c r="G50" i="3"/>
  <c r="G52" i="3" s="1"/>
  <c r="D33" i="23" l="1"/>
  <c r="B33" i="23" s="1"/>
  <c r="T23" i="3"/>
  <c r="T24" i="3" s="1"/>
  <c r="V18" i="3"/>
  <c r="U20" i="3"/>
  <c r="U22" i="3"/>
  <c r="U21" i="3"/>
  <c r="E23" i="3"/>
  <c r="V52" i="3"/>
  <c r="G18" i="3"/>
  <c r="F20" i="3"/>
  <c r="F21" i="3"/>
  <c r="F22" i="3"/>
  <c r="W50" i="3"/>
  <c r="V53" i="3"/>
  <c r="G53" i="3"/>
  <c r="H50" i="3"/>
  <c r="H52" i="3" s="1"/>
  <c r="E24" i="3" l="1"/>
  <c r="U23" i="3"/>
  <c r="U24" i="3" s="1"/>
  <c r="W52" i="3"/>
  <c r="W18" i="3"/>
  <c r="V20" i="3"/>
  <c r="V22" i="3"/>
  <c r="V21" i="3"/>
  <c r="F23" i="3"/>
  <c r="F24" i="3" s="1"/>
  <c r="H18" i="3"/>
  <c r="G20" i="3"/>
  <c r="G21" i="3"/>
  <c r="G22" i="3"/>
  <c r="X50" i="3"/>
  <c r="W53" i="3"/>
  <c r="H53" i="3"/>
  <c r="I50" i="3"/>
  <c r="I52" i="3" s="1"/>
  <c r="V23" i="3" l="1"/>
  <c r="V24" i="3" s="1"/>
  <c r="G23" i="3"/>
  <c r="X18" i="3"/>
  <c r="W20" i="3"/>
  <c r="W21" i="3"/>
  <c r="W22" i="3"/>
  <c r="X52" i="3"/>
  <c r="I18" i="3"/>
  <c r="H20" i="3"/>
  <c r="H21" i="3"/>
  <c r="H22" i="3"/>
  <c r="J50" i="3"/>
  <c r="J52" i="3" s="1"/>
  <c r="Y50" i="3"/>
  <c r="X53" i="3"/>
  <c r="I53" i="3"/>
  <c r="G24" i="3" l="1"/>
  <c r="W23" i="3"/>
  <c r="W24" i="3" s="1"/>
  <c r="Y18" i="3"/>
  <c r="X20" i="3"/>
  <c r="X21" i="3"/>
  <c r="X22" i="3"/>
  <c r="Y52" i="3"/>
  <c r="H23" i="3"/>
  <c r="H24" i="3" s="1"/>
  <c r="J18" i="3"/>
  <c r="I20" i="3"/>
  <c r="I21" i="3"/>
  <c r="I22" i="3"/>
  <c r="J53" i="3"/>
  <c r="K50" i="3"/>
  <c r="K52" i="3" s="1"/>
  <c r="Z50" i="3"/>
  <c r="Y53" i="3"/>
  <c r="X23" i="3" l="1"/>
  <c r="X24" i="3" s="1"/>
  <c r="I23" i="3"/>
  <c r="I24" i="3" s="1"/>
  <c r="Z18" i="3"/>
  <c r="Y20" i="3"/>
  <c r="Y21" i="3"/>
  <c r="Y22" i="3"/>
  <c r="Z52" i="3"/>
  <c r="K53" i="3"/>
  <c r="L50" i="3"/>
  <c r="L52" i="3" s="1"/>
  <c r="J21" i="3"/>
  <c r="K18" i="3"/>
  <c r="J20" i="3"/>
  <c r="J22" i="3"/>
  <c r="AA50" i="3"/>
  <c r="Z53" i="3"/>
  <c r="AA18" i="3" l="1"/>
  <c r="Z20" i="3"/>
  <c r="Z21" i="3"/>
  <c r="Z22" i="3"/>
  <c r="Y23" i="3"/>
  <c r="Y24" i="3" s="1"/>
  <c r="L53" i="3"/>
  <c r="J23" i="3"/>
  <c r="J24" i="3" s="1"/>
  <c r="L18" i="3"/>
  <c r="K21" i="3"/>
  <c r="K22" i="3"/>
  <c r="K20" i="3"/>
  <c r="AA53" i="3"/>
  <c r="Z23" i="3" l="1"/>
  <c r="Z24" i="3" s="1"/>
  <c r="AA20" i="3"/>
  <c r="AA21" i="3"/>
  <c r="AA22" i="3"/>
  <c r="K23" i="3"/>
  <c r="K24" i="3" s="1"/>
  <c r="L20" i="3"/>
  <c r="L21" i="3"/>
  <c r="L22" i="3"/>
  <c r="AA23" i="3" l="1"/>
  <c r="AA24" i="3" s="1"/>
  <c r="L23" i="3"/>
  <c r="E23" i="21"/>
  <c r="F23" i="21" s="1"/>
  <c r="E24" i="21"/>
  <c r="F24" i="21" s="1"/>
  <c r="E25" i="21"/>
  <c r="F25" i="21"/>
  <c r="E26" i="21"/>
  <c r="F26" i="21" s="1"/>
  <c r="E27" i="21"/>
  <c r="F27" i="21"/>
  <c r="E28" i="21"/>
  <c r="F28" i="21" s="1"/>
  <c r="E29" i="21"/>
  <c r="F29" i="21"/>
  <c r="E30" i="21"/>
  <c r="F30" i="21" s="1"/>
  <c r="E31" i="21"/>
  <c r="F31" i="21" s="1"/>
  <c r="E32" i="21"/>
  <c r="F32" i="21" s="1"/>
  <c r="E33" i="21"/>
  <c r="F33" i="21"/>
  <c r="E34" i="21"/>
  <c r="F34" i="21"/>
  <c r="E35" i="21"/>
  <c r="F35" i="21" s="1"/>
  <c r="E36" i="21"/>
  <c r="F36" i="21" s="1"/>
  <c r="E37" i="21"/>
  <c r="F37" i="21" s="1"/>
  <c r="E38" i="21"/>
  <c r="F38" i="21"/>
  <c r="E39" i="21"/>
  <c r="F39" i="21" s="1"/>
  <c r="E40" i="21"/>
  <c r="F40" i="21" s="1"/>
  <c r="E41" i="21"/>
  <c r="F41" i="21"/>
  <c r="S54" i="16"/>
  <c r="T54" i="16" s="1"/>
  <c r="S55" i="16"/>
  <c r="T55" i="16" s="1"/>
  <c r="S56" i="16"/>
  <c r="T56" i="16"/>
  <c r="S57" i="16"/>
  <c r="T57" i="16" s="1"/>
  <c r="S58" i="16"/>
  <c r="T58" i="16"/>
  <c r="S59" i="16"/>
  <c r="T59" i="16" s="1"/>
  <c r="S60" i="16"/>
  <c r="T60" i="16" s="1"/>
  <c r="S61" i="16"/>
  <c r="T61" i="16"/>
  <c r="S62" i="16"/>
  <c r="T62" i="16" s="1"/>
  <c r="S63" i="16"/>
  <c r="T63" i="16" s="1"/>
  <c r="S64" i="16"/>
  <c r="T64" i="16" s="1"/>
  <c r="L54" i="16"/>
  <c r="M54" i="16"/>
  <c r="L55" i="16"/>
  <c r="M55" i="16" s="1"/>
  <c r="L56" i="16"/>
  <c r="M56" i="16"/>
  <c r="L57" i="16"/>
  <c r="M57" i="16" s="1"/>
  <c r="L58" i="16"/>
  <c r="M58" i="16" s="1"/>
  <c r="L59" i="16"/>
  <c r="M59" i="16" s="1"/>
  <c r="L60" i="16"/>
  <c r="M60" i="16" s="1"/>
  <c r="L61" i="16"/>
  <c r="M61" i="16" s="1"/>
  <c r="L62" i="16"/>
  <c r="M62" i="16" s="1"/>
  <c r="L63" i="16"/>
  <c r="M63" i="16" s="1"/>
  <c r="L64" i="16"/>
  <c r="M64" i="16" s="1"/>
  <c r="E54" i="16"/>
  <c r="F54" i="16" s="1"/>
  <c r="E55" i="16"/>
  <c r="F55" i="16" s="1"/>
  <c r="E56" i="16"/>
  <c r="F56" i="16" s="1"/>
  <c r="E57" i="16"/>
  <c r="F57" i="16" s="1"/>
  <c r="E58" i="16"/>
  <c r="F58" i="16" s="1"/>
  <c r="E59" i="16"/>
  <c r="F59" i="16" s="1"/>
  <c r="E60" i="16"/>
  <c r="F60" i="16"/>
  <c r="E61" i="16"/>
  <c r="F61" i="16"/>
  <c r="E62" i="16"/>
  <c r="F62" i="16" s="1"/>
  <c r="E63" i="16"/>
  <c r="F63" i="16" s="1"/>
  <c r="E64" i="16"/>
  <c r="F64" i="16"/>
  <c r="L24" i="3" l="1"/>
  <c r="I34" i="6"/>
  <c r="F153" i="18"/>
  <c r="S48" i="3"/>
  <c r="E21" i="1"/>
  <c r="E49" i="16"/>
  <c r="C112" i="16" l="1"/>
  <c r="C113" i="16" s="1"/>
  <c r="C90" i="16"/>
  <c r="B8" i="17" s="1"/>
  <c r="C110" i="21"/>
  <c r="E50" i="16"/>
  <c r="E51" i="16"/>
  <c r="F51" i="16" s="1"/>
  <c r="E52" i="16"/>
  <c r="F52" i="16" s="1"/>
  <c r="E53" i="16"/>
  <c r="F53" i="16" s="1"/>
  <c r="E65" i="16"/>
  <c r="F65" i="16" s="1"/>
  <c r="E66" i="16"/>
  <c r="F66" i="16" s="1"/>
  <c r="E67" i="16"/>
  <c r="F67" i="16" s="1"/>
  <c r="E68" i="16"/>
  <c r="F68" i="16" s="1"/>
  <c r="E69" i="16"/>
  <c r="F69" i="16" s="1"/>
  <c r="E70" i="16"/>
  <c r="F70" i="16" s="1"/>
  <c r="E71" i="16"/>
  <c r="F71" i="16" s="1"/>
  <c r="E72" i="16"/>
  <c r="F72" i="16" s="1"/>
  <c r="E73" i="16"/>
  <c r="F73" i="16" s="1"/>
  <c r="L49" i="16"/>
  <c r="M49" i="16" s="1"/>
  <c r="N49" i="16" s="1"/>
  <c r="L50" i="16"/>
  <c r="M50" i="16" s="1"/>
  <c r="L51" i="16"/>
  <c r="M51" i="16" s="1"/>
  <c r="L52" i="16"/>
  <c r="M52" i="16" s="1"/>
  <c r="L53" i="16"/>
  <c r="M53" i="16" s="1"/>
  <c r="L65" i="16"/>
  <c r="M65" i="16" s="1"/>
  <c r="L66" i="16"/>
  <c r="M66" i="16" s="1"/>
  <c r="L67" i="16"/>
  <c r="M67" i="16" s="1"/>
  <c r="L68" i="16"/>
  <c r="M68" i="16" s="1"/>
  <c r="L69" i="16"/>
  <c r="M69" i="16" s="1"/>
  <c r="L70" i="16"/>
  <c r="M70" i="16" s="1"/>
  <c r="L71" i="16"/>
  <c r="M71" i="16" s="1"/>
  <c r="L72" i="16"/>
  <c r="M72" i="16" s="1"/>
  <c r="L73" i="16"/>
  <c r="M73" i="16" s="1"/>
  <c r="S49" i="16"/>
  <c r="T49" i="16" s="1"/>
  <c r="U49" i="16" s="1"/>
  <c r="S50" i="16"/>
  <c r="T50" i="16" s="1"/>
  <c r="S51" i="16"/>
  <c r="T51" i="16" s="1"/>
  <c r="S52" i="16"/>
  <c r="T52" i="16" s="1"/>
  <c r="S53" i="16"/>
  <c r="T53" i="16" s="1"/>
  <c r="S65" i="16"/>
  <c r="T65" i="16" s="1"/>
  <c r="S66" i="16"/>
  <c r="T66" i="16" s="1"/>
  <c r="S67" i="16"/>
  <c r="T67" i="16" s="1"/>
  <c r="S68" i="16"/>
  <c r="T68" i="16" s="1"/>
  <c r="S69" i="16"/>
  <c r="T69" i="16" s="1"/>
  <c r="S70" i="16"/>
  <c r="T70" i="16" s="1"/>
  <c r="S71" i="16"/>
  <c r="T71" i="16" s="1"/>
  <c r="S72" i="16"/>
  <c r="T72" i="16" s="1"/>
  <c r="S73" i="16"/>
  <c r="T73" i="16" s="1"/>
  <c r="E26" i="22"/>
  <c r="E27" i="22" s="1"/>
  <c r="D26" i="22"/>
  <c r="E20" i="22"/>
  <c r="E19" i="22"/>
  <c r="E21" i="22" s="1"/>
  <c r="C42" i="22"/>
  <c r="B42" i="22"/>
  <c r="D20" i="22"/>
  <c r="D19" i="22"/>
  <c r="D18" i="22"/>
  <c r="D17" i="22"/>
  <c r="D14" i="22"/>
  <c r="C25" i="22"/>
  <c r="B25" i="22"/>
  <c r="C26" i="22"/>
  <c r="B26" i="22"/>
  <c r="B41" i="22"/>
  <c r="B44" i="22"/>
  <c r="B39" i="22"/>
  <c r="C37" i="22"/>
  <c r="B38" i="22"/>
  <c r="B37" i="22"/>
  <c r="B35" i="22"/>
  <c r="B28" i="22"/>
  <c r="B27" i="22"/>
  <c r="B24" i="22"/>
  <c r="C23" i="22"/>
  <c r="C62" i="22" s="1"/>
  <c r="B22" i="22"/>
  <c r="B18" i="22"/>
  <c r="C14" i="22"/>
  <c r="B15" i="22"/>
  <c r="B14" i="22"/>
  <c r="B13" i="22"/>
  <c r="C10" i="22"/>
  <c r="C19" i="22" s="1"/>
  <c r="B10" i="22"/>
  <c r="B9" i="22"/>
  <c r="B36" i="17" l="1"/>
  <c r="C35" i="17" s="1"/>
  <c r="C29" i="22"/>
  <c r="F50" i="16"/>
  <c r="F49" i="16"/>
  <c r="N50" i="16"/>
  <c r="N51" i="16" s="1"/>
  <c r="N52" i="16" s="1"/>
  <c r="N53" i="16" s="1"/>
  <c r="U50" i="16"/>
  <c r="U51" i="16" s="1"/>
  <c r="U52" i="16" s="1"/>
  <c r="U53" i="16" s="1"/>
  <c r="G49" i="16" l="1"/>
  <c r="C91" i="16"/>
  <c r="U65" i="16"/>
  <c r="U66" i="16" s="1"/>
  <c r="U67" i="16" s="1"/>
  <c r="U68" i="16" s="1"/>
  <c r="U69" i="16" s="1"/>
  <c r="U70" i="16" s="1"/>
  <c r="U71" i="16" s="1"/>
  <c r="U72" i="16" s="1"/>
  <c r="U73" i="16" s="1"/>
  <c r="U54" i="16"/>
  <c r="U55" i="16" s="1"/>
  <c r="U56" i="16" s="1"/>
  <c r="U57" i="16" s="1"/>
  <c r="U58" i="16" s="1"/>
  <c r="U59" i="16" s="1"/>
  <c r="U60" i="16" s="1"/>
  <c r="U61" i="16" s="1"/>
  <c r="U62" i="16" s="1"/>
  <c r="U63" i="16" s="1"/>
  <c r="U64" i="16" s="1"/>
  <c r="N65" i="16"/>
  <c r="N66" i="16" s="1"/>
  <c r="N67" i="16" s="1"/>
  <c r="N68" i="16" s="1"/>
  <c r="N69" i="16" s="1"/>
  <c r="N70" i="16" s="1"/>
  <c r="N71" i="16" s="1"/>
  <c r="N72" i="16" s="1"/>
  <c r="N73" i="16" s="1"/>
  <c r="N54" i="16"/>
  <c r="N55" i="16" s="1"/>
  <c r="N56" i="16" s="1"/>
  <c r="N57" i="16" s="1"/>
  <c r="N58" i="16" s="1"/>
  <c r="N59" i="16" s="1"/>
  <c r="N60" i="16" s="1"/>
  <c r="N61" i="16" s="1"/>
  <c r="N62" i="16" s="1"/>
  <c r="N63" i="16" s="1"/>
  <c r="N64" i="16" s="1"/>
  <c r="G50" i="16"/>
  <c r="G51" i="16" s="1"/>
  <c r="G52" i="16" s="1"/>
  <c r="G53" i="16" s="1"/>
  <c r="D70" i="7"/>
  <c r="R144" i="3"/>
  <c r="R145" i="3"/>
  <c r="R146" i="3"/>
  <c r="R147" i="3"/>
  <c r="R148" i="3"/>
  <c r="R149" i="3"/>
  <c r="R150" i="3"/>
  <c r="R151" i="3"/>
  <c r="R143" i="3"/>
  <c r="G65" i="16" l="1"/>
  <c r="G66" i="16" s="1"/>
  <c r="G67" i="16" s="1"/>
  <c r="G68" i="16" s="1"/>
  <c r="G69" i="16" s="1"/>
  <c r="G70" i="16" s="1"/>
  <c r="G71" i="16" s="1"/>
  <c r="G72" i="16" s="1"/>
  <c r="G73" i="16" s="1"/>
  <c r="G54" i="16"/>
  <c r="G55" i="16" s="1"/>
  <c r="G56" i="16" s="1"/>
  <c r="G57" i="16" s="1"/>
  <c r="G58" i="16" s="1"/>
  <c r="G59" i="16" s="1"/>
  <c r="G60" i="16" s="1"/>
  <c r="G61" i="16" s="1"/>
  <c r="G62" i="16" s="1"/>
  <c r="G63" i="16" s="1"/>
  <c r="G64" i="16" s="1"/>
  <c r="Q142" i="3"/>
  <c r="R142" i="3"/>
  <c r="S142" i="3"/>
  <c r="T142" i="3"/>
  <c r="Q143" i="3"/>
  <c r="Q145" i="3"/>
  <c r="V159" i="3" s="1"/>
  <c r="Q146" i="3"/>
  <c r="Q147" i="3"/>
  <c r="Q148" i="3"/>
  <c r="Q149" i="3"/>
  <c r="Q150" i="3"/>
  <c r="Q151" i="3"/>
  <c r="Q152" i="3"/>
  <c r="R152" i="3"/>
  <c r="S152" i="3"/>
  <c r="T152" i="3"/>
  <c r="Q153" i="3"/>
  <c r="R153" i="3"/>
  <c r="S153" i="3"/>
  <c r="Q154" i="3"/>
  <c r="R154" i="3"/>
  <c r="P143" i="3"/>
  <c r="P144" i="3"/>
  <c r="P145" i="3"/>
  <c r="P146" i="3"/>
  <c r="P147" i="3"/>
  <c r="P148" i="3"/>
  <c r="P149" i="3"/>
  <c r="P150" i="3"/>
  <c r="P151" i="3"/>
  <c r="P152" i="3"/>
  <c r="P153" i="3"/>
  <c r="P154" i="3"/>
  <c r="P142" i="3"/>
  <c r="S44" i="3"/>
  <c r="S45" i="3"/>
  <c r="S151" i="3" s="1"/>
  <c r="D43" i="3"/>
  <c r="D39" i="3"/>
  <c r="D145" i="3" s="1"/>
  <c r="D146" i="3"/>
  <c r="D41" i="3"/>
  <c r="D147" i="3" s="1"/>
  <c r="D42" i="3"/>
  <c r="D148" i="3" s="1"/>
  <c r="D44" i="3"/>
  <c r="D150" i="3" s="1"/>
  <c r="D37" i="3"/>
  <c r="D143" i="3" s="1"/>
  <c r="B157" i="3" s="1"/>
  <c r="B161" i="3" s="1"/>
  <c r="B162" i="3" l="1"/>
  <c r="D149" i="3"/>
  <c r="G159" i="3"/>
  <c r="I159" i="3"/>
  <c r="F159" i="3"/>
  <c r="H159" i="3"/>
  <c r="D159" i="3"/>
  <c r="E159" i="3"/>
  <c r="X159" i="3"/>
  <c r="R159" i="3"/>
  <c r="S159" i="3"/>
  <c r="T159" i="3"/>
  <c r="U159" i="3"/>
  <c r="S150" i="3"/>
  <c r="W159" i="3"/>
  <c r="D45" i="3" l="1"/>
  <c r="D151" i="3" l="1"/>
  <c r="C54" i="3"/>
  <c r="E54" i="3"/>
  <c r="F54" i="3"/>
  <c r="G54" i="3"/>
  <c r="H54" i="3"/>
  <c r="I54" i="3"/>
  <c r="I55" i="3" s="1"/>
  <c r="C160" i="3"/>
  <c r="C161" i="3" s="1"/>
  <c r="B164" i="3" s="1"/>
  <c r="H160" i="3"/>
  <c r="H161" i="3" s="1"/>
  <c r="H162" i="3" s="1"/>
  <c r="I160" i="3"/>
  <c r="I161" i="3" s="1"/>
  <c r="I162" i="3" s="1"/>
  <c r="G160" i="3"/>
  <c r="G161" i="3" s="1"/>
  <c r="G162" i="3" s="1"/>
  <c r="E160" i="3"/>
  <c r="E161" i="3" s="1"/>
  <c r="E162" i="3" s="1"/>
  <c r="F160" i="3"/>
  <c r="F161" i="3" s="1"/>
  <c r="F162" i="3" s="1"/>
  <c r="D160" i="3"/>
  <c r="D161" i="3" s="1"/>
  <c r="D162" i="3" s="1"/>
  <c r="C55" i="3"/>
  <c r="K54" i="3"/>
  <c r="D54" i="3"/>
  <c r="L54" i="3"/>
  <c r="J54" i="3"/>
  <c r="C162" i="3" l="1"/>
  <c r="B163" i="3" s="1"/>
  <c r="C168" i="3" s="1"/>
  <c r="L55" i="3"/>
  <c r="L56" i="3" s="1"/>
  <c r="H55" i="3"/>
  <c r="H56" i="3" s="1"/>
  <c r="C56" i="3"/>
  <c r="J55" i="3"/>
  <c r="J56" i="3" s="1"/>
  <c r="D55" i="3"/>
  <c r="D56" i="3" s="1"/>
  <c r="E55" i="3"/>
  <c r="E56" i="3" s="1"/>
  <c r="K55" i="3"/>
  <c r="K56" i="3" s="1"/>
  <c r="F55" i="3"/>
  <c r="F56" i="3" s="1"/>
  <c r="G55" i="3"/>
  <c r="G56" i="3" s="1"/>
  <c r="S43" i="3"/>
  <c r="S149" i="3" s="1"/>
  <c r="C174" i="3" l="1"/>
  <c r="C178" i="3"/>
  <c r="C173" i="3"/>
  <c r="C169" i="3"/>
  <c r="C170" i="3"/>
  <c r="C176" i="3"/>
  <c r="C177" i="3"/>
  <c r="C172" i="3"/>
  <c r="C175" i="3"/>
  <c r="C171" i="3"/>
  <c r="C36" i="22"/>
  <c r="C40" i="22" l="1"/>
  <c r="C60" i="22"/>
  <c r="C43" i="22" l="1"/>
  <c r="C45" i="22" s="1"/>
  <c r="C30" i="22"/>
  <c r="C55" i="22" s="1"/>
  <c r="C63" i="22"/>
  <c r="B54" i="8"/>
  <c r="C54" i="8"/>
  <c r="L70" i="7"/>
  <c r="M47" i="7"/>
  <c r="M48" i="7"/>
  <c r="M49" i="7"/>
  <c r="M50" i="7"/>
  <c r="M51" i="7"/>
  <c r="M52" i="7"/>
  <c r="M53" i="7"/>
  <c r="M54" i="7"/>
  <c r="M55" i="7"/>
  <c r="M46" i="7"/>
  <c r="E47" i="7"/>
  <c r="E48" i="7"/>
  <c r="E49" i="7"/>
  <c r="E50" i="7"/>
  <c r="E51" i="7"/>
  <c r="E52" i="7"/>
  <c r="E53" i="7"/>
  <c r="E54" i="7"/>
  <c r="E55" i="7"/>
  <c r="E9" i="22" l="1"/>
  <c r="C54" i="22"/>
  <c r="E10" i="22"/>
  <c r="E30" i="22" s="1"/>
  <c r="C56" i="22"/>
  <c r="C59" i="22"/>
  <c r="I96" i="8"/>
  <c r="I89" i="8"/>
  <c r="I104" i="8"/>
  <c r="I92" i="8"/>
  <c r="I97" i="8"/>
  <c r="I101" i="8"/>
  <c r="I93" i="8"/>
  <c r="I90" i="8"/>
  <c r="I100" i="8"/>
  <c r="I103" i="8"/>
  <c r="I99" i="8"/>
  <c r="I95" i="8"/>
  <c r="I91" i="8"/>
  <c r="I102" i="8"/>
  <c r="I98" i="8"/>
  <c r="I94" i="8"/>
  <c r="C53" i="22" l="1"/>
  <c r="C65" i="22"/>
  <c r="C57" i="22"/>
  <c r="C58" i="22" s="1"/>
  <c r="B79" i="8"/>
  <c r="B81" i="8" s="1"/>
  <c r="B67" i="8"/>
  <c r="G90" i="8"/>
  <c r="G91" i="8"/>
  <c r="H91" i="8" s="1"/>
  <c r="G92" i="8"/>
  <c r="G93" i="8"/>
  <c r="G94" i="8"/>
  <c r="G95" i="8"/>
  <c r="G96" i="8"/>
  <c r="G97" i="8"/>
  <c r="G98" i="8"/>
  <c r="G99" i="8"/>
  <c r="G100" i="8"/>
  <c r="G101" i="8"/>
  <c r="G102" i="8"/>
  <c r="G103" i="8"/>
  <c r="G104" i="8"/>
  <c r="G89" i="8"/>
  <c r="H90" i="8"/>
  <c r="C17" i="8"/>
  <c r="C85" i="21"/>
  <c r="E22" i="21"/>
  <c r="F22" i="21" s="1"/>
  <c r="E21" i="21"/>
  <c r="F21" i="21" s="1"/>
  <c r="E20" i="21"/>
  <c r="F20" i="21" s="1"/>
  <c r="E19" i="21"/>
  <c r="F19" i="21" s="1"/>
  <c r="E18" i="21"/>
  <c r="F18" i="21" s="1"/>
  <c r="F17" i="21"/>
  <c r="G17" i="21" s="1"/>
  <c r="G18" i="21" s="1"/>
  <c r="G19" i="21" s="1"/>
  <c r="B24" i="8" l="1"/>
  <c r="C45" i="21"/>
  <c r="C44" i="21"/>
  <c r="G20" i="21"/>
  <c r="G21" i="21" s="1"/>
  <c r="G22" i="21" s="1"/>
  <c r="G23" i="21" s="1"/>
  <c r="G24" i="21" s="1"/>
  <c r="G25" i="21" s="1"/>
  <c r="G26" i="21" s="1"/>
  <c r="G27" i="21" s="1"/>
  <c r="G28" i="21" s="1"/>
  <c r="G29" i="21" s="1"/>
  <c r="G30" i="21" s="1"/>
  <c r="G31" i="21" s="1"/>
  <c r="G32" i="21" s="1"/>
  <c r="G33" i="21" s="1"/>
  <c r="G34" i="21" s="1"/>
  <c r="G35" i="21" s="1"/>
  <c r="G36" i="21" s="1"/>
  <c r="G37" i="21" s="1"/>
  <c r="G38" i="21" s="1"/>
  <c r="G39" i="21" s="1"/>
  <c r="G40" i="21" s="1"/>
  <c r="G41" i="21" s="1"/>
  <c r="A63" i="17"/>
  <c r="A62" i="17"/>
  <c r="F63" i="17"/>
  <c r="F62" i="17"/>
  <c r="S37" i="3"/>
  <c r="S143" i="3" s="1"/>
  <c r="Q157" i="3" s="1"/>
  <c r="Q161" i="3" s="1"/>
  <c r="Q162" i="3" s="1"/>
  <c r="S38" i="3"/>
  <c r="AA52" i="3" s="1"/>
  <c r="S39" i="3"/>
  <c r="S145" i="3" s="1"/>
  <c r="S40" i="3"/>
  <c r="S42" i="3"/>
  <c r="S148" i="3" s="1"/>
  <c r="E31" i="1"/>
  <c r="D40" i="1" s="1"/>
  <c r="C46" i="21" l="1"/>
  <c r="C60" i="21" s="1"/>
  <c r="D109" i="21"/>
  <c r="S146" i="3"/>
  <c r="S144" i="3"/>
  <c r="X158" i="3" s="1"/>
  <c r="C56" i="21"/>
  <c r="C84" i="21"/>
  <c r="C88" i="21" s="1"/>
  <c r="C58" i="21"/>
  <c r="C62" i="21"/>
  <c r="C59" i="21"/>
  <c r="C55" i="21"/>
  <c r="B17" i="8"/>
  <c r="I61" i="17"/>
  <c r="F64" i="17" s="1"/>
  <c r="A64" i="17"/>
  <c r="C69" i="17" s="1"/>
  <c r="C61" i="21" l="1"/>
  <c r="C54" i="21"/>
  <c r="C57" i="21"/>
  <c r="C63" i="21"/>
  <c r="B32" i="8"/>
  <c r="C89" i="21"/>
  <c r="C93" i="21"/>
  <c r="C97" i="21"/>
  <c r="C101" i="21"/>
  <c r="C94" i="21"/>
  <c r="C102" i="21"/>
  <c r="C90" i="21"/>
  <c r="C98" i="21"/>
  <c r="C91" i="21"/>
  <c r="C92" i="21"/>
  <c r="C100" i="21"/>
  <c r="C99" i="21"/>
  <c r="C96" i="21"/>
  <c r="C95" i="21"/>
  <c r="H69" i="17"/>
  <c r="J36" i="6"/>
  <c r="I37" i="6"/>
  <c r="J12" i="6"/>
  <c r="C53" i="6"/>
  <c r="G57" i="11"/>
  <c r="G54" i="11"/>
  <c r="G55" i="11"/>
  <c r="G52" i="11"/>
  <c r="G48" i="11"/>
  <c r="G44" i="11"/>
  <c r="G45" i="11"/>
  <c r="G49" i="11"/>
  <c r="G50" i="11"/>
  <c r="G47" i="11"/>
  <c r="I19" i="11"/>
  <c r="I28" i="11"/>
  <c r="J20" i="11"/>
  <c r="J21" i="11"/>
  <c r="G18" i="11"/>
  <c r="H18" i="11"/>
  <c r="H21" i="11" s="1"/>
  <c r="H33" i="11" s="1"/>
  <c r="I21" i="11"/>
  <c r="I20" i="11"/>
  <c r="D68" i="11" l="1"/>
  <c r="D72" i="11"/>
  <c r="B39" i="8"/>
  <c r="H58" i="11" l="1"/>
  <c r="G29" i="11"/>
  <c r="G26" i="11"/>
  <c r="S154" i="3"/>
  <c r="S41" i="3"/>
  <c r="F25" i="7"/>
  <c r="F27" i="7" s="1"/>
  <c r="B51" i="3"/>
  <c r="G132" i="3" s="1"/>
  <c r="O26" i="10"/>
  <c r="I19" i="6"/>
  <c r="I14" i="6"/>
  <c r="I29" i="6"/>
  <c r="I16" i="6"/>
  <c r="J29" i="6"/>
  <c r="J26" i="6"/>
  <c r="I13" i="6" s="1"/>
  <c r="K13" i="6" s="1"/>
  <c r="J35" i="6"/>
  <c r="N35" i="6" s="1"/>
  <c r="J34" i="6"/>
  <c r="J33" i="6"/>
  <c r="N33" i="6" s="1"/>
  <c r="J32" i="6"/>
  <c r="J31" i="6"/>
  <c r="J30" i="6"/>
  <c r="N30" i="6" s="1"/>
  <c r="I21" i="6"/>
  <c r="M21" i="6" s="1"/>
  <c r="O103" i="7"/>
  <c r="G103" i="7"/>
  <c r="G69" i="7"/>
  <c r="O69" i="7"/>
  <c r="F48" i="7"/>
  <c r="C46" i="7"/>
  <c r="F47" i="7"/>
  <c r="F49" i="7"/>
  <c r="F50" i="7"/>
  <c r="F51" i="7"/>
  <c r="F52" i="7"/>
  <c r="F53" i="7"/>
  <c r="F54" i="7"/>
  <c r="G45" i="7"/>
  <c r="N103" i="7"/>
  <c r="B103" i="7"/>
  <c r="C104" i="7" s="1"/>
  <c r="E104" i="7" s="1"/>
  <c r="F104" i="7" s="1"/>
  <c r="L104" i="7"/>
  <c r="L105" i="7"/>
  <c r="L106" i="7"/>
  <c r="L107" i="7"/>
  <c r="L108" i="7"/>
  <c r="L109" i="7"/>
  <c r="L111" i="7"/>
  <c r="L112" i="7"/>
  <c r="L113" i="7"/>
  <c r="N69" i="7"/>
  <c r="J69" i="7"/>
  <c r="L71" i="7"/>
  <c r="L72" i="7"/>
  <c r="L73" i="7"/>
  <c r="L74" i="7"/>
  <c r="L75" i="7"/>
  <c r="L76" i="7"/>
  <c r="L77" i="7"/>
  <c r="L78" i="7"/>
  <c r="L79" i="7"/>
  <c r="L80" i="7"/>
  <c r="L81" i="7"/>
  <c r="L82" i="7"/>
  <c r="L83" i="7"/>
  <c r="L84" i="7"/>
  <c r="L85" i="7"/>
  <c r="L86" i="7"/>
  <c r="L87" i="7"/>
  <c r="L88" i="7"/>
  <c r="L89" i="7"/>
  <c r="C70" i="7"/>
  <c r="D71" i="7"/>
  <c r="D72" i="7"/>
  <c r="D73" i="7"/>
  <c r="D74" i="7"/>
  <c r="D75" i="7"/>
  <c r="D76" i="7"/>
  <c r="D77" i="7"/>
  <c r="D78" i="7"/>
  <c r="D79" i="7"/>
  <c r="D80" i="7"/>
  <c r="D81" i="7"/>
  <c r="D82" i="7"/>
  <c r="D83" i="7"/>
  <c r="D84" i="7"/>
  <c r="D85" i="7"/>
  <c r="D86" i="7"/>
  <c r="D87" i="7"/>
  <c r="D88" i="7"/>
  <c r="D89" i="7"/>
  <c r="J112" i="7"/>
  <c r="J111" i="7"/>
  <c r="J110" i="7"/>
  <c r="J109" i="7"/>
  <c r="J108" i="7"/>
  <c r="J107" i="7"/>
  <c r="J106" i="7"/>
  <c r="J105" i="7"/>
  <c r="J104" i="7"/>
  <c r="J103" i="7"/>
  <c r="D105" i="7"/>
  <c r="D106" i="7"/>
  <c r="D107" i="7"/>
  <c r="D108" i="7"/>
  <c r="D109" i="7"/>
  <c r="D111" i="7"/>
  <c r="D112" i="7"/>
  <c r="F71" i="3"/>
  <c r="E71" i="3"/>
  <c r="C71" i="3"/>
  <c r="B71" i="3"/>
  <c r="I26" i="6"/>
  <c r="M28" i="6"/>
  <c r="M22" i="6"/>
  <c r="M24" i="6"/>
  <c r="M27" i="6"/>
  <c r="M31" i="6"/>
  <c r="I32" i="6"/>
  <c r="N32" i="6" s="1"/>
  <c r="J39" i="6"/>
  <c r="N39" i="6" s="1"/>
  <c r="J23" i="6"/>
  <c r="N23" i="6" s="1"/>
  <c r="J38" i="6"/>
  <c r="I38" i="6"/>
  <c r="I17" i="6"/>
  <c r="K17" i="6" s="1"/>
  <c r="I22" i="6"/>
  <c r="I15" i="6"/>
  <c r="K15" i="6" s="1"/>
  <c r="L12" i="6"/>
  <c r="F55" i="7"/>
  <c r="N45" i="7"/>
  <c r="J40" i="7" s="1"/>
  <c r="J41" i="7" s="1"/>
  <c r="J45" i="7"/>
  <c r="N49" i="7"/>
  <c r="N50" i="7"/>
  <c r="H92" i="8"/>
  <c r="H93" i="8"/>
  <c r="H94" i="8"/>
  <c r="H96" i="8"/>
  <c r="H98" i="8"/>
  <c r="H100" i="8"/>
  <c r="H101" i="8"/>
  <c r="H102" i="8"/>
  <c r="H104" i="8"/>
  <c r="J20" i="6"/>
  <c r="B23" i="3"/>
  <c r="B109" i="3" s="1"/>
  <c r="N48" i="7"/>
  <c r="N52" i="7"/>
  <c r="N53" i="7"/>
  <c r="N54" i="7"/>
  <c r="Q51" i="3"/>
  <c r="O32" i="10"/>
  <c r="Q31" i="10"/>
  <c r="O24" i="10"/>
  <c r="P21" i="10"/>
  <c r="P34" i="10" s="1"/>
  <c r="Q21" i="10"/>
  <c r="Q34" i="10" s="1"/>
  <c r="P22" i="10"/>
  <c r="Q22" i="10"/>
  <c r="P23" i="10"/>
  <c r="Q23" i="10"/>
  <c r="P24" i="10"/>
  <c r="Q24" i="10"/>
  <c r="P25" i="10"/>
  <c r="Q25" i="10"/>
  <c r="P26" i="10"/>
  <c r="Q26" i="10"/>
  <c r="O23" i="10"/>
  <c r="Q19" i="3"/>
  <c r="Q23" i="3" s="1"/>
  <c r="B168" i="18"/>
  <c r="B167" i="18"/>
  <c r="B166" i="18"/>
  <c r="B171" i="18"/>
  <c r="B170" i="18"/>
  <c r="M170" i="18" s="1"/>
  <c r="B169" i="18"/>
  <c r="B172" i="18"/>
  <c r="I172" i="18" s="1"/>
  <c r="B173" i="18"/>
  <c r="B176" i="18"/>
  <c r="B175" i="18"/>
  <c r="L175" i="18" s="1"/>
  <c r="B174" i="18"/>
  <c r="F154" i="18"/>
  <c r="G154" i="18"/>
  <c r="H154" i="18"/>
  <c r="I154" i="18"/>
  <c r="J154" i="18"/>
  <c r="K154" i="18"/>
  <c r="L154" i="18"/>
  <c r="M154" i="18"/>
  <c r="F155" i="18"/>
  <c r="G155" i="18"/>
  <c r="H155" i="18"/>
  <c r="H170" i="18" s="1"/>
  <c r="I155" i="18"/>
  <c r="J155" i="18"/>
  <c r="K155" i="18"/>
  <c r="L155" i="18"/>
  <c r="M155" i="18"/>
  <c r="F156" i="18"/>
  <c r="F171" i="18" s="1"/>
  <c r="G156" i="18"/>
  <c r="H156" i="18"/>
  <c r="I156" i="18"/>
  <c r="J156" i="18"/>
  <c r="K156" i="18"/>
  <c r="L156" i="18"/>
  <c r="M156" i="18"/>
  <c r="F157" i="18"/>
  <c r="G157" i="18"/>
  <c r="H157" i="18"/>
  <c r="I157" i="18"/>
  <c r="J157" i="18"/>
  <c r="K157" i="18"/>
  <c r="L157" i="18"/>
  <c r="M157" i="18"/>
  <c r="F158" i="18"/>
  <c r="F173" i="18" s="1"/>
  <c r="G158" i="18"/>
  <c r="G173" i="18" s="1"/>
  <c r="H158" i="18"/>
  <c r="H173" i="18" s="1"/>
  <c r="I158" i="18"/>
  <c r="I173" i="18" s="1"/>
  <c r="J158" i="18"/>
  <c r="J173" i="18" s="1"/>
  <c r="K158" i="18"/>
  <c r="K173" i="18" s="1"/>
  <c r="L158" i="18"/>
  <c r="L173" i="18" s="1"/>
  <c r="M158" i="18"/>
  <c r="M173" i="18" s="1"/>
  <c r="F159" i="18"/>
  <c r="G159" i="18"/>
  <c r="H159" i="18"/>
  <c r="I159" i="18"/>
  <c r="J159" i="18"/>
  <c r="K159" i="18"/>
  <c r="L159" i="18"/>
  <c r="M159" i="18"/>
  <c r="F160" i="18"/>
  <c r="G160" i="18"/>
  <c r="G175" i="18" s="1"/>
  <c r="H160" i="18"/>
  <c r="I160" i="18"/>
  <c r="J160" i="18"/>
  <c r="K160" i="18"/>
  <c r="K175" i="18" s="1"/>
  <c r="L160" i="18"/>
  <c r="M160" i="18"/>
  <c r="F161" i="18"/>
  <c r="F176" i="18" s="1"/>
  <c r="G161" i="18"/>
  <c r="G176" i="18" s="1"/>
  <c r="H161" i="18"/>
  <c r="I161" i="18"/>
  <c r="J161" i="18"/>
  <c r="K161" i="18"/>
  <c r="L161" i="18"/>
  <c r="M161" i="18"/>
  <c r="F145" i="18"/>
  <c r="F146" i="18" s="1"/>
  <c r="G145" i="18"/>
  <c r="G146" i="18" s="1"/>
  <c r="H145" i="18"/>
  <c r="H146" i="18" s="1"/>
  <c r="I145" i="18"/>
  <c r="I146" i="18" s="1"/>
  <c r="J145" i="18"/>
  <c r="J146" i="18" s="1"/>
  <c r="K145" i="18"/>
  <c r="K146" i="18" s="1"/>
  <c r="L145" i="18"/>
  <c r="L146" i="18" s="1"/>
  <c r="M145" i="18"/>
  <c r="M146" i="18" s="1"/>
  <c r="F139" i="18"/>
  <c r="G139" i="18"/>
  <c r="H139" i="18"/>
  <c r="I139" i="18"/>
  <c r="J139" i="18"/>
  <c r="K139" i="18"/>
  <c r="L139" i="18"/>
  <c r="M139" i="18"/>
  <c r="F140" i="18"/>
  <c r="G140" i="18"/>
  <c r="H140" i="18"/>
  <c r="I140" i="18"/>
  <c r="J140" i="18"/>
  <c r="K140" i="18"/>
  <c r="L140" i="18"/>
  <c r="M140" i="18"/>
  <c r="B81" i="18"/>
  <c r="B125" i="18" s="1"/>
  <c r="C81" i="18"/>
  <c r="C125" i="18" s="1"/>
  <c r="D81" i="18"/>
  <c r="D125" i="18" s="1"/>
  <c r="B82" i="18"/>
  <c r="B126" i="18" s="1"/>
  <c r="C82" i="18"/>
  <c r="C126" i="18" s="1"/>
  <c r="D82" i="18"/>
  <c r="D126" i="18" s="1"/>
  <c r="B83" i="18"/>
  <c r="B127" i="18" s="1"/>
  <c r="C83" i="18"/>
  <c r="C127" i="18" s="1"/>
  <c r="D83" i="18"/>
  <c r="D127" i="18" s="1"/>
  <c r="B84" i="18"/>
  <c r="B128" i="18" s="1"/>
  <c r="C84" i="18"/>
  <c r="C128" i="18" s="1"/>
  <c r="D84" i="18"/>
  <c r="D128" i="18" s="1"/>
  <c r="B85" i="18"/>
  <c r="B129" i="18" s="1"/>
  <c r="C85" i="18"/>
  <c r="C129" i="18" s="1"/>
  <c r="D85" i="18"/>
  <c r="D129" i="18" s="1"/>
  <c r="B86" i="18"/>
  <c r="B130" i="18" s="1"/>
  <c r="C86" i="18"/>
  <c r="C130" i="18" s="1"/>
  <c r="D86" i="18"/>
  <c r="D130" i="18" s="1"/>
  <c r="B87" i="18"/>
  <c r="B131" i="18" s="1"/>
  <c r="C87" i="18"/>
  <c r="C131" i="18" s="1"/>
  <c r="D87" i="18"/>
  <c r="D131" i="18" s="1"/>
  <c r="B88" i="18"/>
  <c r="B132" i="18" s="1"/>
  <c r="C88" i="18"/>
  <c r="C132" i="18" s="1"/>
  <c r="D88" i="18"/>
  <c r="D132" i="18" s="1"/>
  <c r="B89" i="18"/>
  <c r="B133" i="18" s="1"/>
  <c r="C89" i="18"/>
  <c r="C133" i="18" s="1"/>
  <c r="D89" i="18"/>
  <c r="D133" i="18" s="1"/>
  <c r="B52" i="18"/>
  <c r="B96" i="18" s="1"/>
  <c r="C52" i="18"/>
  <c r="C96" i="18" s="1"/>
  <c r="D52" i="18"/>
  <c r="D96" i="18" s="1"/>
  <c r="B53" i="18"/>
  <c r="B97" i="18" s="1"/>
  <c r="C53" i="18"/>
  <c r="C97" i="18" s="1"/>
  <c r="D53" i="18"/>
  <c r="D97" i="18" s="1"/>
  <c r="B54" i="18"/>
  <c r="B98" i="18" s="1"/>
  <c r="C54" i="18"/>
  <c r="C98" i="18" s="1"/>
  <c r="D54" i="18"/>
  <c r="D98" i="18" s="1"/>
  <c r="B55" i="18"/>
  <c r="B99" i="18" s="1"/>
  <c r="C55" i="18"/>
  <c r="C99" i="18" s="1"/>
  <c r="D55" i="18"/>
  <c r="D99" i="18" s="1"/>
  <c r="B56" i="18"/>
  <c r="B100" i="18" s="1"/>
  <c r="C56" i="18"/>
  <c r="C100" i="18" s="1"/>
  <c r="D56" i="18"/>
  <c r="D100" i="18" s="1"/>
  <c r="B57" i="18"/>
  <c r="B101" i="18" s="1"/>
  <c r="C57" i="18"/>
  <c r="C101" i="18" s="1"/>
  <c r="D57" i="18"/>
  <c r="D101" i="18" s="1"/>
  <c r="B58" i="18"/>
  <c r="B102" i="18" s="1"/>
  <c r="C58" i="18"/>
  <c r="C102" i="18" s="1"/>
  <c r="D58" i="18"/>
  <c r="D102" i="18" s="1"/>
  <c r="B59" i="18"/>
  <c r="B103" i="18" s="1"/>
  <c r="C59" i="18"/>
  <c r="C103" i="18" s="1"/>
  <c r="D59" i="18"/>
  <c r="D103" i="18" s="1"/>
  <c r="B60" i="18"/>
  <c r="B104" i="18" s="1"/>
  <c r="C60" i="18"/>
  <c r="C104" i="18" s="1"/>
  <c r="D60" i="18"/>
  <c r="D104" i="18" s="1"/>
  <c r="B61" i="18"/>
  <c r="B105" i="18" s="1"/>
  <c r="C61" i="18"/>
  <c r="C105" i="18" s="1"/>
  <c r="D61" i="18"/>
  <c r="D105" i="18" s="1"/>
  <c r="B62" i="18"/>
  <c r="B106" i="18" s="1"/>
  <c r="C62" i="18"/>
  <c r="C106" i="18" s="1"/>
  <c r="D62" i="18"/>
  <c r="D106" i="18" s="1"/>
  <c r="B63" i="18"/>
  <c r="B107" i="18" s="1"/>
  <c r="C63" i="18"/>
  <c r="C107" i="18" s="1"/>
  <c r="D63" i="18"/>
  <c r="D107" i="18" s="1"/>
  <c r="B64" i="18"/>
  <c r="B108" i="18" s="1"/>
  <c r="C64" i="18"/>
  <c r="C108" i="18" s="1"/>
  <c r="D64" i="18"/>
  <c r="D108" i="18" s="1"/>
  <c r="B65" i="18"/>
  <c r="B109" i="18" s="1"/>
  <c r="C65" i="18"/>
  <c r="C109" i="18" s="1"/>
  <c r="D65" i="18"/>
  <c r="D109" i="18" s="1"/>
  <c r="B66" i="18"/>
  <c r="B110" i="18" s="1"/>
  <c r="C66" i="18"/>
  <c r="C110" i="18" s="1"/>
  <c r="D66" i="18"/>
  <c r="D110" i="18" s="1"/>
  <c r="B67" i="18"/>
  <c r="B111" i="18" s="1"/>
  <c r="C67" i="18"/>
  <c r="C111" i="18" s="1"/>
  <c r="D67" i="18"/>
  <c r="D111" i="18" s="1"/>
  <c r="B68" i="18"/>
  <c r="B112" i="18" s="1"/>
  <c r="C68" i="18"/>
  <c r="C112" i="18" s="1"/>
  <c r="D68" i="18"/>
  <c r="D112" i="18" s="1"/>
  <c r="B69" i="18"/>
  <c r="B113" i="18" s="1"/>
  <c r="C69" i="18"/>
  <c r="C113" i="18" s="1"/>
  <c r="D69" i="18"/>
  <c r="D113" i="18" s="1"/>
  <c r="B70" i="18"/>
  <c r="B114" i="18" s="1"/>
  <c r="C70" i="18"/>
  <c r="C114" i="18" s="1"/>
  <c r="D70" i="18"/>
  <c r="D114" i="18" s="1"/>
  <c r="B71" i="18"/>
  <c r="B115" i="18" s="1"/>
  <c r="C71" i="18"/>
  <c r="C115" i="18" s="1"/>
  <c r="D71" i="18"/>
  <c r="D115" i="18" s="1"/>
  <c r="B72" i="18"/>
  <c r="B116" i="18" s="1"/>
  <c r="C72" i="18"/>
  <c r="C116" i="18" s="1"/>
  <c r="D72" i="18"/>
  <c r="D116" i="18" s="1"/>
  <c r="B73" i="18"/>
  <c r="B117" i="18" s="1"/>
  <c r="C73" i="18"/>
  <c r="C117" i="18" s="1"/>
  <c r="D73" i="18"/>
  <c r="D117" i="18" s="1"/>
  <c r="B74" i="18"/>
  <c r="B118" i="18" s="1"/>
  <c r="C74" i="18"/>
  <c r="C118" i="18" s="1"/>
  <c r="D74" i="18"/>
  <c r="D118" i="18" s="1"/>
  <c r="B75" i="18"/>
  <c r="B119" i="18" s="1"/>
  <c r="C75" i="18"/>
  <c r="C119" i="18" s="1"/>
  <c r="D75" i="18"/>
  <c r="D119" i="18" s="1"/>
  <c r="B76" i="18"/>
  <c r="B120" i="18" s="1"/>
  <c r="C76" i="18"/>
  <c r="C120" i="18" s="1"/>
  <c r="D76" i="18"/>
  <c r="D120" i="18" s="1"/>
  <c r="B77" i="18"/>
  <c r="B121" i="18" s="1"/>
  <c r="C77" i="18"/>
  <c r="C121" i="18" s="1"/>
  <c r="D77" i="18"/>
  <c r="D121" i="18" s="1"/>
  <c r="B78" i="18"/>
  <c r="B122" i="18" s="1"/>
  <c r="C78" i="18"/>
  <c r="C122" i="18" s="1"/>
  <c r="D78" i="18"/>
  <c r="D122" i="18" s="1"/>
  <c r="B79" i="18"/>
  <c r="B123" i="18" s="1"/>
  <c r="C79" i="18"/>
  <c r="C123" i="18" s="1"/>
  <c r="D79" i="18"/>
  <c r="D123" i="18" s="1"/>
  <c r="B80" i="18"/>
  <c r="B124" i="18" s="1"/>
  <c r="C80" i="18"/>
  <c r="C124" i="18" s="1"/>
  <c r="D80" i="18"/>
  <c r="D124" i="18" s="1"/>
  <c r="C51" i="18"/>
  <c r="C152" i="18" s="1"/>
  <c r="B51" i="18"/>
  <c r="B95" i="18" s="1"/>
  <c r="K19" i="6"/>
  <c r="K16" i="6"/>
  <c r="L20" i="6"/>
  <c r="L40" i="6" s="1"/>
  <c r="L42" i="6" s="1"/>
  <c r="K14" i="6"/>
  <c r="B18" i="8"/>
  <c r="B80" i="8" s="1"/>
  <c r="B82" i="8" s="1"/>
  <c r="C18" i="8"/>
  <c r="D24" i="8" s="1"/>
  <c r="E24" i="8" s="1"/>
  <c r="I27" i="11"/>
  <c r="I26" i="11"/>
  <c r="I14" i="11"/>
  <c r="I13" i="11"/>
  <c r="I12" i="11"/>
  <c r="G30" i="11"/>
  <c r="G28" i="11"/>
  <c r="G27" i="11"/>
  <c r="G25" i="11"/>
  <c r="G24" i="11"/>
  <c r="G20" i="11"/>
  <c r="G17" i="11"/>
  <c r="G16" i="11"/>
  <c r="G13" i="11"/>
  <c r="G12" i="11"/>
  <c r="H95" i="8"/>
  <c r="H97" i="8"/>
  <c r="H99" i="8"/>
  <c r="H103" i="8"/>
  <c r="B112" i="7"/>
  <c r="B113" i="7" s="1"/>
  <c r="B105" i="7"/>
  <c r="B106" i="7"/>
  <c r="B107" i="7"/>
  <c r="B108" i="7"/>
  <c r="B109" i="7"/>
  <c r="B110" i="7"/>
  <c r="B111" i="7"/>
  <c r="B104" i="7"/>
  <c r="H40" i="6"/>
  <c r="G40" i="6"/>
  <c r="B11" i="5"/>
  <c r="C12" i="5"/>
  <c r="C13" i="5"/>
  <c r="C14" i="5"/>
  <c r="C15" i="5"/>
  <c r="C16" i="5"/>
  <c r="C17" i="5"/>
  <c r="C18" i="5"/>
  <c r="C19" i="5"/>
  <c r="C11" i="5"/>
  <c r="B30" i="5"/>
  <c r="C30" i="5" s="1"/>
  <c r="E22" i="1"/>
  <c r="E20" i="1"/>
  <c r="E19" i="1"/>
  <c r="Q32" i="10"/>
  <c r="J176" i="18"/>
  <c r="O25" i="10"/>
  <c r="N46" i="7"/>
  <c r="C55" i="6"/>
  <c r="P31" i="10"/>
  <c r="P32" i="10"/>
  <c r="N47" i="7"/>
  <c r="N55" i="7"/>
  <c r="N51" i="7"/>
  <c r="I25" i="6"/>
  <c r="J25" i="6"/>
  <c r="I18" i="6"/>
  <c r="K18" i="6" s="1"/>
  <c r="Q55" i="3" l="1"/>
  <c r="B40" i="7"/>
  <c r="B41" i="7" s="1"/>
  <c r="G170" i="18"/>
  <c r="F170" i="18"/>
  <c r="K170" i="18"/>
  <c r="L170" i="18"/>
  <c r="D30" i="5"/>
  <c r="B31" i="5" s="1"/>
  <c r="M172" i="18"/>
  <c r="I170" i="18"/>
  <c r="E139" i="18"/>
  <c r="J170" i="18"/>
  <c r="B97" i="3"/>
  <c r="B110" i="3"/>
  <c r="D69" i="11"/>
  <c r="B133" i="7"/>
  <c r="G133" i="7" s="1"/>
  <c r="K46" i="7"/>
  <c r="O46" i="7" s="1"/>
  <c r="B96" i="3"/>
  <c r="B80" i="3"/>
  <c r="B79" i="3"/>
  <c r="B73" i="3"/>
  <c r="B84" i="3"/>
  <c r="B77" i="3"/>
  <c r="B75" i="3"/>
  <c r="B76" i="3"/>
  <c r="B81" i="3"/>
  <c r="B86" i="3"/>
  <c r="B78" i="3"/>
  <c r="B72" i="3"/>
  <c r="B82" i="3"/>
  <c r="B87" i="3"/>
  <c r="B74" i="3"/>
  <c r="B83" i="3"/>
  <c r="B85" i="3"/>
  <c r="C85" i="3"/>
  <c r="C77" i="3"/>
  <c r="C73" i="3"/>
  <c r="C84" i="3"/>
  <c r="C76" i="3"/>
  <c r="C82" i="3"/>
  <c r="C81" i="3"/>
  <c r="C83" i="3"/>
  <c r="C75" i="3"/>
  <c r="C74" i="3"/>
  <c r="C78" i="3"/>
  <c r="C80" i="3"/>
  <c r="C72" i="3"/>
  <c r="C87" i="3"/>
  <c r="C79" i="3"/>
  <c r="C86" i="3"/>
  <c r="K113" i="7"/>
  <c r="M113" i="7" s="1"/>
  <c r="C109" i="7"/>
  <c r="E109" i="7" s="1"/>
  <c r="J113" i="7"/>
  <c r="C107" i="7"/>
  <c r="E107" i="7" s="1"/>
  <c r="G107" i="7" s="1"/>
  <c r="C105" i="7"/>
  <c r="E105" i="7" s="1"/>
  <c r="F105" i="7" s="1"/>
  <c r="K109" i="7"/>
  <c r="M109" i="7" s="1"/>
  <c r="N109" i="7" s="1"/>
  <c r="B70" i="7"/>
  <c r="C71" i="7" s="1"/>
  <c r="E71" i="7" s="1"/>
  <c r="F71" i="7" s="1"/>
  <c r="C112" i="7"/>
  <c r="E112" i="7" s="1"/>
  <c r="F112" i="7" s="1"/>
  <c r="K105" i="7"/>
  <c r="M105" i="7" s="1"/>
  <c r="N105" i="7" s="1"/>
  <c r="K107" i="7"/>
  <c r="M107" i="7" s="1"/>
  <c r="N107" i="7" s="1"/>
  <c r="C141" i="7"/>
  <c r="C133" i="7"/>
  <c r="H133" i="7" s="1"/>
  <c r="B141" i="7"/>
  <c r="Q28" i="3"/>
  <c r="C32" i="3" s="1"/>
  <c r="D11" i="5"/>
  <c r="B28" i="3"/>
  <c r="N38" i="6"/>
  <c r="R54" i="3"/>
  <c r="R55" i="3" s="1"/>
  <c r="G133" i="3" s="1"/>
  <c r="V54" i="3"/>
  <c r="V55" i="3" s="1"/>
  <c r="V56" i="3" s="1"/>
  <c r="Z54" i="3"/>
  <c r="S54" i="3"/>
  <c r="W54" i="3"/>
  <c r="W55" i="3" s="1"/>
  <c r="W56" i="3" s="1"/>
  <c r="AA54" i="3"/>
  <c r="AA55" i="3" s="1"/>
  <c r="AA56" i="3" s="1"/>
  <c r="T54" i="3"/>
  <c r="X54" i="3"/>
  <c r="U54" i="3"/>
  <c r="Y54" i="3"/>
  <c r="I56" i="3"/>
  <c r="I175" i="18"/>
  <c r="G169" i="18"/>
  <c r="Q56" i="3"/>
  <c r="M25" i="6"/>
  <c r="C155" i="18"/>
  <c r="C170" i="18" s="1"/>
  <c r="F169" i="18"/>
  <c r="D145" i="18"/>
  <c r="D146" i="18" s="1"/>
  <c r="L171" i="18"/>
  <c r="E70" i="7"/>
  <c r="G70" i="7" s="1"/>
  <c r="E161" i="18"/>
  <c r="E176" i="18" s="1"/>
  <c r="C160" i="18"/>
  <c r="C175" i="18" s="1"/>
  <c r="H175" i="18"/>
  <c r="F168" i="18"/>
  <c r="B12" i="5"/>
  <c r="D12" i="5" s="1"/>
  <c r="M169" i="18"/>
  <c r="G172" i="18"/>
  <c r="S147" i="3"/>
  <c r="D46" i="7"/>
  <c r="B46" i="7" s="1"/>
  <c r="D156" i="18"/>
  <c r="D171" i="18" s="1"/>
  <c r="J169" i="18"/>
  <c r="H153" i="18"/>
  <c r="H168" i="18" s="1"/>
  <c r="J175" i="18"/>
  <c r="F175" i="18"/>
  <c r="M34" i="6"/>
  <c r="K171" i="18"/>
  <c r="H171" i="18"/>
  <c r="K176" i="18"/>
  <c r="K153" i="18"/>
  <c r="K168" i="18" s="1"/>
  <c r="H151" i="18"/>
  <c r="L172" i="18"/>
  <c r="E154" i="18"/>
  <c r="E169" i="18" s="1"/>
  <c r="C180" i="18"/>
  <c r="D161" i="18"/>
  <c r="D176" i="18" s="1"/>
  <c r="G152" i="18"/>
  <c r="E157" i="18"/>
  <c r="E172" i="18" s="1"/>
  <c r="K151" i="18"/>
  <c r="D151" i="18"/>
  <c r="C195" i="18" s="1"/>
  <c r="I151" i="18"/>
  <c r="E159" i="18"/>
  <c r="E174" i="18" s="1"/>
  <c r="M176" i="18"/>
  <c r="M175" i="18"/>
  <c r="K172" i="18"/>
  <c r="H172" i="18"/>
  <c r="M171" i="18"/>
  <c r="J171" i="18"/>
  <c r="G171" i="18"/>
  <c r="H169" i="18"/>
  <c r="F172" i="18"/>
  <c r="K152" i="18"/>
  <c r="K167" i="18" s="1"/>
  <c r="C145" i="18"/>
  <c r="C153" i="18"/>
  <c r="C168" i="18" s="1"/>
  <c r="G153" i="18"/>
  <c r="G168" i="18" s="1"/>
  <c r="E158" i="18"/>
  <c r="E173" i="18" s="1"/>
  <c r="H152" i="18"/>
  <c r="H167" i="18" s="1"/>
  <c r="D157" i="18"/>
  <c r="D172" i="18" s="1"/>
  <c r="D160" i="18"/>
  <c r="D175" i="18" s="1"/>
  <c r="C158" i="18"/>
  <c r="C173" i="18" s="1"/>
  <c r="F151" i="18"/>
  <c r="C197" i="18" s="1"/>
  <c r="C157" i="18"/>
  <c r="C172" i="18" s="1"/>
  <c r="I171" i="18"/>
  <c r="C139" i="18"/>
  <c r="B13" i="5"/>
  <c r="D13" i="5" s="1"/>
  <c r="L176" i="18"/>
  <c r="J172" i="18"/>
  <c r="K169" i="18"/>
  <c r="C140" i="18"/>
  <c r="G167" i="18"/>
  <c r="C167" i="18"/>
  <c r="C111" i="21"/>
  <c r="D111" i="21" s="1"/>
  <c r="E111" i="21" s="1"/>
  <c r="O45" i="7"/>
  <c r="F174" i="18"/>
  <c r="H174" i="18"/>
  <c r="J174" i="18"/>
  <c r="L174" i="18"/>
  <c r="G174" i="18"/>
  <c r="I174" i="18"/>
  <c r="K174" i="18"/>
  <c r="M174" i="18"/>
  <c r="D95" i="18"/>
  <c r="I153" i="18"/>
  <c r="I168" i="18" s="1"/>
  <c r="E153" i="18"/>
  <c r="E168" i="18" s="1"/>
  <c r="E145" i="18"/>
  <c r="E146" i="18" s="1"/>
  <c r="J153" i="18"/>
  <c r="J168" i="18" s="1"/>
  <c r="E151" i="18"/>
  <c r="E155" i="18"/>
  <c r="E170" i="18" s="1"/>
  <c r="M153" i="18"/>
  <c r="M168" i="18" s="1"/>
  <c r="L153" i="18"/>
  <c r="L168" i="18" s="1"/>
  <c r="D153" i="18"/>
  <c r="D168" i="18" s="1"/>
  <c r="E160" i="18"/>
  <c r="E175" i="18" s="1"/>
  <c r="E156" i="18"/>
  <c r="E171" i="18" s="1"/>
  <c r="F152" i="18"/>
  <c r="F167" i="18" s="1"/>
  <c r="J152" i="18"/>
  <c r="J167" i="18" s="1"/>
  <c r="L152" i="18"/>
  <c r="L167" i="18" s="1"/>
  <c r="D154" i="18"/>
  <c r="D169" i="18" s="1"/>
  <c r="D158" i="18"/>
  <c r="D173" i="18" s="1"/>
  <c r="C95" i="18"/>
  <c r="I152" i="18"/>
  <c r="I167" i="18" s="1"/>
  <c r="M152" i="18"/>
  <c r="M167" i="18" s="1"/>
  <c r="D155" i="18"/>
  <c r="D170" i="18" s="1"/>
  <c r="D159" i="18"/>
  <c r="D174" i="18" s="1"/>
  <c r="D139" i="18"/>
  <c r="D110" i="21"/>
  <c r="E110" i="21" s="1"/>
  <c r="L151" i="18"/>
  <c r="J151" i="18"/>
  <c r="C156" i="18"/>
  <c r="C171" i="18" s="1"/>
  <c r="M151" i="18"/>
  <c r="C161" i="18"/>
  <c r="C176" i="18" s="1"/>
  <c r="I169" i="18"/>
  <c r="H176" i="18"/>
  <c r="I176" i="18"/>
  <c r="L169" i="18"/>
  <c r="B24" i="3"/>
  <c r="B27" i="3" s="1"/>
  <c r="K70" i="7"/>
  <c r="M70" i="7" s="1"/>
  <c r="K112" i="7"/>
  <c r="M112" i="7" s="1"/>
  <c r="O112" i="7" s="1"/>
  <c r="C154" i="18"/>
  <c r="C169" i="18" s="1"/>
  <c r="G151" i="18"/>
  <c r="C198" i="18" s="1"/>
  <c r="C159" i="18"/>
  <c r="C174" i="18" s="1"/>
  <c r="C112" i="21"/>
  <c r="D112" i="21" s="1"/>
  <c r="E112" i="21" s="1"/>
  <c r="B22" i="17"/>
  <c r="B64" i="17" s="1"/>
  <c r="J40" i="6"/>
  <c r="M29" i="6"/>
  <c r="I40" i="6"/>
  <c r="K40" i="6"/>
  <c r="M26" i="6"/>
  <c r="N40" i="6"/>
  <c r="E95" i="8"/>
  <c r="E102" i="8"/>
  <c r="C32" i="8"/>
  <c r="B65" i="8" s="1"/>
  <c r="B68" i="8" s="1"/>
  <c r="B89" i="8"/>
  <c r="D89" i="8" s="1"/>
  <c r="J89" i="8" s="1"/>
  <c r="C62" i="8"/>
  <c r="B69" i="8" s="1"/>
  <c r="E92" i="8"/>
  <c r="C92" i="8"/>
  <c r="C90" i="8"/>
  <c r="C89" i="8"/>
  <c r="E89" i="8"/>
  <c r="B97" i="8"/>
  <c r="D97" i="8" s="1"/>
  <c r="J97" i="8" s="1"/>
  <c r="E97" i="8"/>
  <c r="C102" i="8"/>
  <c r="C93" i="8"/>
  <c r="E100" i="8"/>
  <c r="B92" i="8"/>
  <c r="D92" i="8" s="1"/>
  <c r="J92" i="8" s="1"/>
  <c r="C22" i="17"/>
  <c r="H64" i="17" s="1"/>
  <c r="E112" i="16"/>
  <c r="D112" i="16"/>
  <c r="C37" i="17"/>
  <c r="D36" i="17" s="1"/>
  <c r="D91" i="16"/>
  <c r="D90" i="16"/>
  <c r="E90" i="16"/>
  <c r="B21" i="17"/>
  <c r="C20" i="17" s="1"/>
  <c r="B37" i="17"/>
  <c r="D35" i="17" s="1"/>
  <c r="G46" i="7"/>
  <c r="L46" i="7"/>
  <c r="J46" i="7" s="1"/>
  <c r="J70" i="7"/>
  <c r="C111" i="7"/>
  <c r="E111" i="7" s="1"/>
  <c r="K111" i="7"/>
  <c r="M111" i="7" s="1"/>
  <c r="C113" i="7"/>
  <c r="E113" i="7" s="1"/>
  <c r="C110" i="7"/>
  <c r="E110" i="7" s="1"/>
  <c r="C108" i="7"/>
  <c r="E108" i="7" s="1"/>
  <c r="C106" i="7"/>
  <c r="E106" i="7" s="1"/>
  <c r="K110" i="7"/>
  <c r="M110" i="7" s="1"/>
  <c r="K108" i="7"/>
  <c r="M108" i="7" s="1"/>
  <c r="K106" i="7"/>
  <c r="M106" i="7" s="1"/>
  <c r="K104" i="7"/>
  <c r="M104" i="7" s="1"/>
  <c r="B55" i="3"/>
  <c r="G109" i="3" s="1"/>
  <c r="Q24" i="3"/>
  <c r="Q27" i="3" s="1"/>
  <c r="B14" i="5"/>
  <c r="C31" i="5"/>
  <c r="D31" i="5" s="1"/>
  <c r="B32" i="5" s="1"/>
  <c r="E13" i="11"/>
  <c r="J13" i="11" s="1"/>
  <c r="J15" i="11" s="1"/>
  <c r="C95" i="8"/>
  <c r="C98" i="8"/>
  <c r="E94" i="8"/>
  <c r="C99" i="8"/>
  <c r="E104" i="8"/>
  <c r="E93" i="8"/>
  <c r="E101" i="8"/>
  <c r="B100" i="8"/>
  <c r="C104" i="8"/>
  <c r="C97" i="8"/>
  <c r="C96" i="8"/>
  <c r="C103" i="8"/>
  <c r="C94" i="8"/>
  <c r="B94" i="8"/>
  <c r="E91" i="8"/>
  <c r="B91" i="8"/>
  <c r="B101" i="8"/>
  <c r="E99" i="8"/>
  <c r="E98" i="8"/>
  <c r="B95" i="8"/>
  <c r="C101" i="8"/>
  <c r="C100" i="8"/>
  <c r="C91" i="8"/>
  <c r="B90" i="8"/>
  <c r="D90" i="8" s="1"/>
  <c r="J90" i="8" s="1"/>
  <c r="B99" i="8"/>
  <c r="E96" i="8"/>
  <c r="B93" i="8"/>
  <c r="E103" i="8"/>
  <c r="B102" i="8"/>
  <c r="B103" i="8"/>
  <c r="B104" i="8"/>
  <c r="B96" i="8"/>
  <c r="B98" i="8"/>
  <c r="B30" i="3" l="1"/>
  <c r="B118" i="3"/>
  <c r="B123" i="3" s="1"/>
  <c r="E113" i="16"/>
  <c r="D22" i="17"/>
  <c r="J33" i="11"/>
  <c r="D70" i="11"/>
  <c r="D71" i="11" s="1"/>
  <c r="D66" i="11"/>
  <c r="D78" i="11" s="1"/>
  <c r="R56" i="3"/>
  <c r="B60" i="3"/>
  <c r="G96" i="3"/>
  <c r="E80" i="3"/>
  <c r="E87" i="3"/>
  <c r="E78" i="3"/>
  <c r="E74" i="3"/>
  <c r="E72" i="3"/>
  <c r="E76" i="3"/>
  <c r="E79" i="3"/>
  <c r="E75" i="3"/>
  <c r="E77" i="3"/>
  <c r="E83" i="3"/>
  <c r="E73" i="3"/>
  <c r="E82" i="3"/>
  <c r="E84" i="3"/>
  <c r="E85" i="3"/>
  <c r="E86" i="3"/>
  <c r="E81" i="3"/>
  <c r="C47" i="7"/>
  <c r="G104" i="7"/>
  <c r="N113" i="7"/>
  <c r="O113" i="7"/>
  <c r="G109" i="7"/>
  <c r="F109" i="7"/>
  <c r="B71" i="7"/>
  <c r="G112" i="7"/>
  <c r="O109" i="7"/>
  <c r="F107" i="7"/>
  <c r="O107" i="7"/>
  <c r="N112" i="7"/>
  <c r="G105" i="7"/>
  <c r="O105" i="7"/>
  <c r="C70" i="17"/>
  <c r="X55" i="3"/>
  <c r="X56" i="3" s="1"/>
  <c r="S55" i="3"/>
  <c r="G110" i="3" s="1"/>
  <c r="C9" i="17"/>
  <c r="B9" i="17"/>
  <c r="C8" i="17" s="1"/>
  <c r="T55" i="3"/>
  <c r="T56" i="3" s="1"/>
  <c r="Z55" i="3"/>
  <c r="Z56" i="3" s="1"/>
  <c r="C181" i="18"/>
  <c r="C190" i="18"/>
  <c r="F194" i="18" s="1"/>
  <c r="Y55" i="3"/>
  <c r="Y56" i="3" s="1"/>
  <c r="U55" i="3"/>
  <c r="U56" i="3" s="1"/>
  <c r="Q57" i="3"/>
  <c r="R57" i="3" s="1"/>
  <c r="R58" i="3" s="1"/>
  <c r="G118" i="3"/>
  <c r="G123" i="3" s="1"/>
  <c r="M40" i="6"/>
  <c r="F70" i="7"/>
  <c r="B65" i="7" s="1"/>
  <c r="B66" i="7" s="1"/>
  <c r="R160" i="3"/>
  <c r="R161" i="3" s="1"/>
  <c r="S160" i="3"/>
  <c r="S161" i="3" s="1"/>
  <c r="S162" i="3" s="1"/>
  <c r="T160" i="3"/>
  <c r="T161" i="3" s="1"/>
  <c r="T162" i="3" s="1"/>
  <c r="W160" i="3"/>
  <c r="W161" i="3" s="1"/>
  <c r="W162" i="3" s="1"/>
  <c r="X160" i="3"/>
  <c r="X161" i="3" s="1"/>
  <c r="X162" i="3" s="1"/>
  <c r="U160" i="3"/>
  <c r="U161" i="3" s="1"/>
  <c r="U162" i="3" s="1"/>
  <c r="V160" i="3"/>
  <c r="V161" i="3" s="1"/>
  <c r="V162" i="3" s="1"/>
  <c r="B56" i="3"/>
  <c r="B57" i="3" s="1"/>
  <c r="C57" i="3" s="1"/>
  <c r="C58" i="3" s="1"/>
  <c r="K166" i="18"/>
  <c r="C202" i="18"/>
  <c r="G71" i="7"/>
  <c r="F166" i="18"/>
  <c r="C151" i="18"/>
  <c r="C194" i="18" s="1"/>
  <c r="C146" i="18"/>
  <c r="C200" i="18"/>
  <c r="I166" i="18"/>
  <c r="D166" i="18"/>
  <c r="H166" i="18"/>
  <c r="C199" i="18"/>
  <c r="O70" i="7"/>
  <c r="N70" i="7"/>
  <c r="C201" i="18"/>
  <c r="J166" i="18"/>
  <c r="E166" i="18"/>
  <c r="C196" i="18"/>
  <c r="G166" i="18"/>
  <c r="C203" i="18"/>
  <c r="L166" i="18"/>
  <c r="H70" i="17"/>
  <c r="E140" i="18"/>
  <c r="E152" i="18"/>
  <c r="E167" i="18" s="1"/>
  <c r="C204" i="18"/>
  <c r="M166" i="18"/>
  <c r="D152" i="18"/>
  <c r="D167" i="18" s="1"/>
  <c r="D140" i="18"/>
  <c r="K41" i="6"/>
  <c r="C64" i="6" s="1"/>
  <c r="C39" i="8"/>
  <c r="E90" i="8" s="1"/>
  <c r="K97" i="8"/>
  <c r="K92" i="8"/>
  <c r="C64" i="17"/>
  <c r="D21" i="17"/>
  <c r="D63" i="17" s="1"/>
  <c r="D64" i="17"/>
  <c r="G64" i="17"/>
  <c r="D20" i="17"/>
  <c r="I62" i="17" s="1"/>
  <c r="D113" i="16"/>
  <c r="C21" i="17"/>
  <c r="E91" i="16"/>
  <c r="D10" i="17" s="1"/>
  <c r="C10" i="17"/>
  <c r="D9" i="17" s="1"/>
  <c r="B20" i="17"/>
  <c r="B62" i="17" s="1"/>
  <c r="B63" i="17"/>
  <c r="G63" i="17"/>
  <c r="B10" i="17"/>
  <c r="D8" i="17" s="1"/>
  <c r="K47" i="7"/>
  <c r="J71" i="7"/>
  <c r="K71" i="7"/>
  <c r="M71" i="7" s="1"/>
  <c r="N108" i="7"/>
  <c r="O108" i="7"/>
  <c r="F110" i="7"/>
  <c r="G110" i="7"/>
  <c r="N110" i="7"/>
  <c r="O110" i="7"/>
  <c r="F113" i="7"/>
  <c r="G113" i="7"/>
  <c r="N104" i="7"/>
  <c r="O104" i="7"/>
  <c r="G106" i="7"/>
  <c r="F106" i="7"/>
  <c r="N111" i="7"/>
  <c r="O111" i="7"/>
  <c r="N106" i="7"/>
  <c r="O106" i="7"/>
  <c r="G108" i="7"/>
  <c r="F108" i="7"/>
  <c r="G111" i="7"/>
  <c r="F111" i="7"/>
  <c r="Q25" i="3"/>
  <c r="R25" i="3" s="1"/>
  <c r="B119" i="3"/>
  <c r="B25" i="3"/>
  <c r="C25" i="3" s="1"/>
  <c r="C32" i="5"/>
  <c r="D32" i="5" s="1"/>
  <c r="B33" i="5" s="1"/>
  <c r="D14" i="5"/>
  <c r="B15" i="5"/>
  <c r="K90" i="8"/>
  <c r="D93" i="8"/>
  <c r="J93" i="8" s="1"/>
  <c r="K93" i="8"/>
  <c r="D91" i="8"/>
  <c r="J91" i="8" s="1"/>
  <c r="K91" i="8"/>
  <c r="D100" i="8"/>
  <c r="J100" i="8" s="1"/>
  <c r="K100" i="8"/>
  <c r="D99" i="8"/>
  <c r="J99" i="8" s="1"/>
  <c r="K99" i="8"/>
  <c r="D95" i="8"/>
  <c r="J95" i="8" s="1"/>
  <c r="K95" i="8"/>
  <c r="D101" i="8"/>
  <c r="J101" i="8" s="1"/>
  <c r="K101" i="8"/>
  <c r="K94" i="8"/>
  <c r="D94" i="8"/>
  <c r="J94" i="8" s="1"/>
  <c r="D98" i="8"/>
  <c r="J98" i="8" s="1"/>
  <c r="K98" i="8"/>
  <c r="K102" i="8"/>
  <c r="D102" i="8"/>
  <c r="J102" i="8" s="1"/>
  <c r="D96" i="8"/>
  <c r="J96" i="8" s="1"/>
  <c r="K96" i="8"/>
  <c r="D104" i="8"/>
  <c r="J104" i="8" s="1"/>
  <c r="K104" i="8"/>
  <c r="D103" i="8"/>
  <c r="J103" i="8" s="1"/>
  <c r="K103" i="8"/>
  <c r="M42" i="6" l="1"/>
  <c r="C63" i="6" s="1"/>
  <c r="N41" i="6"/>
  <c r="N42" i="6" s="1"/>
  <c r="J65" i="7"/>
  <c r="J66" i="7" s="1"/>
  <c r="B99" i="7"/>
  <c r="B100" i="7" s="1"/>
  <c r="J99" i="7"/>
  <c r="J100" i="7" s="1"/>
  <c r="F72" i="3"/>
  <c r="F85" i="3"/>
  <c r="F81" i="3"/>
  <c r="S56" i="3"/>
  <c r="S57" i="3" s="1"/>
  <c r="S58" i="3" s="1"/>
  <c r="F77" i="3"/>
  <c r="F73" i="3"/>
  <c r="F86" i="3"/>
  <c r="F82" i="3"/>
  <c r="F79" i="3"/>
  <c r="F74" i="3"/>
  <c r="F87" i="3"/>
  <c r="F83" i="3"/>
  <c r="F80" i="3"/>
  <c r="F75" i="3"/>
  <c r="G97" i="3"/>
  <c r="F78" i="3"/>
  <c r="F84" i="3"/>
  <c r="F76" i="3"/>
  <c r="G47" i="7"/>
  <c r="D47" i="7"/>
  <c r="B47" i="7" s="1"/>
  <c r="C48" i="7" s="1"/>
  <c r="G48" i="7" s="1"/>
  <c r="B135" i="7"/>
  <c r="G135" i="7" s="1"/>
  <c r="B72" i="7"/>
  <c r="C72" i="7"/>
  <c r="E72" i="7" s="1"/>
  <c r="B143" i="7"/>
  <c r="B142" i="7"/>
  <c r="B134" i="7"/>
  <c r="G134" i="7" s="1"/>
  <c r="C134" i="7"/>
  <c r="H134" i="7" s="1"/>
  <c r="C142" i="7"/>
  <c r="C143" i="7"/>
  <c r="Q59" i="3"/>
  <c r="C26" i="3"/>
  <c r="D25" i="3"/>
  <c r="R26" i="3"/>
  <c r="S25" i="3"/>
  <c r="B59" i="3"/>
  <c r="Q60" i="3"/>
  <c r="Q164" i="3"/>
  <c r="G119" i="3"/>
  <c r="G124" i="3" s="1"/>
  <c r="D57" i="3"/>
  <c r="B73" i="8"/>
  <c r="B75" i="8" s="1"/>
  <c r="R162" i="3"/>
  <c r="Q163" i="3" s="1"/>
  <c r="C61" i="6"/>
  <c r="E194" i="18"/>
  <c r="C166" i="18"/>
  <c r="E200" i="18"/>
  <c r="F200" i="18" s="1"/>
  <c r="E197" i="18"/>
  <c r="F197" i="18" s="1"/>
  <c r="B66" i="8"/>
  <c r="K42" i="6"/>
  <c r="I64" i="17"/>
  <c r="I63" i="17"/>
  <c r="D62" i="17"/>
  <c r="H63" i="17"/>
  <c r="C63" i="17"/>
  <c r="G62" i="17"/>
  <c r="H62" i="17"/>
  <c r="C62" i="17"/>
  <c r="O47" i="7"/>
  <c r="L47" i="7"/>
  <c r="J47" i="7" s="1"/>
  <c r="N71" i="7"/>
  <c r="O71" i="7"/>
  <c r="K72" i="7"/>
  <c r="M72" i="7" s="1"/>
  <c r="J72" i="7"/>
  <c r="C135" i="7"/>
  <c r="H135" i="7" s="1"/>
  <c r="B62" i="3"/>
  <c r="Q30" i="3"/>
  <c r="B124" i="3"/>
  <c r="C33" i="5"/>
  <c r="B16" i="5"/>
  <c r="D15" i="5"/>
  <c r="T57" i="3" l="1"/>
  <c r="T58" i="3" s="1"/>
  <c r="C62" i="6"/>
  <c r="D48" i="7"/>
  <c r="B48" i="7" s="1"/>
  <c r="C49" i="7" s="1"/>
  <c r="F72" i="7"/>
  <c r="G72" i="7"/>
  <c r="B73" i="7"/>
  <c r="C73" i="7"/>
  <c r="E73" i="7" s="1"/>
  <c r="U57" i="3"/>
  <c r="U58" i="3" s="1"/>
  <c r="C182" i="18"/>
  <c r="C183" i="18" s="1"/>
  <c r="D26" i="3"/>
  <c r="E25" i="3"/>
  <c r="S26" i="3"/>
  <c r="T25" i="3"/>
  <c r="C64" i="3"/>
  <c r="D58" i="3"/>
  <c r="E57" i="3"/>
  <c r="C65" i="6"/>
  <c r="C66" i="6" s="1"/>
  <c r="C67" i="6"/>
  <c r="B74" i="8"/>
  <c r="R173" i="3"/>
  <c r="R172" i="3"/>
  <c r="R170" i="3"/>
  <c r="R178" i="3"/>
  <c r="R174" i="3"/>
  <c r="R171" i="3"/>
  <c r="R169" i="3"/>
  <c r="R175" i="3"/>
  <c r="R177" i="3"/>
  <c r="R179" i="3"/>
  <c r="R176" i="3"/>
  <c r="E195" i="18"/>
  <c r="F195" i="18" s="1"/>
  <c r="E202" i="18"/>
  <c r="F202" i="18" s="1"/>
  <c r="E196" i="18"/>
  <c r="F196" i="18" s="1"/>
  <c r="E199" i="18"/>
  <c r="F199" i="18" s="1"/>
  <c r="E198" i="18"/>
  <c r="F198" i="18" s="1"/>
  <c r="E203" i="18"/>
  <c r="F203" i="18" s="1"/>
  <c r="E201" i="18"/>
  <c r="F201" i="18" s="1"/>
  <c r="E204" i="18"/>
  <c r="F204" i="18" s="1"/>
  <c r="H71" i="17"/>
  <c r="H72" i="17" s="1"/>
  <c r="C71" i="17"/>
  <c r="C72" i="17" s="1"/>
  <c r="K48" i="7"/>
  <c r="J73" i="7"/>
  <c r="K73" i="7"/>
  <c r="M73" i="7" s="1"/>
  <c r="N72" i="7"/>
  <c r="O72" i="7"/>
  <c r="Q62" i="3"/>
  <c r="D16" i="5"/>
  <c r="B17" i="5"/>
  <c r="D33" i="5"/>
  <c r="B34" i="5" s="1"/>
  <c r="V57" i="3" l="1"/>
  <c r="F73" i="7"/>
  <c r="G73" i="7"/>
  <c r="B74" i="7"/>
  <c r="C74" i="7"/>
  <c r="E74" i="7" s="1"/>
  <c r="V58" i="3"/>
  <c r="W57" i="3"/>
  <c r="E26" i="3"/>
  <c r="F25" i="3"/>
  <c r="T26" i="3"/>
  <c r="U25" i="3"/>
  <c r="E58" i="3"/>
  <c r="F57" i="3"/>
  <c r="D49" i="7"/>
  <c r="B49" i="7" s="1"/>
  <c r="C50" i="7" s="1"/>
  <c r="G49" i="7"/>
  <c r="O48" i="7"/>
  <c r="L48" i="7"/>
  <c r="J48" i="7" s="1"/>
  <c r="O73" i="7"/>
  <c r="N73" i="7"/>
  <c r="K74" i="7"/>
  <c r="M74" i="7" s="1"/>
  <c r="J74" i="7"/>
  <c r="C34" i="5"/>
  <c r="B18" i="5"/>
  <c r="D17" i="5"/>
  <c r="C75" i="7" l="1"/>
  <c r="E75" i="7" s="1"/>
  <c r="B75" i="7"/>
  <c r="F74" i="7"/>
  <c r="G74" i="7"/>
  <c r="F26" i="3"/>
  <c r="G25" i="3"/>
  <c r="U26" i="3"/>
  <c r="V25" i="3"/>
  <c r="W58" i="3"/>
  <c r="X57" i="3"/>
  <c r="F58" i="3"/>
  <c r="G57" i="3"/>
  <c r="K49" i="7"/>
  <c r="J75" i="7"/>
  <c r="K75" i="7"/>
  <c r="M75" i="7" s="1"/>
  <c r="N74" i="7"/>
  <c r="O74" i="7"/>
  <c r="B19" i="5"/>
  <c r="D18" i="5"/>
  <c r="D34" i="5"/>
  <c r="B35" i="5" s="1"/>
  <c r="B76" i="7" l="1"/>
  <c r="C76" i="7"/>
  <c r="E76" i="7" s="1"/>
  <c r="F75" i="7"/>
  <c r="G75" i="7"/>
  <c r="V26" i="3"/>
  <c r="W25" i="3"/>
  <c r="X58" i="3"/>
  <c r="Y57" i="3"/>
  <c r="G26" i="3"/>
  <c r="H25" i="3"/>
  <c r="G58" i="3"/>
  <c r="H57" i="3"/>
  <c r="G50" i="7"/>
  <c r="D50" i="7"/>
  <c r="B50" i="7" s="1"/>
  <c r="C51" i="7" s="1"/>
  <c r="O49" i="7"/>
  <c r="L49" i="7"/>
  <c r="J49" i="7" s="1"/>
  <c r="N75" i="7"/>
  <c r="O75" i="7"/>
  <c r="J76" i="7"/>
  <c r="K76" i="7"/>
  <c r="M76" i="7" s="1"/>
  <c r="C35" i="5"/>
  <c r="D35" i="5"/>
  <c r="B36" i="5" s="1"/>
  <c r="D19" i="5"/>
  <c r="B20" i="5"/>
  <c r="D20" i="5" s="1"/>
  <c r="F76" i="7" l="1"/>
  <c r="G76" i="7"/>
  <c r="C77" i="7"/>
  <c r="E77" i="7" s="1"/>
  <c r="B77" i="7"/>
  <c r="Y58" i="3"/>
  <c r="Z57" i="3"/>
  <c r="W26" i="3"/>
  <c r="X25" i="3"/>
  <c r="Y25" i="3" s="1"/>
  <c r="Z25" i="3" s="1"/>
  <c r="H26" i="3"/>
  <c r="I25" i="3"/>
  <c r="H58" i="3"/>
  <c r="I57" i="3"/>
  <c r="K50" i="7"/>
  <c r="N76" i="7"/>
  <c r="O76" i="7"/>
  <c r="K77" i="7"/>
  <c r="M77" i="7" s="1"/>
  <c r="J77" i="7"/>
  <c r="C36" i="5"/>
  <c r="D36" i="5" s="1"/>
  <c r="B37" i="5" s="1"/>
  <c r="B78" i="7" l="1"/>
  <c r="C78" i="7"/>
  <c r="E78" i="7" s="1"/>
  <c r="G77" i="7"/>
  <c r="F77" i="7"/>
  <c r="X26" i="3"/>
  <c r="I26" i="3"/>
  <c r="J25" i="3"/>
  <c r="Z58" i="3"/>
  <c r="AA57" i="3"/>
  <c r="AA58" i="3" s="1"/>
  <c r="I58" i="3"/>
  <c r="J57" i="3"/>
  <c r="G51" i="7"/>
  <c r="D51" i="7"/>
  <c r="B51" i="7" s="1"/>
  <c r="C52" i="7" s="1"/>
  <c r="O50" i="7"/>
  <c r="L50" i="7"/>
  <c r="J50" i="7" s="1"/>
  <c r="J78" i="7"/>
  <c r="K78" i="7"/>
  <c r="M78" i="7" s="1"/>
  <c r="N77" i="7"/>
  <c r="O77" i="7"/>
  <c r="C37" i="5"/>
  <c r="D37" i="5" s="1"/>
  <c r="B38" i="5" s="1"/>
  <c r="G78" i="7" l="1"/>
  <c r="F78" i="7"/>
  <c r="B79" i="7"/>
  <c r="C79" i="7"/>
  <c r="E79" i="7" s="1"/>
  <c r="J26" i="3"/>
  <c r="K25" i="3"/>
  <c r="Y26" i="3"/>
  <c r="J58" i="3"/>
  <c r="K57" i="3"/>
  <c r="K51" i="7"/>
  <c r="N78" i="7"/>
  <c r="O78" i="7"/>
  <c r="K79" i="7"/>
  <c r="M79" i="7" s="1"/>
  <c r="J79" i="7"/>
  <c r="C38" i="5"/>
  <c r="C39" i="5" s="1"/>
  <c r="F79" i="7" l="1"/>
  <c r="G79" i="7"/>
  <c r="B80" i="7"/>
  <c r="C80" i="7"/>
  <c r="E80" i="7" s="1"/>
  <c r="Z26" i="3"/>
  <c r="AA25" i="3"/>
  <c r="AA26" i="3" s="1"/>
  <c r="K26" i="3"/>
  <c r="L25" i="3"/>
  <c r="L26" i="3" s="1"/>
  <c r="K58" i="3"/>
  <c r="L57" i="3"/>
  <c r="L58" i="3" s="1"/>
  <c r="D38" i="5"/>
  <c r="B39" i="5" s="1"/>
  <c r="D39" i="5" s="1"/>
  <c r="G52" i="7"/>
  <c r="D52" i="7"/>
  <c r="B52" i="7" s="1"/>
  <c r="C53" i="7" s="1"/>
  <c r="L51" i="7"/>
  <c r="J51" i="7" s="1"/>
  <c r="O51" i="7"/>
  <c r="J80" i="7"/>
  <c r="K80" i="7"/>
  <c r="M80" i="7" s="1"/>
  <c r="O79" i="7"/>
  <c r="N79" i="7"/>
  <c r="F80" i="7" l="1"/>
  <c r="G80" i="7"/>
  <c r="B81" i="7"/>
  <c r="C81" i="7"/>
  <c r="E81" i="7" s="1"/>
  <c r="K52" i="7"/>
  <c r="N80" i="7"/>
  <c r="O80" i="7"/>
  <c r="K81" i="7"/>
  <c r="M81" i="7" s="1"/>
  <c r="J81" i="7"/>
  <c r="G81" i="7" l="1"/>
  <c r="F81" i="7"/>
  <c r="C82" i="7"/>
  <c r="E82" i="7" s="1"/>
  <c r="B82" i="7"/>
  <c r="G53" i="7"/>
  <c r="D53" i="7"/>
  <c r="B53" i="7" s="1"/>
  <c r="C54" i="7" s="1"/>
  <c r="L52" i="7"/>
  <c r="J52" i="7" s="1"/>
  <c r="O52" i="7"/>
  <c r="K82" i="7"/>
  <c r="M82" i="7" s="1"/>
  <c r="J82" i="7"/>
  <c r="O81" i="7"/>
  <c r="N81" i="7"/>
  <c r="B83" i="7" l="1"/>
  <c r="C83" i="7"/>
  <c r="E83" i="7" s="1"/>
  <c r="G82" i="7"/>
  <c r="F82" i="7"/>
  <c r="K53" i="7"/>
  <c r="J83" i="7"/>
  <c r="K83" i="7"/>
  <c r="M83" i="7" s="1"/>
  <c r="N82" i="7"/>
  <c r="O82" i="7"/>
  <c r="F83" i="7" l="1"/>
  <c r="G83" i="7"/>
  <c r="B84" i="7"/>
  <c r="C84" i="7"/>
  <c r="E84" i="7" s="1"/>
  <c r="G54" i="7"/>
  <c r="D54" i="7"/>
  <c r="B54" i="7" s="1"/>
  <c r="C55" i="7" s="1"/>
  <c r="L53" i="7"/>
  <c r="J53" i="7" s="1"/>
  <c r="O53" i="7"/>
  <c r="O83" i="7"/>
  <c r="N83" i="7"/>
  <c r="J84" i="7"/>
  <c r="K84" i="7"/>
  <c r="M84" i="7" s="1"/>
  <c r="G84" i="7" l="1"/>
  <c r="F84" i="7"/>
  <c r="B85" i="7"/>
  <c r="C85" i="7"/>
  <c r="E85" i="7" s="1"/>
  <c r="K54" i="7"/>
  <c r="N84" i="7"/>
  <c r="O84" i="7"/>
  <c r="J85" i="7"/>
  <c r="K85" i="7"/>
  <c r="M85" i="7" s="1"/>
  <c r="F85" i="7" l="1"/>
  <c r="G85" i="7"/>
  <c r="C86" i="7"/>
  <c r="E86" i="7" s="1"/>
  <c r="B86" i="7"/>
  <c r="G55" i="7"/>
  <c r="D55" i="7"/>
  <c r="B55" i="7" s="1"/>
  <c r="O54" i="7"/>
  <c r="L54" i="7"/>
  <c r="J54" i="7" s="1"/>
  <c r="N85" i="7"/>
  <c r="O85" i="7"/>
  <c r="J86" i="7"/>
  <c r="K86" i="7"/>
  <c r="M86" i="7" s="1"/>
  <c r="B87" i="7" l="1"/>
  <c r="C87" i="7"/>
  <c r="E87" i="7" s="1"/>
  <c r="G86" i="7"/>
  <c r="F86" i="7"/>
  <c r="K55" i="7"/>
  <c r="N86" i="7"/>
  <c r="O86" i="7"/>
  <c r="J87" i="7"/>
  <c r="K87" i="7"/>
  <c r="M87" i="7" s="1"/>
  <c r="F87" i="7" l="1"/>
  <c r="G87" i="7"/>
  <c r="B88" i="7"/>
  <c r="C88" i="7"/>
  <c r="E88" i="7" s="1"/>
  <c r="L55" i="7"/>
  <c r="J55" i="7" s="1"/>
  <c r="O55" i="7"/>
  <c r="O87" i="7"/>
  <c r="N87" i="7"/>
  <c r="J88" i="7"/>
  <c r="K88" i="7"/>
  <c r="M88" i="7" s="1"/>
  <c r="G88" i="7" l="1"/>
  <c r="F88" i="7"/>
  <c r="B89" i="7"/>
  <c r="C89" i="7"/>
  <c r="E89" i="7" s="1"/>
  <c r="O88" i="7"/>
  <c r="N88" i="7"/>
  <c r="J89" i="7"/>
  <c r="K89" i="7"/>
  <c r="M89" i="7" s="1"/>
  <c r="F89" i="7" l="1"/>
  <c r="G89" i="7"/>
  <c r="N89" i="7"/>
  <c r="O89" i="7"/>
</calcChain>
</file>

<file path=xl/sharedStrings.xml><?xml version="1.0" encoding="utf-8"?>
<sst xmlns="http://schemas.openxmlformats.org/spreadsheetml/2006/main" count="1368" uniqueCount="777">
  <si>
    <t>Fremtidsværdien, FV</t>
  </si>
  <si>
    <t>Nutidsværdien, PV</t>
  </si>
  <si>
    <t>Tidsperioden, t</t>
  </si>
  <si>
    <t>Udregning af FV</t>
  </si>
  <si>
    <t>Udregning af PV</t>
  </si>
  <si>
    <t>Udregning af r</t>
  </si>
  <si>
    <t>Udregning af t</t>
  </si>
  <si>
    <t xml:space="preserve">Rentefoden,  r </t>
  </si>
  <si>
    <t>Man ønsker at se på værdien af en række betalinger, der falder i forskellige år til et givent tidspunkt (nu eller ved slutningen af betalingsrækken)</t>
  </si>
  <si>
    <t>Betalingensværdi, C</t>
  </si>
  <si>
    <t>Renten, r</t>
  </si>
  <si>
    <t>Udregning af C</t>
  </si>
  <si>
    <t>Vækst, g</t>
  </si>
  <si>
    <t>Udregning af g</t>
  </si>
  <si>
    <t>Man finder altså nutidsværdien af en uendelig række og trækker alle betalinger fra den endelige periode udløber til uendelighed fra</t>
  </si>
  <si>
    <t>Nutidsværdien, når betalingerne starter senere</t>
  </si>
  <si>
    <t>Antal år senere betalingerne starter, x:</t>
  </si>
  <si>
    <t>Tilbagebetalingsmetoden</t>
  </si>
  <si>
    <t>Investeringssum</t>
  </si>
  <si>
    <t>Scrapværdi</t>
  </si>
  <si>
    <t>Levetid</t>
  </si>
  <si>
    <t>Kalkulationsrente</t>
  </si>
  <si>
    <t>År</t>
  </si>
  <si>
    <t xml:space="preserve">Scrapværdi </t>
  </si>
  <si>
    <t>Nettobetalingsstrøm</t>
  </si>
  <si>
    <t>Nutidsværdi manuelt per år</t>
  </si>
  <si>
    <t>Nutidsværdi manuelt i alt</t>
  </si>
  <si>
    <t>Nutidsværdi i Excel</t>
  </si>
  <si>
    <t>Årlige omkostninger</t>
  </si>
  <si>
    <t>Årlige indtægter</t>
  </si>
  <si>
    <t>- Kan også bestemmes som enheder x pris</t>
  </si>
  <si>
    <t>- Kan også bestemmes som enheder x produktionsomkostninger pr. enhed</t>
  </si>
  <si>
    <t>Indtægter</t>
  </si>
  <si>
    <t>Udgifter</t>
  </si>
  <si>
    <t>Er investeringen rentabel?</t>
  </si>
  <si>
    <t>Den interne rente er den diskonteringsrente, r, der giver en investering en nutidsværdi på præcis 0. Dermed hvor høj en rente investeringen kan klare før den ikke længere er rentabel.</t>
  </si>
  <si>
    <t xml:space="preserve"> </t>
  </si>
  <si>
    <t>Investering A</t>
  </si>
  <si>
    <t>Investering B</t>
  </si>
  <si>
    <t>Intern rente, investering B</t>
  </si>
  <si>
    <t>Intern rente, investering A</t>
  </si>
  <si>
    <t>Jo større den interne rente er, jo bedre er investeringen for jo mere kan den 'klare'</t>
  </si>
  <si>
    <t>Normalt understøtter den interne rente tilbagebetalingsmetoden, hvormed de begge vil vise, at det er samme investering, der er mest rentabel, der er dog undtagelser</t>
  </si>
  <si>
    <t>Renten for hvilke geninvesteringerne er til:</t>
  </si>
  <si>
    <t>Modificeret intern rente, A</t>
  </si>
  <si>
    <t>Modificeret intern rente, B</t>
  </si>
  <si>
    <t xml:space="preserve">Hvis tidsprofilen er ukonventionel(indtægter først, så udgifter) eller hvis der i slutningen er en omkostning </t>
  </si>
  <si>
    <t>Omsætning</t>
  </si>
  <si>
    <t>Renteomkostninger</t>
  </si>
  <si>
    <t>Indskudt kapital</t>
  </si>
  <si>
    <t>Kassekredit</t>
  </si>
  <si>
    <t>Øvrige faste omkostninger</t>
  </si>
  <si>
    <t>Personaleomkostninger</t>
  </si>
  <si>
    <t>Leverandørgæld</t>
  </si>
  <si>
    <t>BALANCE</t>
  </si>
  <si>
    <t>RESULTATOPGØRELSE</t>
  </si>
  <si>
    <t>AKTIVER</t>
    <phoneticPr fontId="0" type="noConversion"/>
  </si>
  <si>
    <t>PASSIVER</t>
    <phoneticPr fontId="0" type="noConversion"/>
  </si>
  <si>
    <t>ANLÆGSAKTIVER</t>
    <phoneticPr fontId="0" type="noConversion"/>
  </si>
  <si>
    <t>EGENKAPITAL</t>
    <phoneticPr fontId="0" type="noConversion"/>
  </si>
  <si>
    <t>IMMATERIELLE</t>
    <phoneticPr fontId="0" type="noConversion"/>
  </si>
  <si>
    <t>Henlagt overskud</t>
  </si>
  <si>
    <t>DÆKNINGSBIDRAG</t>
  </si>
  <si>
    <t>EGENKAPITAL I ALT</t>
  </si>
  <si>
    <t>MATERIELLE</t>
    <phoneticPr fontId="0" type="noConversion"/>
  </si>
  <si>
    <t>GÆLD</t>
    <phoneticPr fontId="0" type="noConversion"/>
  </si>
  <si>
    <t>INDTJENINGSBIDRAG</t>
  </si>
  <si>
    <t>RESULTAT FØR FIN. POSTER</t>
  </si>
  <si>
    <t>FINANSIELLE</t>
    <phoneticPr fontId="0" type="noConversion"/>
  </si>
  <si>
    <t>ÅRETS RESULTAT</t>
    <phoneticPr fontId="0" type="noConversion"/>
  </si>
  <si>
    <t>KORTFRISTET GÆLD</t>
  </si>
  <si>
    <t>ANLÆGSAKTIVER i ALT</t>
  </si>
  <si>
    <t>OMSÆTNINGSAKTIVER</t>
    <phoneticPr fontId="0" type="noConversion"/>
  </si>
  <si>
    <t>GÆLD I ALT</t>
  </si>
  <si>
    <t>Varelager</t>
  </si>
  <si>
    <t>OMSÆTNINGSAKTIVER i ALT</t>
  </si>
  <si>
    <t>AKTIVER I ALT</t>
  </si>
  <si>
    <t>PASSIVER I ALT</t>
  </si>
  <si>
    <t>år</t>
    <phoneticPr fontId="0" type="noConversion"/>
  </si>
  <si>
    <t>PERIODE</t>
    <phoneticPr fontId="0" type="noConversion"/>
  </si>
  <si>
    <t>BOGFØRT VÆRDI PRIMO</t>
  </si>
  <si>
    <t>AFSKRIVNING PER ÅR</t>
  </si>
  <si>
    <t>BOGFØRT VÆRDI ULTIMO</t>
  </si>
  <si>
    <t>år</t>
    <phoneticPr fontId="0" type="noConversion"/>
  </si>
  <si>
    <t>FUN FACT:</t>
    <phoneticPr fontId="0" type="noConversion"/>
  </si>
  <si>
    <t>Kontonavn</t>
  </si>
  <si>
    <t>Debet</t>
  </si>
  <si>
    <t>Kredit</t>
  </si>
  <si>
    <t>Nettoomsætning</t>
  </si>
  <si>
    <t>Vareforbrug</t>
  </si>
  <si>
    <t>Salgsfremmende omkostninger</t>
  </si>
  <si>
    <t>Lokaleomkostninger</t>
  </si>
  <si>
    <t>Renteindtægter</t>
  </si>
  <si>
    <t>Patentrettighed</t>
  </si>
  <si>
    <t>Langfristede værdipapirer</t>
  </si>
  <si>
    <t>Varedebitorer</t>
  </si>
  <si>
    <t>Periodeafgrænsningsposter (aktiver)</t>
  </si>
  <si>
    <t>Likvider</t>
  </si>
  <si>
    <t>Egenkapital</t>
  </si>
  <si>
    <t>Udbytte</t>
  </si>
  <si>
    <t>Realkreditlån</t>
  </si>
  <si>
    <t>Købsmoms</t>
  </si>
  <si>
    <t>Salgsmoms</t>
  </si>
  <si>
    <t>Momsafregning</t>
  </si>
  <si>
    <t>Andre kreditorer</t>
  </si>
  <si>
    <t>Sum</t>
  </si>
  <si>
    <t>Resultat</t>
  </si>
  <si>
    <t>Debitering og kreditering</t>
  </si>
  <si>
    <t>Varelageret opgjort</t>
  </si>
  <si>
    <t>Forudbetalt leje</t>
  </si>
  <si>
    <t>=</t>
  </si>
  <si>
    <t>Provenu</t>
  </si>
  <si>
    <t>Former for låntagning</t>
  </si>
  <si>
    <t>Hovedstol</t>
  </si>
  <si>
    <t>(restgæld i termin 0)</t>
  </si>
  <si>
    <t>Pålydende rente per år</t>
  </si>
  <si>
    <t xml:space="preserve">Løbetid i år </t>
  </si>
  <si>
    <t>Antal terminer per år</t>
  </si>
  <si>
    <t>TERMINER</t>
  </si>
  <si>
    <t>RESTGÆLD</t>
  </si>
  <si>
    <t>RENTER</t>
  </si>
  <si>
    <t>AFDRAG</t>
  </si>
  <si>
    <t>YDELSE</t>
  </si>
  <si>
    <t>Betalingsstrømmen</t>
  </si>
  <si>
    <t>Provenue</t>
  </si>
  <si>
    <t>Annuitetslån:</t>
  </si>
  <si>
    <t>Ydelsen er ens for alle årene. Derudfra kan renten beregnes og til sidst afdraget</t>
  </si>
  <si>
    <t>Serielån:</t>
  </si>
  <si>
    <t xml:space="preserve">Afdraget er ens for alle terminer, herefter kan renten beregnes og til sidst ydelsen ved at ligge de to sammen </t>
  </si>
  <si>
    <t>Stående lån:</t>
  </si>
  <si>
    <t>Her betales der kun renter hvert år - til slut afdrages hele beløbet + renter</t>
  </si>
  <si>
    <t>Den pålydende (nominelle) rente angiver, hvad låntager skal betale som rente af restgælden, og skal ses i sammenhæng med de øvrige vilkår om betaling (hvornår, hvordan osv.). Denne pålydende (nominelle) rente angiver imidlertid intet om, hvad låntager modtager af lånebeløbet - dvs. efter fradrag for eventuelt kurstab, omkostninger ved låneoptagelse o. lign.</t>
  </si>
  <si>
    <t xml:space="preserve">Den effektive rente beregnes derimod på basis af det udbetalte lånebeløb (lånets provenu), dvs. lånebeløbet minus alle låntagerens omkostninger ved lånet. Derved fremkommer lånets provenu, som normalt vil være mindre end hovedstolen. Låntager betaler altså rente af et større beløb (hovedstolen) end det udbetalte beløb (provenuet). Derfor er den effektive rente for låntageren udtryk for, hvad det reelt koster virksomheden at optage lånet pr. år, når der tages hensyn til et eventuelt kurstab, omkostninger m.v.  </t>
  </si>
  <si>
    <t>Den effektive rente beregnes som den interne rente på baggrund af de betalingsstrømme, der finder sted i lånets løbetid. Betalingsstrømmen i år 0 svarer til provenuet.</t>
  </si>
  <si>
    <t>Effektiv rente for annuitetslån:</t>
  </si>
  <si>
    <t>Effektiv rente for ståendelån:</t>
  </si>
  <si>
    <t>Effektiv rente for serielån:</t>
  </si>
  <si>
    <t>For at optimere en given produktion bør man i et marked med fuldkommen konkurrence bestemme, hvor MR = MC.</t>
  </si>
  <si>
    <t>Derudover har vi følgende funktioner</t>
  </si>
  <si>
    <r>
      <t xml:space="preserve">Total revenue </t>
    </r>
    <r>
      <rPr>
        <sz val="12"/>
        <color theme="1"/>
        <rFont val="Calibri"/>
        <family val="2"/>
        <scheme val="minor"/>
      </rPr>
      <t xml:space="preserve">- </t>
    </r>
    <r>
      <rPr>
        <i/>
        <sz val="12"/>
        <color theme="1"/>
        <rFont val="Calibri"/>
        <family val="2"/>
        <scheme val="minor"/>
      </rPr>
      <t>TR:</t>
    </r>
    <r>
      <rPr>
        <sz val="12"/>
        <color theme="1"/>
        <rFont val="Calibri"/>
        <family val="2"/>
        <scheme val="minor"/>
      </rPr>
      <t xml:space="preserve"> Den totale omsætning - så alle virksomhedernes indtægter</t>
    </r>
  </si>
  <si>
    <r>
      <rPr>
        <i/>
        <sz val="12"/>
        <color theme="1"/>
        <rFont val="Calibri"/>
        <family val="2"/>
        <scheme val="minor"/>
      </rPr>
      <t xml:space="preserve">Marginal Revenue - MR: </t>
    </r>
    <r>
      <rPr>
        <sz val="12"/>
        <color theme="1"/>
        <rFont val="Calibri"/>
        <family val="2"/>
        <scheme val="minor"/>
      </rPr>
      <t>Den marginale omsætning - så den ekstra indtjening der sker, når man producerer en vare ekstra</t>
    </r>
  </si>
  <si>
    <r>
      <t xml:space="preserve">Marginal Cost - MC: </t>
    </r>
    <r>
      <rPr>
        <sz val="12"/>
        <color theme="1"/>
        <rFont val="Calibri"/>
        <family val="2"/>
        <scheme val="minor"/>
      </rPr>
      <t>Den marginale omkostning, som er den ekstra omkostning ved at producere en ekstra enhed</t>
    </r>
  </si>
  <si>
    <t>Mængde, Q</t>
  </si>
  <si>
    <t>Pris, P</t>
  </si>
  <si>
    <t>Punkt 1</t>
  </si>
  <si>
    <t>Punkt 2</t>
  </si>
  <si>
    <t>P(Q)</t>
  </si>
  <si>
    <t>Q(P)</t>
  </si>
  <si>
    <t>Skæring med y-aksen, b</t>
  </si>
  <si>
    <t>Hældningskoefficienten, a</t>
  </si>
  <si>
    <r>
      <rPr>
        <i/>
        <sz val="12"/>
        <color theme="1"/>
        <rFont val="Calibri"/>
        <family val="2"/>
        <scheme val="minor"/>
      </rPr>
      <t>Total Cost - TC:</t>
    </r>
    <r>
      <rPr>
        <sz val="12"/>
        <color theme="1"/>
        <rFont val="Calibri"/>
        <family val="2"/>
        <scheme val="minor"/>
      </rPr>
      <t xml:space="preserve"> De totale omkostninger ved en given produktion</t>
    </r>
  </si>
  <si>
    <r>
      <t>Priselasticitet:</t>
    </r>
    <r>
      <rPr>
        <sz val="12"/>
        <color theme="1"/>
        <rFont val="Calibri"/>
        <family val="2"/>
        <scheme val="minor"/>
      </rPr>
      <t xml:space="preserve"> Ændringen i efterspørgslen, når der sker en procentvis ændring i prisen på en vare</t>
    </r>
  </si>
  <si>
    <t>Punkt</t>
  </si>
  <si>
    <t>Q</t>
  </si>
  <si>
    <t>P</t>
  </si>
  <si>
    <t xml:space="preserve">Optimering hvor MR = MC, Q </t>
  </si>
  <si>
    <t>Priselasticiteten i punktet:</t>
  </si>
  <si>
    <t>TR</t>
  </si>
  <si>
    <t>MR</t>
  </si>
  <si>
    <t>Profit</t>
  </si>
  <si>
    <t>TC</t>
  </si>
  <si>
    <t>MC</t>
  </si>
  <si>
    <t>Skal være ens</t>
  </si>
  <si>
    <t>Koefficienter</t>
  </si>
  <si>
    <t>FC</t>
  </si>
  <si>
    <t>-dQ/dP</t>
  </si>
  <si>
    <t>Omsætningen minus de variable omkostninger ved produceringen af denne mængde</t>
  </si>
  <si>
    <t>Variable omkostninger, VC</t>
  </si>
  <si>
    <t>Omsætningen, TR</t>
  </si>
  <si>
    <t>Dækningsbidraget</t>
  </si>
  <si>
    <t>Vurdering af en virksomheds regnskab (rentabilitet og soliditet)</t>
  </si>
  <si>
    <t xml:space="preserve">Man vurderer ofte et regnskab ud fra, hvor god virksomheden er til at skabe værdi for ejerne - shareholders value. </t>
  </si>
  <si>
    <t>Ud fra regnskabet kan man netop bestemme denne værdiskabelse og forstå, hvorfor nogle virksomheder er bedre til at skabe værdi for ejerne end andre</t>
  </si>
  <si>
    <t>Man ser på, hvordan ejernes egenkapital er blevet forrentet igennem virksomheden, så</t>
  </si>
  <si>
    <t xml:space="preserve">Egenkapital </t>
  </si>
  <si>
    <t>Forrentning =</t>
  </si>
  <si>
    <t>Resultat+ renter</t>
  </si>
  <si>
    <t>x</t>
  </si>
  <si>
    <t>Resultat + renter</t>
  </si>
  <si>
    <t>Aktiver</t>
  </si>
  <si>
    <t>Overskudsgraden</t>
  </si>
  <si>
    <t>Aktivers omsætningshastighed</t>
  </si>
  <si>
    <t>Gearing del 1</t>
  </si>
  <si>
    <t>Gearing del 2</t>
  </si>
  <si>
    <t>Et mål for, hvor god virksomheden er til at tjene penge på sit salg</t>
  </si>
  <si>
    <t>Aktivernes omsætningshastighed</t>
  </si>
  <si>
    <t>Hvor god virksomheden er til at skabe salg af den investerede kapital</t>
  </si>
  <si>
    <t>Hvor god virksomheden er til at omsætte anden kapital end egenkapitalen til overskud</t>
  </si>
  <si>
    <t>Gearingen kan omskrives til at være</t>
  </si>
  <si>
    <t>(1 +</t>
  </si>
  <si>
    <t>gæld</t>
  </si>
  <si>
    <t>egenkapital</t>
  </si>
  <si>
    <t>-</t>
  </si>
  <si>
    <t>Gæld</t>
  </si>
  <si>
    <t>Renter</t>
  </si>
  <si>
    <t>aktiver</t>
  </si>
  <si>
    <t>))</t>
  </si>
  <si>
    <t>x   (</t>
  </si>
  <si>
    <t xml:space="preserve">Et spørgsmål om gælden er med til at øge egenkapitalens forrentning eller ej </t>
  </si>
  <si>
    <t>Hvis gælden er 0, så er hele udtrykket = 1, idet hele det sidste led bortfalder</t>
  </si>
  <si>
    <t>Hvis renten for hvilken gælden er sat er mindre end investeringernes afkast, så vil gælden øge egenkapitalens forrentning</t>
  </si>
  <si>
    <t>Virksomhedens driftsfunktion, som fortæller noget om salgsarbejdet</t>
  </si>
  <si>
    <t>Kvaliteten af virksomhedens investeringsfunktion</t>
  </si>
  <si>
    <t>Finansieringsdelen for virksomheden - finansiere de på rigtig måde og til de rigtige ting</t>
  </si>
  <si>
    <t>Beregninger med nøgletallene</t>
  </si>
  <si>
    <t>Egenkapitalens forrentning, ROE</t>
  </si>
  <si>
    <t>Afkastningsgraden</t>
  </si>
  <si>
    <r>
      <t xml:space="preserve">Denne forrentning findes altså som produktet af 3 andre nøgletal for regnskabet - </t>
    </r>
    <r>
      <rPr>
        <b/>
        <sz val="12"/>
        <color theme="1"/>
        <rFont val="Calibri"/>
        <family val="2"/>
        <scheme val="minor"/>
      </rPr>
      <t>Virksomhedens evne til disse ting</t>
    </r>
  </si>
  <si>
    <t>Renteudgifterne tilfalder kreditorerne og resultatet tilfalder virksomhedernes ejere</t>
  </si>
  <si>
    <t xml:space="preserve">Afkastningsgraden = </t>
  </si>
  <si>
    <t>Samlede aktiver</t>
  </si>
  <si>
    <t xml:space="preserve">Man ser på, hvor stor en del af aktiverne, der tilfalder investorerne. Forrentningen af kapitalen. </t>
  </si>
  <si>
    <t>Gearing i kapitalstrukturen</t>
  </si>
  <si>
    <t>Gearing</t>
  </si>
  <si>
    <t>Finansiel gearing</t>
  </si>
  <si>
    <t>Det handler om i hvor stor udstrækning en virksomhed er finansieret af gæld. Jo større en gearing, jo større er man finansieret af gæld og jo større risiko er der</t>
  </si>
  <si>
    <t>Hvor stor en andel af de samlede aktiver der består af egenkapital og hvor stor en del, der er gæld</t>
  </si>
  <si>
    <t>Gear. i kap.struktur =</t>
  </si>
  <si>
    <t>Husk, at de samlede aktiver = gæld + kapitalstruktur</t>
  </si>
  <si>
    <t>Kan også udtrykkes som forholdet mellem gælden og egenkapitalen</t>
  </si>
  <si>
    <t xml:space="preserve">Gæld/egenkapital forhold = </t>
  </si>
  <si>
    <t>Gearing i indkomststruktur</t>
  </si>
  <si>
    <t>Hvor stor en andel af den samlede indkomst til virksomhedens investorer, der tilfalder ejerne og IKKE kreditorerne</t>
  </si>
  <si>
    <t xml:space="preserve">Gear. I indkomststruktur = </t>
  </si>
  <si>
    <t>Resultat + Renteudgifter</t>
  </si>
  <si>
    <t xml:space="preserve">         Hvis rentesatsen og afkastet er lige store, så kan det ikke svare sig for virksomheden at gældsætte sig for at kunne øge investeringerne</t>
  </si>
  <si>
    <t>AC</t>
  </si>
  <si>
    <t>Priselasticiteten i Q</t>
  </si>
  <si>
    <t xml:space="preserve">Prisen til denne mængde </t>
  </si>
  <si>
    <t xml:space="preserve">I den forbindelse kan det være gavnligt også at have efterspørgselsfunktionen Q(P), samt den inverse efterspørgselsfunktion P(Q)- Så man kan regne eventuel pris eller mængde ud fra den omvendte faktor. </t>
  </si>
  <si>
    <t>Indbetaler egenkapital</t>
  </si>
  <si>
    <t xml:space="preserve">Man fører regnskab ved princippet om det dobbelte bogholderi, hvilket vil sige, at alting både debiteres og krediteres. For at en konto bliver større må en anden blive mindre. </t>
  </si>
  <si>
    <t xml:space="preserve">Aktiver og omkostninger debiteres, når de bliver større - og krediteres, når de bliver mindre. </t>
  </si>
  <si>
    <t xml:space="preserve">Passiver og indtægter krediteres, når de bliver større - og debiteres, når de bliver mindre. </t>
  </si>
  <si>
    <t>Tilgodehavender fra kunder</t>
  </si>
  <si>
    <t>Opkøber grund</t>
  </si>
  <si>
    <t>Varelager, tilgodehavender hos kunder, likvider, vareforbrug</t>
  </si>
  <si>
    <t>Leverandørgæld, omsætning</t>
  </si>
  <si>
    <t>Eksempler på passiver/indtægter:</t>
  </si>
  <si>
    <t>Eksempler på aktiver/omkostninger:</t>
  </si>
  <si>
    <t>Lån</t>
  </si>
  <si>
    <t>Udfører konsulentarbejde (på kredit)</t>
  </si>
  <si>
    <t>Modtager betaling for leverede varer</t>
  </si>
  <si>
    <t>Køber frimærker</t>
  </si>
  <si>
    <t>Ingen moms på renter, frimærker, forsikringer, transport med fly, bus og tog mv.</t>
  </si>
  <si>
    <t>FUN FACT:</t>
  </si>
  <si>
    <t>Afskrivninger</t>
  </si>
  <si>
    <t>Akk. Afskrivninger</t>
  </si>
  <si>
    <t>Skyldigt revisionshonorar</t>
  </si>
  <si>
    <t>Øvrige omkostninger</t>
  </si>
  <si>
    <t xml:space="preserve">I Danmark betaler vi moms af produkter, som vi køber og sælger. </t>
  </si>
  <si>
    <t xml:space="preserve">Momsen i Danmark ligger på 25% for både købs og salgsmoms. Vi betaler salgsmoms af det, som vi sælger og købsmoms af de varer, som vi køber. </t>
  </si>
  <si>
    <t>Hvis salgsmomsen er større end købsmomsen, så skylder vi penge til SKAT og ellers har vi penge til gode</t>
  </si>
  <si>
    <t>Salgsmoms af ovenstående poster</t>
  </si>
  <si>
    <t>Salg af varer</t>
  </si>
  <si>
    <t>Købsmoms af ovenstående poster</t>
  </si>
  <si>
    <t>Balancen</t>
  </si>
  <si>
    <t xml:space="preserve">Balancen er som sagt et øjebliksbillede af en virksomheds aktiver og passiver og opgøres derfor også herudfra. </t>
  </si>
  <si>
    <t>Husk at passiver ALTID er lig aktiverne</t>
  </si>
  <si>
    <t>REGNSKABSPOSTER</t>
  </si>
  <si>
    <t>BELØB</t>
    <phoneticPr fontId="0" type="noConversion"/>
  </si>
  <si>
    <t>PASSIVER</t>
    <phoneticPr fontId="0" type="noConversion"/>
  </si>
  <si>
    <t>Goodwill</t>
  </si>
  <si>
    <t>IMMATERIELLE ANLÆGSAKTIVER</t>
  </si>
  <si>
    <t>Lagerejendom</t>
    <phoneticPr fontId="0" type="noConversion"/>
  </si>
  <si>
    <t>Inventar</t>
    <phoneticPr fontId="0" type="noConversion"/>
  </si>
  <si>
    <t>Aktier i datterselskab</t>
    <phoneticPr fontId="0" type="noConversion"/>
  </si>
  <si>
    <t>MATERIELLE ANLÆGSAKTIVER</t>
  </si>
  <si>
    <t>Råvarer og hjælpematerialer</t>
    <phoneticPr fontId="0" type="noConversion"/>
  </si>
  <si>
    <t>Varer under produktion</t>
    <phoneticPr fontId="0" type="noConversion"/>
  </si>
  <si>
    <t>Færdigvarer</t>
    <phoneticPr fontId="0" type="noConversion"/>
  </si>
  <si>
    <t>FINANSIELLE ANLÆGSAKTIVER</t>
  </si>
  <si>
    <t>LANGFRISTET GÆLD</t>
    <phoneticPr fontId="0" type="noConversion"/>
  </si>
  <si>
    <t>Bankindestående</t>
  </si>
  <si>
    <t>Kassebeholdning</t>
  </si>
  <si>
    <t>ANLÆGSAKTIVER I ALT</t>
  </si>
  <si>
    <t>LANGFRISTET GÆLD I ALT</t>
  </si>
  <si>
    <t>OMSÆTNINGSAKTIVER</t>
  </si>
  <si>
    <t>KORTFRISTET GÆLD</t>
    <phoneticPr fontId="0" type="noConversion"/>
  </si>
  <si>
    <t>Kassekredit</t>
    <phoneticPr fontId="0" type="noConversion"/>
  </si>
  <si>
    <t>Leverandørgæld</t>
    <phoneticPr fontId="0" type="noConversion"/>
  </si>
  <si>
    <t>KORTFRISTET GÆLD I ALT</t>
  </si>
  <si>
    <t>OMSÆTNINGSAKTIVER I ALT</t>
  </si>
  <si>
    <t>Patent</t>
  </si>
  <si>
    <t>Resultatopgørelse</t>
  </si>
  <si>
    <t>Salgsprovision</t>
  </si>
  <si>
    <t>Viser indtægter og udgifter for virksomheden inden for en given periode - oftest et år.</t>
  </si>
  <si>
    <t xml:space="preserve">Året resultatet som det fremkommer af resultatopgørelsen skal gerne svare til det henlagte overskud i balancen. </t>
  </si>
  <si>
    <t>Skyldsbeløb til skat (minus = modtage penge)</t>
  </si>
  <si>
    <t>Anskaffelsespris</t>
  </si>
  <si>
    <t>Afskrivningsprocent</t>
  </si>
  <si>
    <t>Lånetyper</t>
  </si>
  <si>
    <t xml:space="preserve">Kassekredit - Her ikke et fast lån, men en aftale om et lån op til en bestemt grænse. Man betaler kun rente af det faktiske lån, men der betales oftest provision af det samlede mulige lån. </t>
  </si>
  <si>
    <t>Stående lån - Der betales løbende renter, men der afdrages ellers ikke hver termin. Det resterende betales til sidste termin</t>
  </si>
  <si>
    <t>Serielån - Et konstant afdrag hver termin, men renten og ydelsen bestemmer derimod løbende.</t>
  </si>
  <si>
    <t>Annuitetslån - Her er ydelsen for alle terminer, renten beregnes først og aftagende mens afdraget er stigende i løbet af løbetiden for lånet</t>
  </si>
  <si>
    <t>Hybrider er kombinationen af flere lånetypr</t>
  </si>
  <si>
    <t>Eksempelvis kan et lån være afdragsfrit de første år, hvor der kun betales renter, hvorefter hovedstolen så afdrages over de sidste år.</t>
  </si>
  <si>
    <t xml:space="preserve">Meget ofte benyttet i forbindelse med boliglån. </t>
  </si>
  <si>
    <t>Lånets ydelse beregnes ved YDELSE-funktionen i excel</t>
  </si>
  <si>
    <t xml:space="preserve">Risikoaversion - Af to værdipapirer med samme afkast foretrækkes altid det værdipapir med den laveste risiko </t>
  </si>
  <si>
    <t xml:space="preserve">Afkastsøgende - Af to værdipapirer med samme risiko vil investoren altid foretrække det værdipapir med højest forventet afkast. </t>
  </si>
  <si>
    <t xml:space="preserve">Oftest må investoren dog foretage en afvejning mellem højt afkast og lav risiko - højere afkast medfører oftest højere risiko. </t>
  </si>
  <si>
    <t>Graden af risikoaverison er den mest centrale for dette valg</t>
  </si>
  <si>
    <t>Risikoaversion betyder ikke, at en investor altid nægter at påtage sig mere risiko. Det handler om hvor stort det ekstra afkast skal være før investoren vil påtage sig mere risiko. Risikopræmien.</t>
  </si>
  <si>
    <t>Værdipapirerne købes og sælges til en markedspris, der varierer over tid. Således kan prisen på det enkelte værdipapir stige eller falde. Afkastet er så den mængde, investoren har tjent over den periode, hvor han har ejet papiret</t>
  </si>
  <si>
    <t>Der er således to elementer i afkastet. Ændringerne i markedsværdien, der kan få værdien på papiret til at ændre sig og de konstante afkast</t>
  </si>
  <si>
    <r>
      <t>TR</t>
    </r>
    <r>
      <rPr>
        <vertAlign val="subscript"/>
        <sz val="12"/>
        <color theme="1"/>
        <rFont val="Calibri (Tekst)"/>
      </rPr>
      <t>t</t>
    </r>
    <r>
      <rPr>
        <sz val="12"/>
        <color theme="1"/>
        <rFont val="Calibri"/>
        <family val="2"/>
        <scheme val="minor"/>
      </rPr>
      <t xml:space="preserve"> = </t>
    </r>
  </si>
  <si>
    <t>CF - er cashflows for værdipapiret i perioden t</t>
  </si>
  <si>
    <r>
      <t>CF</t>
    </r>
    <r>
      <rPr>
        <vertAlign val="subscript"/>
        <sz val="12"/>
        <color theme="1"/>
        <rFont val="Calibri (Tekst)"/>
      </rPr>
      <t xml:space="preserve">t </t>
    </r>
    <r>
      <rPr>
        <sz val="12"/>
        <color theme="1"/>
        <rFont val="Calibri"/>
        <family val="2"/>
        <scheme val="minor"/>
      </rPr>
      <t>+ P</t>
    </r>
    <r>
      <rPr>
        <vertAlign val="subscript"/>
        <sz val="12"/>
        <color theme="1"/>
        <rFont val="Calibri (Tekst)"/>
      </rPr>
      <t>E</t>
    </r>
    <r>
      <rPr>
        <sz val="12"/>
        <color theme="1"/>
        <rFont val="Calibri"/>
        <family val="2"/>
        <scheme val="minor"/>
      </rPr>
      <t xml:space="preserve"> - P</t>
    </r>
    <r>
      <rPr>
        <vertAlign val="subscript"/>
        <sz val="12"/>
        <color theme="1"/>
        <rFont val="Calibri (Tekst)"/>
      </rPr>
      <t>B</t>
    </r>
  </si>
  <si>
    <r>
      <t>P</t>
    </r>
    <r>
      <rPr>
        <vertAlign val="subscript"/>
        <sz val="12"/>
        <color theme="1"/>
        <rFont val="Calibri (Tekst)"/>
      </rPr>
      <t>B</t>
    </r>
  </si>
  <si>
    <t>P - er prisen i hhv begyndelsen, B, og slutningen, E</t>
  </si>
  <si>
    <r>
      <t>RR</t>
    </r>
    <r>
      <rPr>
        <vertAlign val="subscript"/>
        <sz val="12"/>
        <color theme="1"/>
        <rFont val="Calibri (Tekst)"/>
      </rPr>
      <t>t</t>
    </r>
    <r>
      <rPr>
        <sz val="12"/>
        <color theme="1"/>
        <rFont val="Calibri"/>
        <family val="2"/>
        <scheme val="minor"/>
      </rPr>
      <t xml:space="preserve"> = TR</t>
    </r>
    <r>
      <rPr>
        <vertAlign val="subscript"/>
        <sz val="12"/>
        <color theme="1"/>
        <rFont val="Calibri (Tekst)"/>
      </rPr>
      <t xml:space="preserve">t </t>
    </r>
    <r>
      <rPr>
        <sz val="12"/>
        <color theme="1"/>
        <rFont val="Calibri"/>
        <family val="2"/>
        <scheme val="minor"/>
      </rPr>
      <t>+ 1=</t>
    </r>
  </si>
  <si>
    <r>
      <t>CF</t>
    </r>
    <r>
      <rPr>
        <vertAlign val="subscript"/>
        <sz val="12"/>
        <color theme="1"/>
        <rFont val="Calibri (Tekst)"/>
      </rPr>
      <t xml:space="preserve">t </t>
    </r>
    <r>
      <rPr>
        <sz val="12"/>
        <color theme="1"/>
        <rFont val="Calibri"/>
        <family val="2"/>
        <scheme val="minor"/>
      </rPr>
      <t>+ P</t>
    </r>
    <r>
      <rPr>
        <vertAlign val="subscript"/>
        <sz val="12"/>
        <color theme="1"/>
        <rFont val="Calibri (Tekst)"/>
      </rPr>
      <t>E</t>
    </r>
  </si>
  <si>
    <t xml:space="preserve">Det nominelle afkast er det direkte afkast i kroner og ører, mens det reale er den reelle værdistigning. </t>
  </si>
  <si>
    <t>Det inflationsregulerede afkast kan beregnes ved:</t>
  </si>
  <si>
    <t>1 + inflationsrate</t>
  </si>
  <si>
    <t>1 + TR</t>
  </si>
  <si>
    <t>- 1</t>
  </si>
  <si>
    <r>
      <t>TR</t>
    </r>
    <r>
      <rPr>
        <vertAlign val="subscript"/>
        <sz val="12"/>
        <color theme="1"/>
        <rFont val="Calibri (Tekst)"/>
      </rPr>
      <t>IA</t>
    </r>
    <r>
      <rPr>
        <sz val="12"/>
        <color theme="1"/>
        <rFont val="Calibri"/>
        <family val="2"/>
        <scheme val="minor"/>
      </rPr>
      <t xml:space="preserve"> =</t>
    </r>
  </si>
  <si>
    <r>
      <t>CR</t>
    </r>
    <r>
      <rPr>
        <vertAlign val="subscript"/>
        <sz val="12"/>
        <color theme="1"/>
        <rFont val="Calibri (Tekst)"/>
      </rPr>
      <t>n</t>
    </r>
    <r>
      <rPr>
        <sz val="12"/>
        <color theme="1"/>
        <rFont val="Calibri"/>
        <family val="2"/>
        <scheme val="minor"/>
      </rPr>
      <t xml:space="preserve"> = RR</t>
    </r>
    <r>
      <rPr>
        <vertAlign val="subscript"/>
        <sz val="12"/>
        <color theme="1"/>
        <rFont val="Calibri (Tekst)"/>
      </rPr>
      <t xml:space="preserve">1 </t>
    </r>
    <r>
      <rPr>
        <sz val="12"/>
        <color theme="1"/>
        <rFont val="Calibri"/>
        <family val="2"/>
        <scheme val="minor"/>
      </rPr>
      <t>* RR</t>
    </r>
    <r>
      <rPr>
        <vertAlign val="subscript"/>
        <sz val="12"/>
        <color theme="1"/>
        <rFont val="Calibri (Tekst)"/>
      </rPr>
      <t>2</t>
    </r>
    <r>
      <rPr>
        <sz val="12"/>
        <color theme="1"/>
        <rFont val="Calibri"/>
        <family val="2"/>
        <scheme val="minor"/>
      </rPr>
      <t xml:space="preserve"> * … * RR</t>
    </r>
    <r>
      <rPr>
        <vertAlign val="subscript"/>
        <sz val="12"/>
        <color theme="1"/>
        <rFont val="Calibri (Tekst)"/>
      </rPr>
      <t>n</t>
    </r>
  </si>
  <si>
    <t>Afkast over tid</t>
  </si>
  <si>
    <t>Arismetisk gennemsnit =</t>
  </si>
  <si>
    <t>TR1 + TR2 + … + TRn</t>
  </si>
  <si>
    <t>n</t>
  </si>
  <si>
    <t>Geometrisk gennemsnit =</t>
  </si>
  <si>
    <r>
      <t>(RR1 * RR2 * … * RRn)</t>
    </r>
    <r>
      <rPr>
        <vertAlign val="superscript"/>
        <sz val="12"/>
        <color theme="1"/>
        <rFont val="Calibri (Tekst)"/>
      </rPr>
      <t xml:space="preserve">1/n </t>
    </r>
    <r>
      <rPr>
        <sz val="12"/>
        <color theme="1"/>
        <rFont val="Calibri"/>
        <family val="2"/>
        <scheme val="minor"/>
      </rPr>
      <t>- 1</t>
    </r>
  </si>
  <si>
    <t>Risiko</t>
  </si>
  <si>
    <r>
      <t>Risiko</t>
    </r>
    <r>
      <rPr>
        <vertAlign val="superscript"/>
        <sz val="12"/>
        <color theme="1"/>
        <rFont val="Calibri (Tekst)"/>
      </rPr>
      <t>2</t>
    </r>
    <r>
      <rPr>
        <sz val="12"/>
        <color theme="1"/>
        <rFont val="Calibri"/>
        <family val="2"/>
        <scheme val="minor"/>
      </rPr>
      <t xml:space="preserve"> =</t>
    </r>
  </si>
  <si>
    <r>
      <t>SUM (TR</t>
    </r>
    <r>
      <rPr>
        <vertAlign val="subscript"/>
        <sz val="12"/>
        <color theme="1"/>
        <rFont val="Calibri (Tekst)"/>
      </rPr>
      <t>i</t>
    </r>
    <r>
      <rPr>
        <sz val="12"/>
        <color theme="1"/>
        <rFont val="Calibri"/>
        <family val="2"/>
        <scheme val="minor"/>
      </rPr>
      <t xml:space="preserve"> -TR)</t>
    </r>
    <r>
      <rPr>
        <vertAlign val="superscript"/>
        <sz val="12"/>
        <color theme="1"/>
        <rFont val="Calibri (Tekst)"/>
      </rPr>
      <t>2</t>
    </r>
  </si>
  <si>
    <t>n - 1</t>
  </si>
  <si>
    <r>
      <t>Risiko</t>
    </r>
    <r>
      <rPr>
        <sz val="12"/>
        <color theme="1"/>
        <rFont val="Calibri"/>
        <family val="2"/>
        <scheme val="minor"/>
      </rPr>
      <t xml:space="preserve"> =</t>
    </r>
  </si>
  <si>
    <t>(</t>
  </si>
  <si>
    <r>
      <t>)</t>
    </r>
    <r>
      <rPr>
        <vertAlign val="superscript"/>
        <sz val="12"/>
        <color theme="1"/>
        <rFont val="Calibri (Tekst)"/>
      </rPr>
      <t>1/2</t>
    </r>
  </si>
  <si>
    <t>ÅR</t>
    <phoneticPr fontId="0" type="noConversion"/>
  </si>
  <si>
    <t>ÅRLIGT AFKAST (TR)</t>
  </si>
  <si>
    <t>RELATIVT AFKAST (RR)</t>
  </si>
  <si>
    <t>UDBYTTE /AKTIE</t>
  </si>
  <si>
    <t>ULTIMO KURS</t>
  </si>
  <si>
    <r>
      <t>Kovarians</t>
    </r>
    <r>
      <rPr>
        <vertAlign val="subscript"/>
        <sz val="12"/>
        <color theme="1"/>
        <rFont val="Calibri (Tekst)"/>
      </rPr>
      <t>XY</t>
    </r>
  </si>
  <si>
    <r>
      <t>Varians</t>
    </r>
    <r>
      <rPr>
        <vertAlign val="subscript"/>
        <sz val="12"/>
        <color theme="1"/>
        <rFont val="Calibri (Tekst)"/>
      </rPr>
      <t>X</t>
    </r>
    <r>
      <rPr>
        <sz val="12"/>
        <color theme="1"/>
        <rFont val="Calibri"/>
        <family val="2"/>
        <scheme val="minor"/>
      </rPr>
      <t xml:space="preserve"> * Varians</t>
    </r>
    <r>
      <rPr>
        <vertAlign val="subscript"/>
        <sz val="12"/>
        <color theme="1"/>
        <rFont val="Calibri (Tekst)"/>
      </rPr>
      <t>Y</t>
    </r>
  </si>
  <si>
    <t xml:space="preserve">Hvis korrelationen er negativt, så er de negativt korrelerede, vice versa og ved korrelationen = 0, så er de ikke korrelerede. </t>
  </si>
  <si>
    <t>Varians, Z =</t>
  </si>
  <si>
    <r>
      <t>Husk at for den enkelte virksomhed er efterspørgselskurven vandret, når der er fuldkommen konkurrence ved markedsprisen P</t>
    </r>
    <r>
      <rPr>
        <vertAlign val="subscript"/>
        <sz val="12"/>
        <color theme="1"/>
        <rFont val="Calibri (Tekst)"/>
      </rPr>
      <t>0</t>
    </r>
  </si>
  <si>
    <t>For hele markedet har efterspørgselskurven en hældning</t>
  </si>
  <si>
    <t>Invers efterspørgsel</t>
  </si>
  <si>
    <t>Anlæg A</t>
  </si>
  <si>
    <t>Anlæg B</t>
  </si>
  <si>
    <t>Annuitetsværdi</t>
  </si>
  <si>
    <t>Udbetaler udbytte</t>
  </si>
  <si>
    <t>Aktie 1</t>
  </si>
  <si>
    <t>Aktie 2</t>
  </si>
  <si>
    <t>Aktie 3</t>
  </si>
  <si>
    <t>KUMMULA-TIVT AFKAST</t>
  </si>
  <si>
    <t>AKTIE 1</t>
  </si>
  <si>
    <t>AKTIE 2</t>
  </si>
  <si>
    <t>AKTIE 3</t>
  </si>
  <si>
    <t>ARISMETISK GNS.</t>
  </si>
  <si>
    <t>GEOMETRISK GNS.</t>
  </si>
  <si>
    <r>
      <t>VARIANS(RISIKO</t>
    </r>
    <r>
      <rPr>
        <vertAlign val="superscript"/>
        <sz val="12"/>
        <color theme="1"/>
        <rFont val="Calibri (Tekst)"/>
      </rPr>
      <t>2</t>
    </r>
    <r>
      <rPr>
        <sz val="12"/>
        <color theme="1"/>
        <rFont val="Calibri"/>
        <family val="2"/>
        <scheme val="minor"/>
      </rPr>
      <t>)</t>
    </r>
  </si>
  <si>
    <t>STD. AFVIGELSE(RISIKO)</t>
  </si>
  <si>
    <t>Porteføljens nøgletal</t>
  </si>
  <si>
    <t>PORTEFØLJEVÆGT</t>
  </si>
  <si>
    <t>VARIANS</t>
    <phoneticPr fontId="0" type="noConversion"/>
  </si>
  <si>
    <t>STANDARDAFVIGELSE</t>
    <phoneticPr fontId="0" type="noConversion"/>
  </si>
  <si>
    <t>Korrelationen</t>
  </si>
  <si>
    <t>Kovariansen</t>
  </si>
  <si>
    <r>
      <t>Z = w</t>
    </r>
    <r>
      <rPr>
        <vertAlign val="subscript"/>
        <sz val="12"/>
        <color rgb="FF000000"/>
        <rFont val="Calibri (Tekst)"/>
      </rPr>
      <t>x</t>
    </r>
    <r>
      <rPr>
        <sz val="12"/>
        <color rgb="FF000000"/>
        <rFont val="Calibri"/>
        <family val="2"/>
        <scheme val="minor"/>
      </rPr>
      <t>X + w</t>
    </r>
    <r>
      <rPr>
        <vertAlign val="subscript"/>
        <sz val="12"/>
        <color rgb="FF000000"/>
        <rFont val="Calibri (Tekst)"/>
      </rPr>
      <t>Y</t>
    </r>
    <r>
      <rPr>
        <sz val="12"/>
        <color rgb="FF000000"/>
        <rFont val="Calibri"/>
        <family val="2"/>
        <scheme val="minor"/>
      </rPr>
      <t>Y</t>
    </r>
  </si>
  <si>
    <r>
      <t>w</t>
    </r>
    <r>
      <rPr>
        <vertAlign val="subscript"/>
        <sz val="12"/>
        <color rgb="FF000000"/>
        <rFont val="Calibri (Tekst)"/>
      </rPr>
      <t>x</t>
    </r>
    <r>
      <rPr>
        <vertAlign val="superscript"/>
        <sz val="12"/>
        <color rgb="FF000000"/>
        <rFont val="Calibri (Tekst)"/>
      </rPr>
      <t>2</t>
    </r>
    <r>
      <rPr>
        <sz val="12"/>
        <color rgb="FF000000"/>
        <rFont val="Calibri"/>
        <family val="2"/>
        <scheme val="minor"/>
      </rPr>
      <t xml:space="preserve"> * varians</t>
    </r>
    <r>
      <rPr>
        <vertAlign val="subscript"/>
        <sz val="12"/>
        <color rgb="FF000000"/>
        <rFont val="Calibri (Tekst)"/>
      </rPr>
      <t>x</t>
    </r>
    <r>
      <rPr>
        <vertAlign val="superscript"/>
        <sz val="12"/>
        <color rgb="FF000000"/>
        <rFont val="Calibri (Tekst)"/>
      </rPr>
      <t>2</t>
    </r>
    <r>
      <rPr>
        <sz val="12"/>
        <color rgb="FF000000"/>
        <rFont val="Calibri"/>
        <family val="2"/>
        <scheme val="minor"/>
      </rPr>
      <t xml:space="preserve"> + w</t>
    </r>
    <r>
      <rPr>
        <vertAlign val="subscript"/>
        <sz val="12"/>
        <color rgb="FF000000"/>
        <rFont val="Calibri (Tekst)"/>
      </rPr>
      <t>Y</t>
    </r>
    <r>
      <rPr>
        <vertAlign val="superscript"/>
        <sz val="12"/>
        <color rgb="FF000000"/>
        <rFont val="Calibri (Tekst)"/>
      </rPr>
      <t>2</t>
    </r>
    <r>
      <rPr>
        <sz val="12"/>
        <color rgb="FF000000"/>
        <rFont val="Calibri"/>
        <family val="2"/>
        <scheme val="minor"/>
      </rPr>
      <t xml:space="preserve"> * varians</t>
    </r>
    <r>
      <rPr>
        <vertAlign val="subscript"/>
        <sz val="12"/>
        <color rgb="FF000000"/>
        <rFont val="Calibri (Tekst)"/>
      </rPr>
      <t>Y</t>
    </r>
    <r>
      <rPr>
        <vertAlign val="superscript"/>
        <sz val="12"/>
        <color rgb="FF000000"/>
        <rFont val="Calibri (Tekst)"/>
      </rPr>
      <t>2</t>
    </r>
    <r>
      <rPr>
        <sz val="12"/>
        <color rgb="FF000000"/>
        <rFont val="Calibri"/>
        <family val="2"/>
        <scheme val="minor"/>
      </rPr>
      <t xml:space="preserve"> + 2 * w</t>
    </r>
    <r>
      <rPr>
        <vertAlign val="subscript"/>
        <sz val="12"/>
        <color rgb="FF000000"/>
        <rFont val="Calibri (Tekst)"/>
      </rPr>
      <t xml:space="preserve">x </t>
    </r>
    <r>
      <rPr>
        <sz val="12"/>
        <color rgb="FF000000"/>
        <rFont val="Calibri"/>
        <family val="2"/>
        <scheme val="minor"/>
      </rPr>
      <t>* w</t>
    </r>
    <r>
      <rPr>
        <vertAlign val="subscript"/>
        <sz val="12"/>
        <color rgb="FF000000"/>
        <rFont val="Calibri (Tekst)"/>
      </rPr>
      <t>Y</t>
    </r>
    <r>
      <rPr>
        <sz val="12"/>
        <color rgb="FF000000"/>
        <rFont val="Calibri"/>
        <family val="2"/>
        <scheme val="minor"/>
      </rPr>
      <t xml:space="preserve"> * kovarians</t>
    </r>
    <r>
      <rPr>
        <vertAlign val="subscript"/>
        <sz val="12"/>
        <color rgb="FF000000"/>
        <rFont val="Calibri (Tekst)"/>
      </rPr>
      <t>XY</t>
    </r>
  </si>
  <si>
    <t>FORVENTEDE AFKAST</t>
  </si>
  <si>
    <r>
      <t>w</t>
    </r>
    <r>
      <rPr>
        <vertAlign val="subscript"/>
        <sz val="12"/>
        <color theme="1"/>
        <rFont val="Calibri (Tekst)"/>
      </rPr>
      <t>x</t>
    </r>
    <r>
      <rPr>
        <sz val="12"/>
        <color theme="1"/>
        <rFont val="Calibri"/>
        <family val="2"/>
        <scheme val="minor"/>
      </rPr>
      <t xml:space="preserve"> * Forventet afkast</t>
    </r>
    <r>
      <rPr>
        <vertAlign val="subscript"/>
        <sz val="12"/>
        <color theme="1"/>
        <rFont val="Calibri (Tekst)"/>
      </rPr>
      <t>X</t>
    </r>
    <r>
      <rPr>
        <sz val="12"/>
        <color theme="1"/>
        <rFont val="Calibri"/>
        <family val="2"/>
        <scheme val="minor"/>
      </rPr>
      <t xml:space="preserve"> + w</t>
    </r>
    <r>
      <rPr>
        <vertAlign val="subscript"/>
        <sz val="12"/>
        <color theme="1"/>
        <rFont val="Calibri (Tekst)"/>
      </rPr>
      <t>Y</t>
    </r>
    <r>
      <rPr>
        <sz val="12"/>
        <color theme="1"/>
        <rFont val="Calibri"/>
        <family val="2"/>
        <scheme val="minor"/>
      </rPr>
      <t xml:space="preserve"> * Forventet afkast</t>
    </r>
    <r>
      <rPr>
        <vertAlign val="subscript"/>
        <sz val="12"/>
        <color theme="1"/>
        <rFont val="Calibri (Tekst)"/>
      </rPr>
      <t>Y</t>
    </r>
  </si>
  <si>
    <t>Fundamentalværdier</t>
  </si>
  <si>
    <t>Krav til forrentningen</t>
  </si>
  <si>
    <t>Fundamental værdi</t>
  </si>
  <si>
    <r>
      <t>Væksten i udbyttet</t>
    </r>
    <r>
      <rPr>
        <vertAlign val="subscript"/>
        <sz val="12"/>
        <color theme="1"/>
        <rFont val="Calibri (Tekst)"/>
      </rPr>
      <t>periode 1+2</t>
    </r>
  </si>
  <si>
    <r>
      <t>Væksten i udbyttet</t>
    </r>
    <r>
      <rPr>
        <vertAlign val="subscript"/>
        <sz val="12"/>
        <color theme="1"/>
        <rFont val="Calibri (Tekst)"/>
      </rPr>
      <t>periode 3 - …</t>
    </r>
  </si>
  <si>
    <t>Egenkapitalens forrentning</t>
  </si>
  <si>
    <t>Gearing, indkomststruktur</t>
  </si>
  <si>
    <t>Gearing, kapitalstruktur</t>
  </si>
  <si>
    <t xml:space="preserve">      Samlet gearing</t>
  </si>
  <si>
    <t>Se anden fane for forklaring af tallene</t>
  </si>
  <si>
    <t>Likviditetsgrad A, current ratio</t>
  </si>
  <si>
    <t>Likviditetsgrad B, quick ratio</t>
  </si>
  <si>
    <t>Værdipapirer</t>
  </si>
  <si>
    <t>Enheder</t>
  </si>
  <si>
    <t>Pris</t>
  </si>
  <si>
    <t>Endelig værdi</t>
  </si>
  <si>
    <t>Energiforbrug</t>
  </si>
  <si>
    <t>Eventuel kurs</t>
  </si>
  <si>
    <t>Transportomkostninger</t>
  </si>
  <si>
    <t>Alternativomkostninger</t>
  </si>
  <si>
    <t>Andre omkostninger</t>
  </si>
  <si>
    <t>Anlæg</t>
  </si>
  <si>
    <t xml:space="preserve">     Udgifter i forbindelse med salg af ovenstående varer</t>
  </si>
  <si>
    <t>Udbetaler løn</t>
  </si>
  <si>
    <t>Tilgodehavender</t>
  </si>
  <si>
    <t>Køber varer</t>
  </si>
  <si>
    <t>Investeringer</t>
  </si>
  <si>
    <t>Udsteder aktier</t>
  </si>
  <si>
    <t>Renteudgifter</t>
  </si>
  <si>
    <t>Øvrige aktiver</t>
  </si>
  <si>
    <t>Inventar</t>
  </si>
  <si>
    <t>Øvrige passiver</t>
  </si>
  <si>
    <t>ØVRIGE PASSIVER I ALT</t>
  </si>
  <si>
    <t>Beregning af nøgletal på denne baggrund</t>
  </si>
  <si>
    <t>Beregninger</t>
  </si>
  <si>
    <t>Hovedstolen</t>
  </si>
  <si>
    <t>Kurstab</t>
  </si>
  <si>
    <t>Tinglysningsgebyr</t>
  </si>
  <si>
    <t>Kurtage</t>
  </si>
  <si>
    <t>Lån 1</t>
  </si>
  <si>
    <t>Lån 2</t>
  </si>
  <si>
    <t>Kendte variable</t>
  </si>
  <si>
    <t>Kurs</t>
  </si>
  <si>
    <t>Papirarbejde</t>
  </si>
  <si>
    <t>Stiftelsesgebyr</t>
  </si>
  <si>
    <t>Vurdering</t>
  </si>
  <si>
    <t>(% af hovedstol)</t>
  </si>
  <si>
    <t>(% af kursværdi)</t>
  </si>
  <si>
    <t>Kurstabet</t>
  </si>
  <si>
    <t>For at vurdere om en investering er rentabel kan det være optimalt at opstille en investeringskalkyle, hvortil man kan beregne nutidsværdien for investeringen</t>
  </si>
  <si>
    <t xml:space="preserve">Nutidsværdien, nettonutidsværdien, kan bruges til at se på kapitalværdimetoden, der afspejler om nutidsværdien af en investering er større end eller mindre end nul. Hvis denne er større end nul, så betyder det, at ved enden af investeringen, har man tjent penge på investeringen, når der også er taget højde for inflation etc. </t>
  </si>
  <si>
    <t>Produktionsomkostninger</t>
  </si>
  <si>
    <t>Aktiekurser til beregning af TR</t>
  </si>
  <si>
    <t xml:space="preserve">Hvis man i en opgave udelukkende får givet aktiekurserne og derudfra skal benytte disse til at regne afkast og risiko, skal man først have beregnet værdierne for TR og RR. </t>
  </si>
  <si>
    <t>Markedsindeks</t>
  </si>
  <si>
    <t>Aktie 4</t>
  </si>
  <si>
    <t>Aktie 5</t>
  </si>
  <si>
    <t>Aktie 6</t>
  </si>
  <si>
    <t>Aktie 7</t>
  </si>
  <si>
    <t>Aktie 8</t>
  </si>
  <si>
    <t>Aktie 9</t>
  </si>
  <si>
    <t>Aktie 10</t>
  </si>
  <si>
    <t>Relative return værdier - RR - for ovenstående aktiekurser</t>
  </si>
  <si>
    <t>Total return værdier -TR -  for ovenstående aktiekurser</t>
  </si>
  <si>
    <t>Arismetisk gennemsnit</t>
  </si>
  <si>
    <t>Geometrisk gennemsnit</t>
  </si>
  <si>
    <t>Varians</t>
  </si>
  <si>
    <t>Standard afvigelse</t>
  </si>
  <si>
    <t>Portefølje med vægte</t>
  </si>
  <si>
    <t>Betaværdier og det krævede afkast</t>
  </si>
  <si>
    <t xml:space="preserve">For at beregne beta kræves ovenstående værdier. For det krævede afkast ved at indlemme den givne aktie i markedsporteføljen skal markedsafkastet og det risikofrie afkast være kendt. </t>
  </si>
  <si>
    <t>Kovarians med markedet</t>
  </si>
  <si>
    <t>Markedet</t>
  </si>
  <si>
    <t>Beta</t>
  </si>
  <si>
    <t>Markedsafkast</t>
  </si>
  <si>
    <t>Risikofritafkast</t>
  </si>
  <si>
    <t>Krævet afkast</t>
  </si>
  <si>
    <t>Dividend discount model</t>
  </si>
  <si>
    <t>Markedsporteføljen</t>
  </si>
  <si>
    <t>Betaværdi</t>
  </si>
  <si>
    <t>Risikofrit afkast</t>
  </si>
  <si>
    <t>Tilbagebetalingstid anlæg A</t>
  </si>
  <si>
    <t>Tilbagebetalingstid anlæg B</t>
  </si>
  <si>
    <t>år</t>
  </si>
  <si>
    <t>VIGTIGT</t>
  </si>
  <si>
    <t>De procentvise ændringer tager udgangspunkt i, at priserne oplyst i opgaveteksten er for år 1. Hvormed priserne først ændrer sig i periode 2</t>
  </si>
  <si>
    <t>Når der skal bestemmes et samlet afkast mellem flere værdipapirer ligges værdipapirernes individuelle afkast blot sammen</t>
  </si>
  <si>
    <t>Kravet til forrentningen</t>
  </si>
  <si>
    <r>
      <t>Væksten i udbyttet</t>
    </r>
    <r>
      <rPr>
        <i/>
        <vertAlign val="subscript"/>
        <sz val="12"/>
        <color theme="1"/>
        <rFont val="Calibri (Tekst)"/>
      </rPr>
      <t>periode 1+2</t>
    </r>
  </si>
  <si>
    <r>
      <t>Væksten i udbyttet</t>
    </r>
    <r>
      <rPr>
        <i/>
        <vertAlign val="subscript"/>
        <sz val="12"/>
        <color theme="1"/>
        <rFont val="Calibri (Tekst)"/>
      </rPr>
      <t>periode 3 - …</t>
    </r>
  </si>
  <si>
    <t xml:space="preserve">Investorens krav til hvordan forrentningen af aktien skal være. Oftest givet i opgaven. </t>
  </si>
  <si>
    <t xml:space="preserve">Den fundamentale værdi for et aktiv er en måde at bestemme, hvor meget en aktie egentligt er værd til et givent tidspunkt, når værdien stiger hvert år i fremtiden. Denne kan beregnes på forskellige måder, der ses nedenfor. </t>
  </si>
  <si>
    <t>Ved denne metode ser man på de fremtidige udbetalinger af afkast ved en aktie - dermed de dividender(udbytter) der bliver udbetalt til investorerne. Udfordringen er, at man skal kendeestimater for dividende udbetalingerne i al fremtid. Man skal til udregningen bestemme følgende;</t>
  </si>
  <si>
    <t>Free Cashflow to Equity</t>
  </si>
  <si>
    <t xml:space="preserve">Ved denne metode findes et estimat for alle de dividender, som virksomheden reelt kunne udbetale af sine aktier fratrukket udgifterne til gæld og nettoinvesteringerne. Disse bruges således til at bestemme fundamentalværdien idet det antages, at de hvert år vokser ligesom dividenderne. </t>
  </si>
  <si>
    <t>FCFE</t>
  </si>
  <si>
    <t>Dividende</t>
  </si>
  <si>
    <t>Dividende:</t>
  </si>
  <si>
    <t>Her beregnes fundamentalværdien under antagelse af, at FCFE er evig i al fremtidig(selvom det dog reelt nok ikke er tilfældet) :-)</t>
  </si>
  <si>
    <r>
      <t>E[R</t>
    </r>
    <r>
      <rPr>
        <vertAlign val="subscript"/>
        <sz val="12"/>
        <color theme="1"/>
        <rFont val="Calibri (Tekst)"/>
      </rPr>
      <t>P</t>
    </r>
    <r>
      <rPr>
        <sz val="12"/>
        <color theme="1"/>
        <rFont val="Calibri"/>
        <family val="2"/>
        <scheme val="minor"/>
      </rPr>
      <t xml:space="preserve">] = RF + </t>
    </r>
  </si>
  <si>
    <r>
      <t>E(R</t>
    </r>
    <r>
      <rPr>
        <vertAlign val="subscript"/>
        <sz val="12"/>
        <color theme="1"/>
        <rFont val="Calibri (Tekst)"/>
      </rPr>
      <t xml:space="preserve">M </t>
    </r>
    <r>
      <rPr>
        <sz val="12"/>
        <color theme="1"/>
        <rFont val="Calibri"/>
        <family val="2"/>
        <scheme val="minor"/>
      </rPr>
      <t>) - RF</t>
    </r>
  </si>
  <si>
    <t>Aktiver/Passiver</t>
  </si>
  <si>
    <t>Gearing i indkomsstruktur</t>
  </si>
  <si>
    <t>Gearing i kapitalstruktur</t>
  </si>
  <si>
    <t>Afkastningsgrad</t>
  </si>
  <si>
    <t>Gæld/egenkapital forholdet</t>
  </si>
  <si>
    <t xml:space="preserve">De samlede aktiver er den totale kapital, der er investeret i virksomheden - da aktiver = passiver. </t>
  </si>
  <si>
    <t>Current ration</t>
  </si>
  <si>
    <t>Quick ratio</t>
  </si>
  <si>
    <t>Kortfristet gæld</t>
  </si>
  <si>
    <t>Omsætningsaktiver</t>
  </si>
  <si>
    <t>Kontanter + værdipapirer + tilgodehavender</t>
  </si>
  <si>
    <t>WACC</t>
  </si>
  <si>
    <t>Renter/Gæld forholdet</t>
  </si>
  <si>
    <t xml:space="preserve">Den årlige fortjeneste for virksomheden ved investeringen, når der geninvesteres hver gang, at løbetiden udløber. </t>
  </si>
  <si>
    <t>Differensen mellem de to nutidsværdier</t>
  </si>
  <si>
    <t>WACC bruges til at udregne kapitalomkostningen/kalkulationsrenten for en virksomhed, idet den viser den vægtede kapitalomkostning for virksomheden.</t>
  </si>
  <si>
    <t>* EKF</t>
  </si>
  <si>
    <t>+</t>
  </si>
  <si>
    <t>Egenkapital + Gæld</t>
  </si>
  <si>
    <t>* RG</t>
  </si>
  <si>
    <t>WACC  =</t>
  </si>
  <si>
    <t>WACC (Kalkulationsrenten)</t>
  </si>
  <si>
    <t>Rente/gæld forholdet</t>
  </si>
  <si>
    <t>Likviditetsgrad A, quick ratio</t>
  </si>
  <si>
    <t>Likviditetsgrad B, current ratio</t>
  </si>
  <si>
    <t>WACC(Kalkulationsrenten)</t>
  </si>
  <si>
    <t>Sælger varer - og modtager betaling senere</t>
  </si>
  <si>
    <t>Diverse omkostninger</t>
  </si>
  <si>
    <t>Kursværdi</t>
  </si>
  <si>
    <t>Eftertjek hovedstol</t>
  </si>
  <si>
    <t>Indsæt beregnet hovedstol i skemaet til venstre</t>
  </si>
  <si>
    <t>YDELSE EFTER SKAT</t>
  </si>
  <si>
    <t>Eventuel skattesats</t>
  </si>
  <si>
    <t>Effektiv rente efter skat</t>
  </si>
  <si>
    <t>Husk at ændre hvis perioderne er kortere</t>
  </si>
  <si>
    <t>Lejeudgifter</t>
  </si>
  <si>
    <t>Småanskaffelser</t>
  </si>
  <si>
    <t xml:space="preserve">   Afskriver anlæg med xx procent</t>
  </si>
  <si>
    <t>Marketingskonsulent</t>
  </si>
  <si>
    <t>Afdrager på lån</t>
  </si>
  <si>
    <t>Sælger varer - på kredit til følgende år</t>
  </si>
  <si>
    <t>Forudbetalt løn</t>
  </si>
  <si>
    <t>Køber varer på kredit</t>
  </si>
  <si>
    <t>Når der afskrives med saldoafskrivninger, vil man aldrig ramme 0. Derfor skal man huske at afskrive hele restbeløbet i den sidste afskrivningsperiode</t>
  </si>
  <si>
    <t>HUSK AT ÆNDRE(Normalt ens med diskonteringsrenten)</t>
  </si>
  <si>
    <t>Differens mellem de to nutidsværdier (A-B):</t>
  </si>
  <si>
    <t>Pålydende rente pr år</t>
  </si>
  <si>
    <t>Almindelig beregning'</t>
  </si>
  <si>
    <t>Investerer i aktier</t>
  </si>
  <si>
    <t>Udgifter i forbindelse med salg af varer</t>
  </si>
  <si>
    <t>Fald i aktiernes værdi</t>
  </si>
  <si>
    <t>Anlæg på kredit</t>
  </si>
  <si>
    <t>Bygninger</t>
  </si>
  <si>
    <t>Anden kortfristet gæld</t>
  </si>
  <si>
    <t>Øverste(simple)</t>
  </si>
  <si>
    <t>Nederste(kompliceret)</t>
  </si>
  <si>
    <t>Skal være 1 hvis der ingen valutakurs er. Indgår KUN i salgsprisen. Hvis udgifter i anden valuta skal kalkylen ændres</t>
  </si>
  <si>
    <t>Eventuelt %-vis ændring i pris eller mængde</t>
  </si>
  <si>
    <t>Akkummuleret nutidsværdi</t>
  </si>
  <si>
    <t>Annuitetsværdi pr. periode</t>
  </si>
  <si>
    <r>
      <t>w</t>
    </r>
    <r>
      <rPr>
        <vertAlign val="subscript"/>
        <sz val="12"/>
        <color rgb="FF000000"/>
        <rFont val="Calibri (Tekst)"/>
      </rPr>
      <t>x</t>
    </r>
    <r>
      <rPr>
        <vertAlign val="superscript"/>
        <sz val="12"/>
        <color rgb="FF000000"/>
        <rFont val="Calibri (Tekst)"/>
      </rPr>
      <t>2</t>
    </r>
    <r>
      <rPr>
        <sz val="12"/>
        <color rgb="FF000000"/>
        <rFont val="Calibri"/>
        <family val="2"/>
        <scheme val="minor"/>
      </rPr>
      <t xml:space="preserve"> * varians</t>
    </r>
    <r>
      <rPr>
        <vertAlign val="subscript"/>
        <sz val="12"/>
        <color rgb="FF000000"/>
        <rFont val="Calibri (Tekst)"/>
      </rPr>
      <t>x</t>
    </r>
    <r>
      <rPr>
        <vertAlign val="superscript"/>
        <sz val="12"/>
        <color rgb="FF000000"/>
        <rFont val="Calibri (Tekst)"/>
      </rPr>
      <t>2</t>
    </r>
    <r>
      <rPr>
        <sz val="12"/>
        <color rgb="FF000000"/>
        <rFont val="Calibri"/>
        <family val="2"/>
        <scheme val="minor"/>
      </rPr>
      <t xml:space="preserve"> + w</t>
    </r>
    <r>
      <rPr>
        <vertAlign val="subscript"/>
        <sz val="12"/>
        <color rgb="FF000000"/>
        <rFont val="Calibri (Tekst)"/>
      </rPr>
      <t>Y</t>
    </r>
    <r>
      <rPr>
        <vertAlign val="superscript"/>
        <sz val="12"/>
        <color rgb="FF000000"/>
        <rFont val="Calibri (Tekst)"/>
      </rPr>
      <t>2</t>
    </r>
    <r>
      <rPr>
        <sz val="12"/>
        <color rgb="FF000000"/>
        <rFont val="Calibri"/>
        <family val="2"/>
        <scheme val="minor"/>
      </rPr>
      <t xml:space="preserve"> * varians</t>
    </r>
    <r>
      <rPr>
        <vertAlign val="subscript"/>
        <sz val="12"/>
        <color rgb="FF000000"/>
        <rFont val="Calibri (Tekst)"/>
      </rPr>
      <t>Y</t>
    </r>
    <r>
      <rPr>
        <vertAlign val="superscript"/>
        <sz val="12"/>
        <color rgb="FF000000"/>
        <rFont val="Calibri (Tekst)"/>
      </rPr>
      <t>2</t>
    </r>
    <r>
      <rPr>
        <sz val="12"/>
        <color rgb="FF000000"/>
        <rFont val="Calibri"/>
        <family val="2"/>
        <scheme val="minor"/>
      </rPr>
      <t xml:space="preserve"> + 2 * w</t>
    </r>
    <r>
      <rPr>
        <vertAlign val="subscript"/>
        <sz val="12"/>
        <color rgb="FF000000"/>
        <rFont val="Calibri (Tekst)"/>
      </rPr>
      <t xml:space="preserve">x </t>
    </r>
    <r>
      <rPr>
        <sz val="12"/>
        <color rgb="FF000000"/>
        <rFont val="Calibri"/>
        <family val="2"/>
        <scheme val="minor"/>
      </rPr>
      <t>* w</t>
    </r>
    <r>
      <rPr>
        <vertAlign val="subscript"/>
        <sz val="12"/>
        <color rgb="FF000000"/>
        <rFont val="Calibri (Tekst)"/>
      </rPr>
      <t>Y</t>
    </r>
    <r>
      <rPr>
        <sz val="12"/>
        <color rgb="FF000000"/>
        <rFont val="Calibri"/>
        <family val="2"/>
        <scheme val="minor"/>
      </rPr>
      <t xml:space="preserve"> *varians</t>
    </r>
    <r>
      <rPr>
        <vertAlign val="subscript"/>
        <sz val="12"/>
        <color rgb="FF000000"/>
        <rFont val="Calibri (Tekst)"/>
      </rPr>
      <t xml:space="preserve">X </t>
    </r>
    <r>
      <rPr>
        <sz val="12"/>
        <color rgb="FF000000"/>
        <rFont val="Calibri (Tekst)"/>
      </rPr>
      <t>* varians</t>
    </r>
    <r>
      <rPr>
        <vertAlign val="subscript"/>
        <sz val="12"/>
        <color rgb="FF000000"/>
        <rFont val="Calibri (Tekst)"/>
      </rPr>
      <t>Y</t>
    </r>
    <r>
      <rPr>
        <sz val="12"/>
        <color rgb="FF000000"/>
        <rFont val="Calibri (Tekst)"/>
      </rPr>
      <t xml:space="preserve"> *Korrelation</t>
    </r>
    <r>
      <rPr>
        <vertAlign val="subscript"/>
        <sz val="12"/>
        <color rgb="FF000000"/>
        <rFont val="Calibri (Tekst)"/>
      </rPr>
      <t>XY</t>
    </r>
  </si>
  <si>
    <r>
      <t>Std. Afvigelse</t>
    </r>
    <r>
      <rPr>
        <vertAlign val="subscript"/>
        <sz val="12"/>
        <color theme="1"/>
        <rFont val="Calibri (Tekst)"/>
      </rPr>
      <t>M</t>
    </r>
  </si>
  <si>
    <r>
      <t>Std. Afvigelse</t>
    </r>
    <r>
      <rPr>
        <vertAlign val="subscript"/>
        <sz val="12"/>
        <color theme="1"/>
        <rFont val="Calibri (Tekst)"/>
      </rPr>
      <t>i</t>
    </r>
  </si>
  <si>
    <r>
      <t>Korrelation</t>
    </r>
    <r>
      <rPr>
        <vertAlign val="subscript"/>
        <sz val="12"/>
        <color theme="1"/>
        <rFont val="Calibri (Tekst)"/>
      </rPr>
      <t>XY</t>
    </r>
    <r>
      <rPr>
        <sz val="12"/>
        <color theme="1"/>
        <rFont val="Calibri"/>
        <family val="2"/>
        <scheme val="minor"/>
      </rPr>
      <t xml:space="preserve"> *</t>
    </r>
  </si>
  <si>
    <t>Langfristet gæld</t>
  </si>
  <si>
    <t xml:space="preserve">Der skelnes mellem imatterielle og materielle anlægsaktiver. De immaterielle er ting såsom goodwill og patentrettigheder. De materielle aktiver er ting, der kan direkte sælges såsom ejendomme og inventar - grunde eller maskiner. Finansielle aktiver er obligationer og aktier. Omsætningsaktiverne er ting, der benyttes til produktionen eller kan omsættes til likvider(hvis der altså ikke er tale om  likvider allerede). Omsætningsaktiverne sorteres efter likviditet. </t>
  </si>
  <si>
    <t>Immaterielle anlægsaktiver</t>
  </si>
  <si>
    <t>AKTIVER</t>
  </si>
  <si>
    <t>PASSIVER</t>
  </si>
  <si>
    <t>Materielle anlægsaktiver</t>
  </si>
  <si>
    <t>Finansielle anlægsaktiver</t>
  </si>
  <si>
    <t>BALANCEN</t>
  </si>
  <si>
    <t>INDTÆGTER</t>
  </si>
  <si>
    <t>OMKOSTNINGER</t>
  </si>
  <si>
    <t>Salgsindtægter</t>
  </si>
  <si>
    <t>Finansielle indtægter</t>
  </si>
  <si>
    <t>Salg af varer og tjenester</t>
  </si>
  <si>
    <t>Finansielle omkostninger</t>
  </si>
  <si>
    <r>
      <t>Selskabsskat (</t>
    </r>
    <r>
      <rPr>
        <b/>
        <sz val="12"/>
        <color rgb="FFFF0000"/>
        <rFont val="Calibri"/>
        <family val="2"/>
      </rPr>
      <t>xx</t>
    </r>
    <r>
      <rPr>
        <sz val="12"/>
        <color rgb="FF000000"/>
        <rFont val="Calibri"/>
        <family val="2"/>
      </rPr>
      <t>%)</t>
    </r>
  </si>
  <si>
    <t>RESULTAT FØR RENTER</t>
  </si>
  <si>
    <t>RESULTAT FØR SKAT</t>
  </si>
  <si>
    <t>OMSÆTNING</t>
  </si>
  <si>
    <t>ÅRETS RESULTAT</t>
  </si>
  <si>
    <t>NØGLETALSBEREGNINGER</t>
  </si>
  <si>
    <t>RESULTATOPGØRELSEN</t>
  </si>
  <si>
    <t>Betalingensstrøm, C</t>
  </si>
  <si>
    <t>SALDOBALANCE</t>
  </si>
  <si>
    <t>POSTERINGER</t>
  </si>
  <si>
    <t>Indfør saldobalancen i skemaet til højre og tilføj derefter de (efter)posteringer du får givet</t>
  </si>
  <si>
    <t>HUSK at resultatopgørelsen fra forrige år IKKE skal indgå som saldobalance, hvis posteringerne er for det følgende år</t>
  </si>
  <si>
    <t>ÅRSOPGØRELSE</t>
  </si>
  <si>
    <t>Ud fra givne posteringer kan balancen og resultatopgørelsen laves. Balancen kan udelukkende laves, hvis det henlagte overskud kendes, der er resultatet fra resultatopgørelsen.</t>
  </si>
  <si>
    <t xml:space="preserve">Over tid vil værdien af investeringer/anskaffelser falde, idet deres kvalitet forringes. Man afskriver værdien af disse enten lineært eller ved saldoafskrivninger for løbende at finde den tilnærmelsesvise værdi for investeringen. </t>
  </si>
  <si>
    <t>Fremtidsværdi = Nutidsværdi*(1+r)^t</t>
  </si>
  <si>
    <t>FREMTIDS OG NUTIDSVÆRDI</t>
  </si>
  <si>
    <t>PERPETUITET</t>
  </si>
  <si>
    <t xml:space="preserve">Udfyld cellerne i venstre side. Rør IKKE ved udregningerne. </t>
  </si>
  <si>
    <t>ANNUITET</t>
  </si>
  <si>
    <t>Nutidsværdi = Betalingsstøm/r</t>
  </si>
  <si>
    <t>Uden vækst i betalingsstrøm:</t>
  </si>
  <si>
    <t>Med vækst:</t>
  </si>
  <si>
    <r>
      <t xml:space="preserve">Her ser man på en </t>
    </r>
    <r>
      <rPr>
        <sz val="12"/>
        <color rgb="FFFF0000"/>
        <rFont val="Calibri (Tekst)"/>
      </rPr>
      <t>uendelig</t>
    </r>
    <r>
      <rPr>
        <sz val="12"/>
        <color theme="1"/>
        <rFont val="Calibri"/>
        <family val="2"/>
        <scheme val="minor"/>
      </rPr>
      <t xml:space="preserve"> række af betalinger, der i hvert år har samme værdi, som man ønsker at bestemme nutidsværdien af</t>
    </r>
  </si>
  <si>
    <r>
      <t xml:space="preserve">Her ser man på en </t>
    </r>
    <r>
      <rPr>
        <sz val="12"/>
        <color rgb="FFFF0000"/>
        <rFont val="Calibri (Tekst)"/>
      </rPr>
      <t>endelig</t>
    </r>
    <r>
      <rPr>
        <sz val="12"/>
        <color theme="1"/>
        <rFont val="Calibri"/>
        <family val="2"/>
        <scheme val="minor"/>
      </rPr>
      <t xml:space="preserve"> række af betalinger, der hvert år har samme værdi, som man ønsker at se på nutidsværdien af</t>
    </r>
  </si>
  <si>
    <t>Nutidsværdi = Betalingsstrøm/r - Betalingsstrøm/ (r * (1+r)^t)</t>
  </si>
  <si>
    <t>Hvis første betalinger først falder x antal år ude i fremtiden, når renten er lig r, så tilbagediskonteres x år;</t>
  </si>
  <si>
    <t>Anlæg C</t>
  </si>
  <si>
    <t>Anlæg D</t>
  </si>
  <si>
    <t>Intern rente, investering C</t>
  </si>
  <si>
    <t>Intern rente, investering D</t>
  </si>
  <si>
    <t>Modificeret intern rente, C</t>
  </si>
  <si>
    <t>Modificeret intern rente, D</t>
  </si>
  <si>
    <t xml:space="preserve">Den interne rente tager højde for, at der geninvesteres til DEN INTERNE RENTE. </t>
  </si>
  <si>
    <t>Den modificerede interne rente tager højde for, at de afkast, som en investering giver, kan geninvesteres til DISKONTERINGSRENTEN(eller en anden rente).</t>
  </si>
  <si>
    <t>Når grafen skærer x-aksen skulle det gerne svare til den interne rente</t>
  </si>
  <si>
    <t>Investering C</t>
  </si>
  <si>
    <t>Investering D</t>
  </si>
  <si>
    <t xml:space="preserve">Nutidsværdien når investeringen har uendelig levetid </t>
  </si>
  <si>
    <t>Tilbagebetalingstid anlæg C</t>
  </si>
  <si>
    <t>Tilbagebetalingstid anlæg D</t>
  </si>
  <si>
    <t>Tilbagebetalingsperioden angiver hvor lang tid det tager før indtægterne ved investeringen har oversteget investeringssummen. Dermed hvornår man begynder at tjene penge på investeringen.</t>
  </si>
  <si>
    <t xml:space="preserve">Der er i udregningen her antaget, at nettobetalingsstrømmen er ens i alle perioder. Dermed at væksten i indtægter/udgifter er lig 0. </t>
  </si>
  <si>
    <t>INVESTERINGSKALKYLER</t>
  </si>
  <si>
    <t>INTERN RENTE (IA)</t>
  </si>
  <si>
    <t>MODIFICERET INTERN RENTE</t>
  </si>
  <si>
    <t>FORHOLDET MELLEM DISKONTERINGSRENTEN OG NUTIDSVÆRDIEN</t>
  </si>
  <si>
    <t>Sæt som default til 100</t>
  </si>
  <si>
    <t>EFFEKTIV RENTE</t>
  </si>
  <si>
    <t>ANTAGELSER I FINANSIERING</t>
  </si>
  <si>
    <t>De følgende beregninger for afkast og risiko ved værdipapirerne er empiriske estimater. Dette gælder, fordi man beregner talene på baggrund af forrige perioders afkast.</t>
  </si>
  <si>
    <t xml:space="preserve">Således antages implicit, at man forventer at fremtiden bliver ligesom fortiden, hvilket man kan diskutere 'korrektheden' ved. </t>
  </si>
  <si>
    <t>EMPIRISKE ESTIMATER MODSAT FAKTISKE VÆRDIER</t>
  </si>
  <si>
    <t xml:space="preserve">Dermed er der altså tale om estimater og ikke det, som afkast faktisk vil være, og det er således kun det bedste bud. </t>
  </si>
  <si>
    <t>AFKAST</t>
  </si>
  <si>
    <t xml:space="preserve">Afkastet er den forventede indtjening, som en investorer vil få ved at eje aktien/obligationen. </t>
  </si>
  <si>
    <t>ESTIMATER FOR FREMTIDIGE AFKAST</t>
  </si>
  <si>
    <t>Til at estimere fremtidige afkast for værdipapirer ses på gennemsnittet af forrige perioders afkast. Der findes to typer af gennemsnit.</t>
  </si>
  <si>
    <r>
      <rPr>
        <i/>
        <sz val="12"/>
        <color theme="1"/>
        <rFont val="Calibri"/>
        <family val="2"/>
        <scheme val="minor"/>
      </rPr>
      <t>Det kummulative afkast</t>
    </r>
    <r>
      <rPr>
        <sz val="12"/>
        <color theme="1"/>
        <rFont val="Calibri"/>
        <family val="2"/>
        <scheme val="minor"/>
      </rPr>
      <t xml:space="preserve"> er således det samlede afkast over en given periode</t>
    </r>
  </si>
  <si>
    <r>
      <rPr>
        <i/>
        <sz val="12"/>
        <color theme="1"/>
        <rFont val="Calibri"/>
        <family val="2"/>
        <scheme val="minor"/>
      </rPr>
      <t>Det relative afkast</t>
    </r>
    <r>
      <rPr>
        <sz val="12"/>
        <color theme="1"/>
        <rFont val="Calibri"/>
        <family val="2"/>
        <scheme val="minor"/>
      </rPr>
      <t xml:space="preserve"> bruges, når der skal ses på, hvad en investor over en periode reelt har opnået af formue. Denne er således blot en skaleret udgave af det årlige afkast;</t>
    </r>
  </si>
  <si>
    <r>
      <t xml:space="preserve">Formlen for </t>
    </r>
    <r>
      <rPr>
        <i/>
        <sz val="12"/>
        <color theme="1"/>
        <rFont val="Calibri"/>
        <family val="2"/>
        <scheme val="minor"/>
      </rPr>
      <t>det årlige afkast</t>
    </r>
    <r>
      <rPr>
        <sz val="12"/>
        <color theme="1"/>
        <rFont val="Calibri"/>
        <family val="2"/>
        <scheme val="minor"/>
      </rPr>
      <t xml:space="preserve"> i en enkelt periode, t, svarer til :</t>
    </r>
  </si>
  <si>
    <t>Det geometriske gennemsnit angiver, hvad det årlige afkast skulle have været i alle år i perioden for at det kummulative afkast var det samme</t>
  </si>
  <si>
    <r>
      <t xml:space="preserve">Det arismetiske gennemsnit er det bedste bud på afkastet i et tilfældigt år indeholdt i en periode - </t>
    </r>
    <r>
      <rPr>
        <i/>
        <sz val="12"/>
        <color theme="1"/>
        <rFont val="Calibri"/>
        <family val="2"/>
        <scheme val="minor"/>
      </rPr>
      <t>og er det vi benytter som estimat for fremtidigt afkast</t>
    </r>
  </si>
  <si>
    <t>RISIKO</t>
  </si>
  <si>
    <t>ESTIMATER FOR RISIKO</t>
  </si>
  <si>
    <t xml:space="preserve">Meget simpelt måles risikoen som forskellen på det bedste og værste udfald, som investeringen kan have. Dermed beregnes variansen, der beskriver variabiliteten for den værdipapirets afkast. En lille varians er således ensbetydendemed at de mulige udfald ligger tæt på middelværdien - eller at der er lille sandsynlighed for at udfaldet ligger langt fra middelværdien. </t>
  </si>
  <si>
    <t>Variansen angiver den gennemsnitlige kvadrerede afvigelse fra middelværdien</t>
  </si>
  <si>
    <t>I stedet for variansen kan den empiriske standardafvigelse benyttes, da denne skalerer risikoen ned, så der er tale om samme 'måleenhed' som ved afkastberegningen</t>
  </si>
  <si>
    <t>PORTEFØLJER</t>
  </si>
  <si>
    <t>Når man ser på en sammensætning af flere værdipapirer, så er det relevant at se på, hvordan variansen mellem de to værdipapirer er. Altså om de to værdipapirer varierer på samme måde fra middelværdien(afkastet)</t>
  </si>
  <si>
    <t>Nedenfor ses kovariansen mellem aktierne</t>
  </si>
  <si>
    <t xml:space="preserve">I stedet for kovariansen ses på korrelationen, som skalerer aktiernes variabilitet i forhold til hinanden ned til intervallet </t>
  </si>
  <si>
    <t>Hvis korrelationen er lig 1, så er de perfekt korrellerede og udviklingen i afkastet er således præcis ens i foregående perioder</t>
  </si>
  <si>
    <t>Der arbejdes stadig ud fra empiriske estimater</t>
  </si>
  <si>
    <t>PORTEFØLJESAMMENSÆTNING</t>
  </si>
  <si>
    <t>I en portefølje indgår der normalt mere end blot et enkelt værdipapir. Man ser på porteføljen som en stokastisk variable, der er et vægtet gennemsnit af flere stokastiske variable(værdipapirerne som er indeholdt i porteføljen). Vægtene betegnes med w og porteføljen med Z.</t>
  </si>
  <si>
    <t>Forventet afkast for porteføljen =</t>
  </si>
  <si>
    <t>Afkastet for porteføljen er givet som et vægtet gennemsnit af værdipapirernes afkast</t>
  </si>
  <si>
    <t>Risikoen for porteføljen er givet ved følgende</t>
  </si>
  <si>
    <r>
      <t>Korrelation</t>
    </r>
    <r>
      <rPr>
        <vertAlign val="subscript"/>
        <sz val="12"/>
        <color theme="1"/>
        <rFont val="Calibri (Tekst)"/>
      </rPr>
      <t>XY</t>
    </r>
    <r>
      <rPr>
        <sz val="12"/>
        <color theme="1"/>
        <rFont val="Calibri"/>
        <family val="2"/>
        <scheme val="minor"/>
      </rPr>
      <t xml:space="preserve"> =</t>
    </r>
  </si>
  <si>
    <t>Altså vil en større korrelation mellem de to værdipapirer betyde, at variansen for porteføljen stiger. Det giver god mening, idet et fald i den ene aktie vil medføre et fald i den anden. Dermed vil udsvingene for porteføljen blive det større, når de begge indgår.</t>
  </si>
  <si>
    <t>Nedenfor beregnes kovariansamtricerne for en portefølje med vægte som angivet mellem aktie 1 - 3</t>
  </si>
  <si>
    <t>Disse vægte giver porteføljerne følgende egenskaber;</t>
  </si>
  <si>
    <t>Portefølje 1</t>
  </si>
  <si>
    <t>Portefølje 2</t>
  </si>
  <si>
    <t xml:space="preserve">For at opnå den bedste portefølje er det relevant at diversificere. Dermed sprede aktie investeringerne mellem aktier, der ikke har stor kovarians, fordi man dermed kan undgå industri/branchespecifikke udsving. Man kan bedst muligt diversificere, hvis man kender til historien og den mulige fremtidige udvikling for værdipapiret, men reelt kan man ikke forudsige præcist, hvordan værdien af et værdipapir kan udvikle sig. </t>
  </si>
  <si>
    <t xml:space="preserve">Diversifikation kan dog ikke fjerne markedsrisikoen, da denne er gældende for alle typer af aktier. Således er der altså altid en systematisk risiko ved en portefølje. </t>
  </si>
  <si>
    <t>CAPITAL ASSET PRICING MODEL, CAPM</t>
  </si>
  <si>
    <t>CAPM bruges til at bestemme et estimat for investorers krævede afkast, når de skal påtage sig ekstra risiko.</t>
  </si>
  <si>
    <t>Modellen tager udganspunkt i et marked, hvor alle investorer invsterer i portefølje bestående af en andel af et risikofrit aktiv og markedsporteføljen. Dette udvider således mængden af efficiente porteføljer for investorerne, der nu vil placeres på en ret linje givet ved kapitalmarkedslinjen. (Mere om den nedenunder)</t>
  </si>
  <si>
    <t>En portefølje, P, bestående af netop det risikofrie aktiv og en markedsporteføljen, M, vil have følgende egenskaber.</t>
  </si>
  <si>
    <t>Risikoen er således kun afhængig af markedsporteføljen, idet aktivet jo netop er risikofrit.</t>
  </si>
  <si>
    <t>Risikofrit aktiv, RF</t>
  </si>
  <si>
    <t>Afkast</t>
  </si>
  <si>
    <t>Std. Afvigelse</t>
  </si>
  <si>
    <t>Ud fra ovenstående kan der laves en kapitalmarkedslinje. Ligningen for denne er givet ved følgende og beskriver dermed samtlige efficiente porteføljer, P;</t>
  </si>
  <si>
    <r>
      <t xml:space="preserve">* std. afvigelse </t>
    </r>
    <r>
      <rPr>
        <vertAlign val="subscript"/>
        <sz val="12"/>
        <color theme="1"/>
        <rFont val="Calibri (Tekst)"/>
      </rPr>
      <t>P</t>
    </r>
  </si>
  <si>
    <r>
      <t xml:space="preserve">std. afvigelse </t>
    </r>
    <r>
      <rPr>
        <vertAlign val="subscript"/>
        <sz val="12"/>
        <color theme="1"/>
        <rFont val="Calibri (Tekst)"/>
      </rPr>
      <t>M</t>
    </r>
  </si>
  <si>
    <t>Forventet afkast</t>
  </si>
  <si>
    <t>For at bestemme investorers krævede afkast antages nu, at de har investeret i en efficient portefølje allerede og at der til denne skal tilføjes et nyt, risikofyldt aktiv</t>
  </si>
  <si>
    <t>Til at bestemme kompensationen for at påtage sig ekstra risiko benyttes beta, der bestemmes som følgende</t>
  </si>
  <si>
    <r>
      <t>Beta = Cov</t>
    </r>
    <r>
      <rPr>
        <vertAlign val="subscript"/>
        <sz val="12"/>
        <color theme="1"/>
        <rFont val="Calibri (Tekst)"/>
      </rPr>
      <t>M,i</t>
    </r>
    <r>
      <rPr>
        <sz val="12"/>
        <color theme="1"/>
        <rFont val="Calibri"/>
        <family val="2"/>
        <scheme val="minor"/>
      </rPr>
      <t xml:space="preserve"> / varians</t>
    </r>
    <r>
      <rPr>
        <vertAlign val="subscript"/>
        <sz val="12"/>
        <color theme="1"/>
        <rFont val="Calibri (Tekst)"/>
      </rPr>
      <t>M</t>
    </r>
    <r>
      <rPr>
        <sz val="12"/>
        <color theme="1"/>
        <rFont val="Calibri"/>
        <family val="2"/>
        <scheme val="minor"/>
      </rPr>
      <t xml:space="preserve"> =</t>
    </r>
  </si>
  <si>
    <t xml:space="preserve">Altså er beta et udtryk for det nye aktiv, i's, kovarians med markedet relativt til markedet varians, der er den risiko man allerede har påtaget sig. </t>
  </si>
  <si>
    <t xml:space="preserve">Jo større beta er, jo mere skal man altså kompenseres, for jo større korrelerer aktivet med den allerede eksisterende portefølje, hvorfor man ikke i høj grad diversificerer sin portefølje ved at medtage aktivet. </t>
  </si>
  <si>
    <t>Videre herfra bestemmes det krævede afkast ved at medtage aktivet så ved følgende sammenhæng;</t>
  </si>
  <si>
    <r>
      <t>E[R</t>
    </r>
    <r>
      <rPr>
        <vertAlign val="subscript"/>
        <sz val="12"/>
        <color theme="1"/>
        <rFont val="Calibri (Tekst)"/>
      </rPr>
      <t>i</t>
    </r>
    <r>
      <rPr>
        <sz val="12"/>
        <color theme="1"/>
        <rFont val="Calibri"/>
        <family val="2"/>
        <scheme val="minor"/>
      </rPr>
      <t>] = RF + beta * ( E[R</t>
    </r>
    <r>
      <rPr>
        <vertAlign val="subscript"/>
        <sz val="12"/>
        <color theme="1"/>
        <rFont val="Calibri (Tekst)"/>
      </rPr>
      <t>M</t>
    </r>
    <r>
      <rPr>
        <sz val="12"/>
        <color theme="1"/>
        <rFont val="Calibri"/>
        <family val="2"/>
        <scheme val="minor"/>
      </rPr>
      <t>] - RF )</t>
    </r>
  </si>
  <si>
    <t xml:space="preserve">Dermed kræves et afkast svarende til det risikofrie aktiv tillagt en risikopræmie bestemt som beta ganget på differensen mellem markedet og det risikofrie aktivs forventede afkast. </t>
  </si>
  <si>
    <t>Sammenhængen mellem de krævede afkast og forskellige værdier for beta afspejles i værdipapirmarkedslinjen, som kan beregnes således;</t>
  </si>
  <si>
    <t>BETA + VÆRDIPAPIRMARKEDSLINJE</t>
  </si>
  <si>
    <t>KAPITALMARKEDSLINJEN</t>
  </si>
  <si>
    <t>BEREGNINGER MED FORRIGE AKTIER</t>
  </si>
  <si>
    <t xml:space="preserve">I det følgende beregnes det krævede afkast, hvis et af de forrige værdipapirer, aktie 1 - 3, skal medtages i en portefølje med ovenstående markedsportefølje og risikofrie afkast. </t>
  </si>
  <si>
    <r>
      <t>w</t>
    </r>
    <r>
      <rPr>
        <vertAlign val="subscript"/>
        <sz val="12"/>
        <color theme="1"/>
        <rFont val="Calibri (Tekst)"/>
      </rPr>
      <t>M</t>
    </r>
    <r>
      <rPr>
        <sz val="12"/>
        <color theme="1"/>
        <rFont val="Calibri"/>
        <family val="2"/>
        <scheme val="minor"/>
      </rPr>
      <t xml:space="preserve"> * Forventet afkast</t>
    </r>
    <r>
      <rPr>
        <vertAlign val="subscript"/>
        <sz val="12"/>
        <color theme="1"/>
        <rFont val="Calibri (Tekst)"/>
      </rPr>
      <t>M</t>
    </r>
    <r>
      <rPr>
        <sz val="12"/>
        <color theme="1"/>
        <rFont val="Calibri"/>
        <family val="2"/>
        <scheme val="minor"/>
      </rPr>
      <t xml:space="preserve"> + w</t>
    </r>
    <r>
      <rPr>
        <vertAlign val="subscript"/>
        <sz val="12"/>
        <color theme="1"/>
        <rFont val="Calibri (Tekst)"/>
      </rPr>
      <t>RF</t>
    </r>
    <r>
      <rPr>
        <sz val="12"/>
        <color theme="1"/>
        <rFont val="Calibri"/>
        <family val="2"/>
        <scheme val="minor"/>
      </rPr>
      <t xml:space="preserve"> * Forventet afkast</t>
    </r>
    <r>
      <rPr>
        <vertAlign val="subscript"/>
        <sz val="12"/>
        <color theme="1"/>
        <rFont val="Calibri (Tekst)"/>
      </rPr>
      <t>RF</t>
    </r>
  </si>
  <si>
    <t>Varians, P =</t>
  </si>
  <si>
    <t>Forventet afkast =</t>
  </si>
  <si>
    <t>= &gt;</t>
  </si>
  <si>
    <t>Std. Afvigelse =</t>
  </si>
  <si>
    <r>
      <t>w</t>
    </r>
    <r>
      <rPr>
        <vertAlign val="subscript"/>
        <sz val="12"/>
        <color rgb="FF000000"/>
        <rFont val="Calibri (Tekst)"/>
      </rPr>
      <t>M</t>
    </r>
    <r>
      <rPr>
        <vertAlign val="superscript"/>
        <sz val="12"/>
        <color rgb="FF000000"/>
        <rFont val="Calibri (Tekst)"/>
      </rPr>
      <t>2</t>
    </r>
    <r>
      <rPr>
        <sz val="12"/>
        <color rgb="FF000000"/>
        <rFont val="Calibri"/>
        <family val="2"/>
        <scheme val="minor"/>
      </rPr>
      <t xml:space="preserve"> * varians</t>
    </r>
    <r>
      <rPr>
        <vertAlign val="subscript"/>
        <sz val="12"/>
        <color rgb="FF000000"/>
        <rFont val="Calibri (Tekst)"/>
      </rPr>
      <t>M</t>
    </r>
    <r>
      <rPr>
        <vertAlign val="superscript"/>
        <sz val="12"/>
        <color rgb="FF000000"/>
        <rFont val="Calibri (Tekst)"/>
      </rPr>
      <t>2</t>
    </r>
    <r>
      <rPr>
        <sz val="12"/>
        <color rgb="FF000000"/>
        <rFont val="Calibri"/>
        <family val="2"/>
        <scheme val="minor"/>
      </rPr>
      <t xml:space="preserve"> </t>
    </r>
  </si>
  <si>
    <r>
      <t>w</t>
    </r>
    <r>
      <rPr>
        <vertAlign val="subscript"/>
        <sz val="12"/>
        <color rgb="FF000000"/>
        <rFont val="Calibri (Tekst)"/>
      </rPr>
      <t>M</t>
    </r>
    <r>
      <rPr>
        <sz val="12"/>
        <color rgb="FF000000"/>
        <rFont val="Calibri"/>
        <family val="2"/>
        <scheme val="minor"/>
      </rPr>
      <t xml:space="preserve"> * std. afvigelse</t>
    </r>
    <r>
      <rPr>
        <vertAlign val="subscript"/>
        <sz val="12"/>
        <color rgb="FF000000"/>
        <rFont val="Calibri (Tekst)"/>
      </rPr>
      <t>x</t>
    </r>
    <r>
      <rPr>
        <sz val="12"/>
        <color rgb="FF000000"/>
        <rFont val="Calibri"/>
        <family val="2"/>
        <scheme val="minor"/>
      </rPr>
      <t xml:space="preserve"> </t>
    </r>
  </si>
  <si>
    <t>c</t>
  </si>
  <si>
    <t>d</t>
  </si>
  <si>
    <t>e</t>
  </si>
  <si>
    <t>MR = TR'(Q) = 2c Q + d = e Q + d</t>
  </si>
  <si>
    <r>
      <t>VC</t>
    </r>
    <r>
      <rPr>
        <vertAlign val="subscript"/>
        <sz val="12"/>
        <color theme="1"/>
        <rFont val="Calibri (Tekst)"/>
      </rPr>
      <t>2</t>
    </r>
  </si>
  <si>
    <r>
      <t>VC</t>
    </r>
    <r>
      <rPr>
        <vertAlign val="subscript"/>
        <sz val="12"/>
        <color theme="1"/>
        <rFont val="Calibri (Tekst)"/>
      </rPr>
      <t>1</t>
    </r>
  </si>
  <si>
    <r>
      <t>TC(Q) = FC + VC</t>
    </r>
    <r>
      <rPr>
        <vertAlign val="subscript"/>
        <sz val="12"/>
        <color theme="1"/>
        <rFont val="Calibri (Tekst)"/>
      </rPr>
      <t>1</t>
    </r>
    <r>
      <rPr>
        <sz val="12"/>
        <color theme="1"/>
        <rFont val="Calibri"/>
        <family val="2"/>
        <scheme val="minor"/>
      </rPr>
      <t xml:space="preserve"> * Q  +  VC</t>
    </r>
    <r>
      <rPr>
        <vertAlign val="subscript"/>
        <sz val="12"/>
        <color theme="1"/>
        <rFont val="Calibri (Tekst)"/>
      </rPr>
      <t>2</t>
    </r>
    <r>
      <rPr>
        <sz val="12"/>
        <color theme="1"/>
        <rFont val="Calibri"/>
        <family val="2"/>
        <scheme val="minor"/>
      </rPr>
      <t>*Q</t>
    </r>
    <r>
      <rPr>
        <vertAlign val="superscript"/>
        <sz val="12"/>
        <color theme="1"/>
        <rFont val="Calibri (Tekst)"/>
      </rPr>
      <t>2</t>
    </r>
  </si>
  <si>
    <r>
      <t>TR = P(Q) * Q = c Q</t>
    </r>
    <r>
      <rPr>
        <vertAlign val="superscript"/>
        <sz val="12"/>
        <color theme="1"/>
        <rFont val="Calibri (Tekst)"/>
      </rPr>
      <t>2</t>
    </r>
    <r>
      <rPr>
        <sz val="12"/>
        <color theme="1"/>
        <rFont val="Calibri"/>
        <family val="2"/>
        <scheme val="minor"/>
      </rPr>
      <t xml:space="preserve"> + d Q</t>
    </r>
  </si>
  <si>
    <t>BEREGNINGER</t>
  </si>
  <si>
    <t>Vi betragter en mængde, hvortil vi beregner prisen;</t>
  </si>
  <si>
    <t>Profitten i dette punkt</t>
  </si>
  <si>
    <t>I dette punkt fås følgende</t>
  </si>
  <si>
    <t>Profitten i optimeringen</t>
  </si>
  <si>
    <t>PROFITOPTIMERING</t>
  </si>
  <si>
    <t>AFBILDNING AF KURVER</t>
  </si>
  <si>
    <t>PRODUKTIONSOPTIMERING</t>
  </si>
  <si>
    <t>DIVERSIFIKATION</t>
  </si>
  <si>
    <t>DEN EFFICIENTE RAND</t>
  </si>
  <si>
    <t>Den efficiente rand betegner sammenhængen mellem risiko og afkast for en given portefølje ved forskellige porteføljevægte</t>
  </si>
  <si>
    <t>Omregning HVIS(og KUN hvis) der er  2(eller flere) årlige terminer</t>
  </si>
  <si>
    <t>GIVNE INFORMATIONER</t>
  </si>
  <si>
    <t>Invers</t>
  </si>
  <si>
    <t>Normal'</t>
  </si>
  <si>
    <r>
      <t>MC = TC'(Q) = VC</t>
    </r>
    <r>
      <rPr>
        <vertAlign val="subscript"/>
        <sz val="12"/>
        <color theme="1"/>
        <rFont val="Calibri (Tekst)"/>
      </rPr>
      <t>1</t>
    </r>
    <r>
      <rPr>
        <sz val="12"/>
        <color theme="1"/>
        <rFont val="Calibri"/>
        <family val="2"/>
        <scheme val="minor"/>
      </rPr>
      <t xml:space="preserve">  +  2* VC</t>
    </r>
    <r>
      <rPr>
        <vertAlign val="subscript"/>
        <sz val="12"/>
        <color theme="1"/>
        <rFont val="Calibri (Tekst)"/>
      </rPr>
      <t>2</t>
    </r>
    <r>
      <rPr>
        <sz val="12"/>
        <color theme="1"/>
        <rFont val="Calibri"/>
        <family val="2"/>
        <scheme val="minor"/>
      </rPr>
      <t xml:space="preserve"> * Q</t>
    </r>
  </si>
  <si>
    <r>
      <t>2*VC</t>
    </r>
    <r>
      <rPr>
        <vertAlign val="subscript"/>
        <sz val="12"/>
        <color theme="1"/>
        <rFont val="Calibri (Tekst)"/>
      </rPr>
      <t>2</t>
    </r>
  </si>
  <si>
    <t>EFTERSPØRGSELSFUNKTIONER</t>
  </si>
  <si>
    <t>Indsæt værdier</t>
  </si>
  <si>
    <t>MOMSUDREGNINGER</t>
  </si>
  <si>
    <t>NØGLETAL</t>
  </si>
  <si>
    <t>LINEÆRE</t>
  </si>
  <si>
    <t>AFSKRIVNINGER</t>
  </si>
  <si>
    <t>SALDO</t>
  </si>
  <si>
    <t>Brug goalseek og sæt celle E10 til værdien i B10 ved at ændre på B11. Der skal stå et tilfældigt tal i B11 fra start.</t>
  </si>
  <si>
    <t>BALANCE OG RESULTATOPGØRELSE</t>
  </si>
  <si>
    <t>Saldo</t>
  </si>
  <si>
    <t>Leveringsomkostninger</t>
  </si>
  <si>
    <t>Opgaver hvor en produktionsfaktor skal ændres</t>
  </si>
  <si>
    <t>Nutidsværdi</t>
  </si>
  <si>
    <t>LANGFRISTET</t>
  </si>
  <si>
    <t>Ekstraordinære tab</t>
  </si>
  <si>
    <t xml:space="preserve">Nedenstående er en nøjagtig kopi af produktionsanlæggene ovenfor. Den trækker tal derfra. Sæt prisen på den enhed, hvor du skal se på prisændringen, til 0. </t>
  </si>
  <si>
    <t>Pris på produktionsfaktor som skal ændres</t>
  </si>
  <si>
    <t xml:space="preserve">&lt;--- I dette felt ændres så ydelsen ganges med mængden fra ovenstående kalkyle. Lås den celle og træk ned. </t>
  </si>
  <si>
    <t>Antal terminer</t>
  </si>
  <si>
    <t>Betalingsstrøm efter skat</t>
  </si>
  <si>
    <t>Husleje</t>
  </si>
  <si>
    <t>Bankindeståender</t>
  </si>
  <si>
    <t>Immaterialle anlægsaktiver</t>
  </si>
  <si>
    <t>Forudbetalinger fra kunder</t>
  </si>
  <si>
    <t>Forudbetalte omkostninger</t>
  </si>
  <si>
    <t>Råvarer</t>
  </si>
  <si>
    <t>Indskud kapital</t>
  </si>
  <si>
    <t>UDBYTTE</t>
  </si>
  <si>
    <t>Denne fremgår ikke af rengskabet, men trækkes automatisk fra egenkapitalen(Omkostning)</t>
  </si>
  <si>
    <t xml:space="preserve">Omsætning </t>
  </si>
  <si>
    <t>INDSÆT</t>
  </si>
  <si>
    <t>- DQ/DP * P/Q = -Q'(P) * P/Q</t>
  </si>
  <si>
    <t>Elasticitet</t>
  </si>
  <si>
    <t>HUSK: Kun defineret for r &gt; g</t>
  </si>
  <si>
    <t>Nutidsværdi = Betalingsstrøm / ( r + vækstrate)</t>
  </si>
  <si>
    <t>Dividenden/udbytteudbetalingen fra det året efter at nutidsværdien regnes</t>
  </si>
  <si>
    <t>Væksten i udbyttet i den anden periode det udbetales (eller i al evighed - i så fald skal nedenstående værdi være tilsvarende denne)</t>
  </si>
  <si>
    <t>Hvis væksten ændrer sig igennem perioden, skal denne være en anden værdi end ovenstående.</t>
  </si>
  <si>
    <t>Egenkapital + gæld</t>
  </si>
  <si>
    <t>Biler</t>
  </si>
  <si>
    <t>ANNUITETSLÅN (START MED YDELSEN, DEREFTER RENTER OG TIL SIDST AFDRAG FOR HVER TERMIN)</t>
  </si>
  <si>
    <t>Låntype</t>
  </si>
  <si>
    <t>Annuitetslån</t>
  </si>
  <si>
    <t>Serielån</t>
  </si>
  <si>
    <t>Stående lån</t>
  </si>
  <si>
    <t>SERIELÅN (START MED AFDRAG, DEREFTER RENTER OG TIL SIDST YDELSE FOR HVER TERMIN)</t>
  </si>
  <si>
    <t>STÅENDE LÅN (START MED RENTER, DEREFTER AFDRAG,  OG TIL SIDST YDELSE FOR HVER TERMIN)</t>
  </si>
  <si>
    <t>Vær særligt opmærksom på stående lån</t>
  </si>
  <si>
    <t>FORVENTET AFKAST</t>
  </si>
  <si>
    <t>2. Beregn herefter  estimater for alle kovarianser imellem de enkelte aktiers afkast, og opstil kovariansmatricen</t>
  </si>
  <si>
    <t>KOVARIANSMATRICEN</t>
    <phoneticPr fontId="0" type="noConversion"/>
  </si>
  <si>
    <t>3. Beregn forventet afkast, samt varians af en portefølje bestående af 25% af hver aktie</t>
    <phoneticPr fontId="0" type="noConversion"/>
  </si>
  <si>
    <t>FORVENTET AFKAST</t>
    <phoneticPr fontId="0" type="noConversion"/>
  </si>
  <si>
    <t>HJÆLPEMATRIX TIL BEREGNING AF PORTEFØLJEVARIANS</t>
  </si>
  <si>
    <t>I alt</t>
  </si>
  <si>
    <t>Virksomhed</t>
  </si>
  <si>
    <r>
      <t>w</t>
    </r>
    <r>
      <rPr>
        <vertAlign val="subscript"/>
        <sz val="12"/>
        <rFont val="Calibri"/>
        <family val="2"/>
      </rPr>
      <t>1</t>
    </r>
  </si>
  <si>
    <t>w2</t>
  </si>
  <si>
    <r>
      <t>w</t>
    </r>
    <r>
      <rPr>
        <vertAlign val="subscript"/>
        <sz val="12"/>
        <rFont val="Calibri"/>
        <family val="2"/>
      </rPr>
      <t>3</t>
    </r>
  </si>
  <si>
    <r>
      <t>w</t>
    </r>
    <r>
      <rPr>
        <vertAlign val="subscript"/>
        <sz val="12"/>
        <rFont val="Calibri"/>
        <family val="2"/>
      </rPr>
      <t>4</t>
    </r>
  </si>
  <si>
    <t>1. Brug Problemløser/Solver til at finde minimumsvariansporteføljen for disse fire aktier, altså den porteføljesammensætning der giver mindst mulig risiko.  Hvad er det forventede afkast og standardafvigelse for denne portefølje?</t>
  </si>
  <si>
    <t>Angiv svarene i første række af tabellerne "Porteføljevægte i effciente porteføljer" og "Egenskaber for efficiente porteføljer" herunder.</t>
  </si>
  <si>
    <t>Hint: Start med at beregne variansen for en portefølje vha. en formel, hvor porteføljevægtene kan varieres. Lad porteføljevægten for f.eks. Carlsberg være udtrykt i en formel som 1 minus summen af de øvrige porteføljevægte,</t>
  </si>
  <si>
    <t>og brug den første af hjælpematricerne nederst i arket til at holde styr på elementerne i sumformlen for porteføljevariansen.</t>
  </si>
  <si>
    <t>Brug herefter problemløseren/solver til at minimere  porteføljevariansen ved at variere de tre "frie" porteføljevægte.</t>
  </si>
  <si>
    <t>2. Brug Problemløser til at finde den efficiente portefølje (dvs. med mindst mulig varians, givet det forventede afkast) ved følgende forventede afkast:</t>
  </si>
  <si>
    <t xml:space="preserve">  (a) 10,5%</t>
  </si>
  <si>
    <t xml:space="preserve">  (b) 10,8%</t>
  </si>
  <si>
    <t xml:space="preserve"> Angiv løsningerne i tabellen "Porteføljevægte i efficiente porteføljer" herunder, og udfyld tilsvarende de manglende rækker i tabellen "Egenskaber for efficiente porteføljer"</t>
  </si>
  <si>
    <t>Hint: Benyt samme fremgangsmåde som i spørgsmål 1, men skriv nu også det forventede porteføljeafkast op som en funktion af porteføljevægtene. Tilføj så en bibetingelse for størrelsen af dette forventede afkast i minimeringsproblemet.</t>
  </si>
  <si>
    <t>Fx ved forventet afkast på 10,5%: Skriv formel for forventet afkast i celle B44. Minimér så porteføljevariansen under bibetingelse af, at B44 = 0,105. Resultatet skal give en porteføljevarians på 0,001942 (check C44) og forventet afkast på 0,105 (check B44).</t>
  </si>
  <si>
    <t>Betalingstrøm</t>
  </si>
  <si>
    <t>Interne Rente</t>
  </si>
  <si>
    <t>Ydelse</t>
  </si>
  <si>
    <t>Afdrag</t>
  </si>
  <si>
    <t>Restgæld I 0</t>
  </si>
  <si>
    <t>Restgæld i  0</t>
  </si>
  <si>
    <t>Årlige Rente</t>
  </si>
  <si>
    <t>(Provenuet)</t>
  </si>
  <si>
    <t>TJEK AT NUTIDSVÆRDIEN ER RIGTIG</t>
  </si>
  <si>
    <t>TJEK AT NUTIDSVÆRDIEN ER KORREKT</t>
  </si>
  <si>
    <t>Intern Rente Pr Termin</t>
  </si>
  <si>
    <t>Intern Rente Pr 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</si>
</sst>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0.00\ &quot;kr.&quot;;[Red]\-#,##0.00\ &quot;kr.&quot;"/>
    <numFmt numFmtId="44" formatCode="_-* #,##0.00\ &quot;kr.&quot;_-;\-* #,##0.00\ &quot;kr.&quot;_-;_-* &quot;-&quot;??\ &quot;kr.&quot;_-;_-@_-"/>
    <numFmt numFmtId="164" formatCode="_-* #,##0.00\ _k_r_._-;\-* #,##0.00\ _k_r_._-;_-* &quot;-&quot;??\ _k_r_._-;_-@_-"/>
    <numFmt numFmtId="165" formatCode="0.0%"/>
    <numFmt numFmtId="166" formatCode="_ * #,##0_ ;_ * \-#,##0_ ;_ * &quot;-&quot;??_ ;_ @_ "/>
    <numFmt numFmtId="167" formatCode="_-* #,##0\ _k_r_._-;\-* #,##0\ _k_r_._-;_-* &quot;-&quot;??\ _k_r_._-;_-@_-"/>
    <numFmt numFmtId="168" formatCode="&quot;kr.&quot;\ #,##0.00;[Red]&quot;kr.&quot;\ \-#,##0.00"/>
    <numFmt numFmtId="169" formatCode="0.0"/>
    <numFmt numFmtId="170" formatCode="#,##0_ ;\-#,##0\ "/>
    <numFmt numFmtId="171" formatCode="#,##0\ &quot;kr.&quot;"/>
    <numFmt numFmtId="172" formatCode="0.00000"/>
    <numFmt numFmtId="173" formatCode="0.0000"/>
    <numFmt numFmtId="174" formatCode="0.000"/>
    <numFmt numFmtId="175" formatCode="0.0000000"/>
    <numFmt numFmtId="176" formatCode="_ * #,##0.000_ ;_ * \-#,##0.000_ ;_ * &quot;-&quot;??_ ;_ @_ "/>
    <numFmt numFmtId="177" formatCode="0.000000"/>
    <numFmt numFmtId="178" formatCode="#,##0.00\ &quot;kr.&quot;"/>
    <numFmt numFmtId="179" formatCode="_-* #,##0\ &quot;kr.&quot;_-;\-* #,##0\ &quot;kr.&quot;_-;_-* &quot;-&quot;??\ &quot;kr.&quot;_-;_-@_-"/>
  </numFmts>
  <fonts count="6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2"/>
      <color rgb="FFFF0000"/>
      <name val="Calibri (Tekst)"/>
    </font>
    <font>
      <sz val="12"/>
      <name val="Calibri"/>
      <family val="2"/>
      <scheme val="minor"/>
    </font>
    <font>
      <sz val="12"/>
      <name val="Calibri"/>
      <family val="2"/>
    </font>
    <font>
      <sz val="12"/>
      <name val="Helvetica"/>
      <family val="2"/>
    </font>
    <font>
      <i/>
      <sz val="12"/>
      <name val="Calibri"/>
      <family val="2"/>
      <scheme val="minor"/>
    </font>
    <font>
      <sz val="12"/>
      <color indexed="206"/>
      <name val="Calibri"/>
      <family val="2"/>
    </font>
    <font>
      <u/>
      <sz val="12"/>
      <color theme="10"/>
      <name val="Calibri"/>
      <family val="2"/>
      <scheme val="minor"/>
    </font>
    <font>
      <u/>
      <sz val="12"/>
      <color theme="11"/>
      <name val="Calibri"/>
      <family val="2"/>
      <scheme val="minor"/>
    </font>
    <font>
      <sz val="12"/>
      <color rgb="FF000000"/>
      <name val="Calibri"/>
      <family val="2"/>
      <scheme val="minor"/>
    </font>
    <font>
      <u/>
      <sz val="12"/>
      <name val="Calibri"/>
      <family val="2"/>
    </font>
    <font>
      <b/>
      <sz val="12"/>
      <name val="Calibri"/>
      <family val="2"/>
    </font>
    <font>
      <sz val="11"/>
      <name val="Calibri"/>
      <family val="2"/>
    </font>
    <font>
      <b/>
      <sz val="11"/>
      <name val="Calibri"/>
      <family val="2"/>
    </font>
    <font>
      <u/>
      <sz val="12"/>
      <color indexed="12"/>
      <name val="Helvetica"/>
      <family val="2"/>
    </font>
    <font>
      <sz val="11"/>
      <color theme="1"/>
      <name val="Calibri"/>
      <family val="2"/>
    </font>
    <font>
      <b/>
      <sz val="11"/>
      <color theme="1"/>
      <name val="Calibri"/>
      <family val="2"/>
    </font>
    <font>
      <u/>
      <sz val="12"/>
      <color theme="1"/>
      <name val="Calibri"/>
      <family val="2"/>
      <scheme val="minor"/>
    </font>
    <font>
      <b/>
      <sz val="12"/>
      <color theme="1"/>
      <name val="Calibri (Tekst)"/>
    </font>
    <font>
      <b/>
      <sz val="16"/>
      <color theme="1"/>
      <name val="Calibri"/>
      <family val="2"/>
      <scheme val="minor"/>
    </font>
    <font>
      <sz val="12"/>
      <color theme="1"/>
      <name val="Calibri (Tekst)"/>
    </font>
    <font>
      <b/>
      <sz val="14"/>
      <color theme="1"/>
      <name val="Calibri"/>
      <family val="2"/>
      <scheme val="minor"/>
    </font>
    <font>
      <sz val="28"/>
      <color theme="1"/>
      <name val="Calibri"/>
      <family val="2"/>
      <scheme val="minor"/>
    </font>
    <font>
      <sz val="36"/>
      <color theme="1"/>
      <name val="Calibri"/>
      <family val="2"/>
      <scheme val="minor"/>
    </font>
    <font>
      <sz val="48"/>
      <color theme="1"/>
      <name val="Calibri"/>
      <family val="2"/>
      <scheme val="minor"/>
    </font>
    <font>
      <sz val="8"/>
      <name val="Calibri"/>
      <family val="2"/>
      <scheme val="minor"/>
    </font>
    <font>
      <u/>
      <sz val="12"/>
      <color theme="1"/>
      <name val="Calibri (Tekst)"/>
    </font>
    <font>
      <sz val="10"/>
      <color theme="1"/>
      <name val="Calibri"/>
      <family val="2"/>
      <scheme val="minor"/>
    </font>
    <font>
      <i/>
      <sz val="12"/>
      <name val="Calibri"/>
      <family val="2"/>
    </font>
    <font>
      <sz val="12"/>
      <name val="Gill Sans MT"/>
      <family val="2"/>
    </font>
    <font>
      <b/>
      <sz val="12"/>
      <color rgb="FF000000"/>
      <name val="Calibri"/>
      <family val="2"/>
    </font>
    <font>
      <sz val="12"/>
      <color rgb="FF000000"/>
      <name val="Calibri"/>
      <family val="2"/>
    </font>
    <font>
      <b/>
      <sz val="12"/>
      <color theme="1"/>
      <name val="Calibri"/>
      <family val="2"/>
    </font>
    <font>
      <sz val="12"/>
      <color theme="1"/>
      <name val="Calibri"/>
      <family val="2"/>
    </font>
    <font>
      <vertAlign val="subscript"/>
      <sz val="12"/>
      <color theme="1"/>
      <name val="Calibri (Tekst)"/>
    </font>
    <font>
      <vertAlign val="superscript"/>
      <sz val="12"/>
      <color theme="1"/>
      <name val="Calibri (Tekst)"/>
    </font>
    <font>
      <sz val="8"/>
      <color theme="1"/>
      <name val="Calibri"/>
      <family val="2"/>
      <scheme val="minor"/>
    </font>
    <font>
      <sz val="12"/>
      <color rgb="FF000000"/>
      <name val="Calibri (Tekst)"/>
    </font>
    <font>
      <vertAlign val="subscript"/>
      <sz val="12"/>
      <color rgb="FF000000"/>
      <name val="Calibri (Tekst)"/>
    </font>
    <font>
      <vertAlign val="superscript"/>
      <sz val="12"/>
      <color rgb="FF000000"/>
      <name val="Calibri (Tekst)"/>
    </font>
    <font>
      <u/>
      <sz val="12"/>
      <color rgb="FF000000"/>
      <name val="Calibri"/>
      <family val="2"/>
      <scheme val="minor"/>
    </font>
    <font>
      <b/>
      <sz val="12"/>
      <color rgb="FF000000"/>
      <name val="Calibri"/>
      <family val="2"/>
      <scheme val="minor"/>
    </font>
    <font>
      <i/>
      <sz val="12"/>
      <color theme="1"/>
      <name val="Calibri"/>
      <family val="2"/>
    </font>
    <font>
      <b/>
      <sz val="10"/>
      <name val="Calibri"/>
      <family val="2"/>
      <scheme val="minor"/>
    </font>
    <font>
      <b/>
      <sz val="11"/>
      <color theme="1"/>
      <name val="Calibri"/>
      <family val="2"/>
      <scheme val="minor"/>
    </font>
    <font>
      <i/>
      <vertAlign val="subscript"/>
      <sz val="12"/>
      <color theme="1"/>
      <name val="Calibri (Tekst)"/>
    </font>
    <font>
      <i/>
      <sz val="11"/>
      <color theme="1"/>
      <name val="Calibri"/>
      <family val="2"/>
      <scheme val="minor"/>
    </font>
    <font>
      <b/>
      <sz val="12"/>
      <color rgb="FFFF0000"/>
      <name val="Calibri"/>
      <family val="2"/>
    </font>
    <font>
      <b/>
      <sz val="14"/>
      <color theme="1"/>
      <name val="Calibri"/>
      <family val="2"/>
    </font>
    <font>
      <b/>
      <sz val="14"/>
      <color rgb="FF000000"/>
      <name val="Calibri"/>
      <family val="2"/>
    </font>
    <font>
      <b/>
      <sz val="12"/>
      <name val="Calibri"/>
      <family val="2"/>
      <scheme val="minor"/>
    </font>
    <font>
      <sz val="12"/>
      <color rgb="FFFF0000"/>
      <name val="Calibri"/>
      <family val="2"/>
      <scheme val="minor"/>
    </font>
    <font>
      <sz val="12"/>
      <color rgb="FFFF0000"/>
      <name val="Calibri"/>
      <family val="2"/>
    </font>
    <font>
      <i/>
      <sz val="10"/>
      <color theme="1"/>
      <name val="Calibri (Tekst)"/>
    </font>
    <font>
      <vertAlign val="subscript"/>
      <sz val="12"/>
      <name val="Calibri"/>
      <family val="2"/>
    </font>
    <font>
      <b/>
      <u/>
      <sz val="12"/>
      <name val="Calibri"/>
      <family val="2"/>
    </font>
  </fonts>
  <fills count="10">
    <fill>
      <patternFill patternType="none"/>
    </fill>
    <fill>
      <patternFill patternType="gray125"/>
    </fill>
    <fill>
      <patternFill patternType="solid">
        <fgColor rgb="FFFFFFFF"/>
        <bgColor rgb="FF000000"/>
      </patternFill>
    </fill>
    <fill>
      <patternFill patternType="solid">
        <fgColor theme="0" tint="-0.14999847407452621"/>
        <bgColor rgb="FF000000"/>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s>
  <borders count="140">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style="thin">
        <color theme="2" tint="-9.9978637043366805E-2"/>
      </left>
      <right style="thin">
        <color theme="2" tint="-9.9978637043366805E-2"/>
      </right>
      <top/>
      <bottom/>
      <diagonal/>
    </border>
    <border>
      <left/>
      <right/>
      <top/>
      <bottom style="thin">
        <color theme="2" tint="-9.9978637043366805E-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2" tint="-9.9978637043366805E-2"/>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top/>
      <bottom style="thin">
        <color theme="2"/>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theme="2"/>
      </left>
      <right style="thin">
        <color theme="2"/>
      </right>
      <top/>
      <bottom/>
      <diagonal/>
    </border>
    <border>
      <left/>
      <right/>
      <top style="thin">
        <color theme="2"/>
      </top>
      <bottom style="thin">
        <color theme="2"/>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theme="2"/>
      </right>
      <top style="thin">
        <color auto="1"/>
      </top>
      <bottom style="thin">
        <color theme="2"/>
      </bottom>
      <diagonal/>
    </border>
    <border>
      <left style="thin">
        <color theme="2"/>
      </left>
      <right style="thin">
        <color theme="2"/>
      </right>
      <top style="thin">
        <color auto="1"/>
      </top>
      <bottom style="thin">
        <color theme="2"/>
      </bottom>
      <diagonal/>
    </border>
    <border>
      <left style="thin">
        <color theme="2"/>
      </left>
      <right style="thin">
        <color auto="1"/>
      </right>
      <top style="thin">
        <color auto="1"/>
      </top>
      <bottom style="thin">
        <color theme="2"/>
      </bottom>
      <diagonal/>
    </border>
    <border>
      <left style="thin">
        <color auto="1"/>
      </left>
      <right style="thin">
        <color theme="2"/>
      </right>
      <top style="thin">
        <color theme="2"/>
      </top>
      <bottom style="thin">
        <color theme="2"/>
      </bottom>
      <diagonal/>
    </border>
    <border>
      <left style="thin">
        <color theme="2"/>
      </left>
      <right style="thin">
        <color auto="1"/>
      </right>
      <top style="thin">
        <color theme="2"/>
      </top>
      <bottom style="thin">
        <color theme="2"/>
      </bottom>
      <diagonal/>
    </border>
    <border>
      <left style="thin">
        <color auto="1"/>
      </left>
      <right style="thin">
        <color theme="2"/>
      </right>
      <top style="thin">
        <color theme="2"/>
      </top>
      <bottom style="thin">
        <color auto="1"/>
      </bottom>
      <diagonal/>
    </border>
    <border>
      <left style="thin">
        <color theme="2"/>
      </left>
      <right style="thin">
        <color theme="2"/>
      </right>
      <top style="thin">
        <color theme="2"/>
      </top>
      <bottom style="thin">
        <color auto="1"/>
      </bottom>
      <diagonal/>
    </border>
    <border>
      <left style="thin">
        <color theme="2"/>
      </left>
      <right style="thin">
        <color auto="1"/>
      </right>
      <top style="thin">
        <color theme="2"/>
      </top>
      <bottom style="thin">
        <color auto="1"/>
      </bottom>
      <diagonal/>
    </border>
    <border>
      <left style="thin">
        <color auto="1"/>
      </left>
      <right style="thin">
        <color auto="1"/>
      </right>
      <top style="thin">
        <color auto="1"/>
      </top>
      <bottom style="thin">
        <color theme="2"/>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medium">
        <color auto="1"/>
      </left>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2" tint="-9.9978637043366805E-2"/>
      </left>
      <right style="thin">
        <color theme="2" tint="-9.9978637043366805E-2"/>
      </right>
      <top style="thin">
        <color theme="2" tint="-9.9978637043366805E-2"/>
      </top>
      <bottom/>
      <diagonal/>
    </border>
    <border>
      <left style="thin">
        <color theme="1" tint="0.499984740745262"/>
      </left>
      <right style="thin">
        <color theme="1" tint="0.499984740745262"/>
      </right>
      <top style="thin">
        <color theme="1" tint="0.499984740745262"/>
      </top>
      <bottom/>
      <diagonal/>
    </border>
    <border>
      <left/>
      <right/>
      <top style="thin">
        <color auto="1"/>
      </top>
      <bottom/>
      <diagonal/>
    </border>
    <border>
      <left/>
      <right style="thin">
        <color auto="1"/>
      </right>
      <top/>
      <bottom/>
      <diagonal/>
    </border>
    <border>
      <left/>
      <right style="medium">
        <color theme="1"/>
      </right>
      <top/>
      <bottom/>
      <diagonal/>
    </border>
    <border>
      <left/>
      <right style="medium">
        <color auto="1"/>
      </right>
      <top/>
      <bottom/>
      <diagonal/>
    </border>
    <border>
      <left style="medium">
        <color theme="1"/>
      </left>
      <right/>
      <top style="thin">
        <color auto="1"/>
      </top>
      <bottom style="thin">
        <color auto="1"/>
      </bottom>
      <diagonal/>
    </border>
    <border>
      <left style="medium">
        <color theme="1"/>
      </left>
      <right/>
      <top style="thin">
        <color auto="1"/>
      </top>
      <bottom style="thin">
        <color theme="1"/>
      </bottom>
      <diagonal/>
    </border>
    <border>
      <left style="medium">
        <color theme="1"/>
      </left>
      <right/>
      <top/>
      <bottom style="thin">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style="medium">
        <color theme="1"/>
      </left>
      <right/>
      <top/>
      <bottom style="thin">
        <color theme="1"/>
      </bottom>
      <diagonal/>
    </border>
    <border>
      <left/>
      <right style="medium">
        <color auto="1"/>
      </right>
      <top/>
      <bottom style="thin">
        <color theme="1"/>
      </bottom>
      <diagonal/>
    </border>
    <border>
      <left/>
      <right style="medium">
        <color auto="1"/>
      </right>
      <top style="thin">
        <color auto="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theme="1"/>
      </left>
      <right/>
      <top style="thin">
        <color theme="1"/>
      </top>
      <bottom style="thin">
        <color theme="1"/>
      </bottom>
      <diagonal/>
    </border>
    <border>
      <left style="thin">
        <color theme="2" tint="-9.9978637043366805E-2"/>
      </left>
      <right/>
      <top style="thin">
        <color theme="2" tint="-9.9978637043366805E-2"/>
      </top>
      <bottom style="thin">
        <color theme="2" tint="-9.9978637043366805E-2"/>
      </bottom>
      <diagonal/>
    </border>
    <border>
      <left style="thin">
        <color theme="2"/>
      </left>
      <right/>
      <top/>
      <bottom style="thin">
        <color theme="2"/>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theme="2" tint="-9.9978637043366805E-2"/>
      </right>
      <top style="thin">
        <color auto="1"/>
      </top>
      <bottom style="thin">
        <color theme="2" tint="-9.9978637043366805E-2"/>
      </bottom>
      <diagonal/>
    </border>
    <border>
      <left style="thin">
        <color theme="2" tint="-9.9978637043366805E-2"/>
      </left>
      <right style="thin">
        <color auto="1"/>
      </right>
      <top style="thin">
        <color auto="1"/>
      </top>
      <bottom style="thin">
        <color theme="2" tint="-9.9978637043366805E-2"/>
      </bottom>
      <diagonal/>
    </border>
    <border>
      <left style="thin">
        <color auto="1"/>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auto="1"/>
      </right>
      <top style="thin">
        <color theme="2" tint="-9.9978637043366805E-2"/>
      </top>
      <bottom style="thin">
        <color theme="2" tint="-9.9978637043366805E-2"/>
      </bottom>
      <diagonal/>
    </border>
    <border>
      <left style="thin">
        <color auto="1"/>
      </left>
      <right style="thin">
        <color theme="2" tint="-9.9978637043366805E-2"/>
      </right>
      <top style="thin">
        <color theme="2" tint="-9.9978637043366805E-2"/>
      </top>
      <bottom style="thin">
        <color auto="1"/>
      </bottom>
      <diagonal/>
    </border>
    <border>
      <left style="thin">
        <color theme="2" tint="-9.9978637043366805E-2"/>
      </left>
      <right style="thin">
        <color auto="1"/>
      </right>
      <top style="thin">
        <color theme="2" tint="-9.9978637043366805E-2"/>
      </top>
      <bottom style="thin">
        <color auto="1"/>
      </bottom>
      <diagonal/>
    </border>
    <border>
      <left style="thin">
        <color auto="1"/>
      </left>
      <right style="thin">
        <color theme="2" tint="-9.9978637043366805E-2"/>
      </right>
      <top/>
      <bottom style="thin">
        <color theme="2" tint="-9.9978637043366805E-2"/>
      </bottom>
      <diagonal/>
    </border>
    <border>
      <left style="thin">
        <color theme="2" tint="-9.9978637043366805E-2"/>
      </left>
      <right style="thin">
        <color auto="1"/>
      </right>
      <top/>
      <bottom style="thin">
        <color theme="2" tint="-9.9978637043366805E-2"/>
      </bottom>
      <diagonal/>
    </border>
    <border>
      <left style="thin">
        <color auto="1"/>
      </left>
      <right style="thin">
        <color theme="2" tint="-9.9978637043366805E-2"/>
      </right>
      <top/>
      <bottom/>
      <diagonal/>
    </border>
    <border>
      <left style="thin">
        <color theme="2" tint="-9.9978637043366805E-2"/>
      </left>
      <right style="thin">
        <color auto="1"/>
      </right>
      <top/>
      <bottom/>
      <diagonal/>
    </border>
    <border>
      <left style="thin">
        <color auto="1"/>
      </left>
      <right style="thin">
        <color theme="2" tint="-9.9978637043366805E-2"/>
      </right>
      <top style="thin">
        <color auto="1"/>
      </top>
      <bottom style="thin">
        <color auto="1"/>
      </bottom>
      <diagonal/>
    </border>
    <border>
      <left style="thin">
        <color theme="2" tint="-9.9978637043366805E-2"/>
      </left>
      <right style="thin">
        <color auto="1"/>
      </right>
      <top style="thin">
        <color auto="1"/>
      </top>
      <bottom style="thin">
        <color auto="1"/>
      </bottom>
      <diagonal/>
    </border>
    <border>
      <left style="thin">
        <color auto="1"/>
      </left>
      <right style="thin">
        <color theme="2" tint="-9.9978637043366805E-2"/>
      </right>
      <top/>
      <bottom style="thin">
        <color auto="1"/>
      </bottom>
      <diagonal/>
    </border>
    <border>
      <left style="thin">
        <color theme="2" tint="-9.9978637043366805E-2"/>
      </left>
      <right style="thin">
        <color auto="1"/>
      </right>
      <top/>
      <bottom style="thin">
        <color auto="1"/>
      </bottom>
      <diagonal/>
    </border>
    <border>
      <left style="thin">
        <color theme="2" tint="-9.9978637043366805E-2"/>
      </left>
      <right style="thin">
        <color auto="1"/>
      </right>
      <top style="thin">
        <color theme="2" tint="-9.9978637043366805E-2"/>
      </top>
      <bottom/>
      <diagonal/>
    </border>
    <border>
      <left style="thin">
        <color auto="1"/>
      </left>
      <right/>
      <top/>
      <bottom/>
      <diagonal/>
    </border>
    <border>
      <left/>
      <right style="thin">
        <color auto="1"/>
      </right>
      <top/>
      <bottom style="thin">
        <color auto="1"/>
      </bottom>
      <diagonal/>
    </border>
    <border>
      <left style="thin">
        <color theme="2" tint="-9.9978637043366805E-2"/>
      </left>
      <right style="thin">
        <color theme="2" tint="-9.9978637043366805E-2"/>
      </right>
      <top style="thin">
        <color theme="2" tint="-9.9978637043366805E-2"/>
      </top>
      <bottom style="thin">
        <color auto="1"/>
      </bottom>
      <diagonal/>
    </border>
    <border>
      <left style="thin">
        <color auto="1"/>
      </left>
      <right style="thin">
        <color auto="1"/>
      </right>
      <top style="thin">
        <color theme="2"/>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diagonal/>
    </border>
    <border>
      <left/>
      <right style="thin">
        <color indexed="64"/>
      </right>
      <top style="thin">
        <color theme="1"/>
      </top>
      <bottom/>
      <diagonal/>
    </border>
    <border>
      <left style="thin">
        <color theme="1"/>
      </left>
      <right/>
      <top style="thin">
        <color indexed="64"/>
      </top>
      <bottom style="thin">
        <color indexed="64"/>
      </bottom>
      <diagonal/>
    </border>
    <border>
      <left style="thin">
        <color indexed="64"/>
      </left>
      <right/>
      <top style="thin">
        <color theme="1"/>
      </top>
      <bottom style="thin">
        <color theme="1"/>
      </bottom>
      <diagonal/>
    </border>
    <border>
      <left/>
      <right style="thin">
        <color auto="1"/>
      </right>
      <top style="thin">
        <color theme="2" tint="-9.9978637043366805E-2"/>
      </top>
      <bottom style="thin">
        <color theme="2" tint="-9.9978637043366805E-2"/>
      </bottom>
      <diagonal/>
    </border>
    <border>
      <left/>
      <right style="thin">
        <color auto="1"/>
      </right>
      <top/>
      <bottom style="thin">
        <color theme="2" tint="-9.9978637043366805E-2"/>
      </bottom>
      <diagonal/>
    </border>
    <border>
      <left style="thin">
        <color theme="2"/>
      </left>
      <right style="thin">
        <color theme="2"/>
      </right>
      <top/>
      <bottom style="thin">
        <color indexed="64"/>
      </bottom>
      <diagonal/>
    </border>
    <border>
      <left style="thin">
        <color theme="2"/>
      </left>
      <right/>
      <top style="thin">
        <color theme="2"/>
      </top>
      <bottom style="thin">
        <color indexed="64"/>
      </bottom>
      <diagonal/>
    </border>
    <border>
      <left style="thin">
        <color auto="1"/>
      </left>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theme="2" tint="-9.9978637043366805E-2"/>
      </left>
      <right/>
      <top style="thin">
        <color theme="2" tint="-9.9978637043366805E-2"/>
      </top>
      <bottom style="thin">
        <color indexed="64"/>
      </bottom>
      <diagonal/>
    </border>
    <border>
      <left style="thin">
        <color theme="2" tint="-9.9978637043366805E-2"/>
      </left>
      <right/>
      <top/>
      <bottom/>
      <diagonal/>
    </border>
    <border>
      <left/>
      <right/>
      <top style="thin">
        <color theme="2" tint="-9.9978637043366805E-2"/>
      </top>
      <bottom style="thin">
        <color theme="2" tint="-9.9978637043366805E-2"/>
      </bottom>
      <diagonal/>
    </border>
    <border>
      <left style="thin">
        <color theme="2" tint="-9.9978637043366805E-2"/>
      </left>
      <right/>
      <top/>
      <bottom style="thin">
        <color theme="2" tint="-9.9978637043366805E-2"/>
      </bottom>
      <diagonal/>
    </border>
    <border>
      <left style="thin">
        <color indexed="64"/>
      </left>
      <right style="thin">
        <color theme="2" tint="-9.9978637043366805E-2"/>
      </right>
      <top style="thin">
        <color theme="1"/>
      </top>
      <bottom style="thin">
        <color theme="2" tint="-9.9978637043366805E-2"/>
      </bottom>
      <diagonal/>
    </border>
    <border>
      <left style="thin">
        <color indexed="64"/>
      </left>
      <right style="thin">
        <color theme="2" tint="-9.9978637043366805E-2"/>
      </right>
      <top style="thin">
        <color theme="2" tint="-9.9978637043366805E-2"/>
      </top>
      <bottom/>
      <diagonal/>
    </border>
    <border>
      <left style="thin">
        <color indexed="64"/>
      </left>
      <right style="thin">
        <color theme="2" tint="-9.9978637043366805E-2"/>
      </right>
      <top style="thin">
        <color auto="1"/>
      </top>
      <bottom style="thin">
        <color theme="1"/>
      </bottom>
      <diagonal/>
    </border>
    <border>
      <left style="thin">
        <color theme="2" tint="-9.9978637043366805E-2"/>
      </left>
      <right/>
      <top style="thin">
        <color theme="1"/>
      </top>
      <bottom style="thin">
        <color theme="2" tint="-9.9978637043366805E-2"/>
      </bottom>
      <diagonal/>
    </border>
    <border>
      <left style="thin">
        <color theme="2" tint="-9.9978637043366805E-2"/>
      </left>
      <right/>
      <top style="thin">
        <color theme="2" tint="-9.9978637043366805E-2"/>
      </top>
      <bottom/>
      <diagonal/>
    </border>
    <border>
      <left style="thin">
        <color theme="2" tint="-9.9978637043366805E-2"/>
      </left>
      <right/>
      <top style="thin">
        <color auto="1"/>
      </top>
      <bottom style="thin">
        <color auto="1"/>
      </bottom>
      <diagonal/>
    </border>
    <border>
      <left style="thin">
        <color theme="2" tint="-9.9978637043366805E-2"/>
      </left>
      <right/>
      <top style="thin">
        <color auto="1"/>
      </top>
      <bottom style="thin">
        <color theme="1"/>
      </bottom>
      <diagonal/>
    </border>
    <border>
      <left style="thin">
        <color indexed="64"/>
      </left>
      <right/>
      <top style="thin">
        <color theme="2" tint="-9.9978637043366805E-2"/>
      </top>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right style="thin">
        <color theme="2" tint="-9.9978637043366805E-2"/>
      </right>
      <top style="thin">
        <color theme="2" tint="-9.9978637043366805E-2"/>
      </top>
      <bottom/>
      <diagonal/>
    </border>
    <border>
      <left style="thin">
        <color theme="1"/>
      </left>
      <right style="thin">
        <color theme="1"/>
      </right>
      <top style="thin">
        <color theme="1"/>
      </top>
      <bottom/>
      <diagonal/>
    </border>
  </borders>
  <cellStyleXfs count="77">
    <xf numFmtId="0" fontId="0" fillId="0" borderId="0"/>
    <xf numFmtId="9" fontId="5" fillId="0" borderId="0" applyFont="0" applyFill="0" applyBorder="0" applyAlignment="0" applyProtection="0"/>
    <xf numFmtId="9" fontId="4" fillId="0" borderId="0" applyFont="0" applyFill="0" applyBorder="0" applyAlignment="0" applyProtection="0"/>
    <xf numFmtId="0" fontId="11" fillId="0" borderId="0"/>
    <xf numFmtId="164" fontId="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21" fillId="0" borderId="0" applyNumberFormat="0" applyFill="0" applyBorder="0" applyAlignment="0" applyProtection="0">
      <alignment vertical="top"/>
      <protection locked="0"/>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9"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640">
    <xf numFmtId="0" fontId="0" fillId="0" borderId="0" xfId="0"/>
    <xf numFmtId="0" fontId="6" fillId="0" borderId="0" xfId="0" applyFont="1"/>
    <xf numFmtId="165" fontId="0" fillId="0" borderId="0" xfId="1" applyNumberFormat="1" applyFont="1"/>
    <xf numFmtId="0" fontId="7" fillId="0" borderId="0" xfId="0" applyFont="1"/>
    <xf numFmtId="0" fontId="10" fillId="4" borderId="2" xfId="3" applyFont="1" applyFill="1" applyBorder="1"/>
    <xf numFmtId="0" fontId="10" fillId="4" borderId="1" xfId="3" applyFont="1" applyFill="1" applyBorder="1"/>
    <xf numFmtId="0" fontId="0" fillId="0" borderId="3" xfId="0" applyBorder="1"/>
    <xf numFmtId="0" fontId="0" fillId="0" borderId="4" xfId="0" applyBorder="1"/>
    <xf numFmtId="0" fontId="0" fillId="0" borderId="5" xfId="0" applyBorder="1"/>
    <xf numFmtId="0" fontId="9" fillId="2" borderId="1" xfId="0" applyFont="1" applyFill="1" applyBorder="1"/>
    <xf numFmtId="3" fontId="9" fillId="2" borderId="1" xfId="0" applyNumberFormat="1" applyFont="1" applyFill="1" applyBorder="1"/>
    <xf numFmtId="2" fontId="9" fillId="2" borderId="1" xfId="2" applyNumberFormat="1" applyFont="1" applyFill="1" applyBorder="1"/>
    <xf numFmtId="0" fontId="7" fillId="0" borderId="0" xfId="0" quotePrefix="1" applyFont="1"/>
    <xf numFmtId="0" fontId="10" fillId="4" borderId="7" xfId="3" applyFont="1" applyFill="1" applyBorder="1"/>
    <xf numFmtId="0" fontId="10" fillId="4" borderId="8" xfId="3" applyFont="1" applyFill="1" applyBorder="1"/>
    <xf numFmtId="3" fontId="10" fillId="2" borderId="6" xfId="0" applyNumberFormat="1" applyFont="1" applyFill="1" applyBorder="1" applyAlignment="1">
      <alignment horizontal="center"/>
    </xf>
    <xf numFmtId="3" fontId="10" fillId="3" borderId="6" xfId="0" applyNumberFormat="1" applyFont="1" applyFill="1" applyBorder="1" applyAlignment="1">
      <alignment horizontal="center"/>
    </xf>
    <xf numFmtId="3" fontId="10" fillId="4" borderId="6" xfId="3" applyNumberFormat="1" applyFont="1" applyFill="1" applyBorder="1" applyAlignment="1">
      <alignment horizontal="center"/>
    </xf>
    <xf numFmtId="3" fontId="10" fillId="2" borderId="10" xfId="0" applyNumberFormat="1" applyFont="1" applyFill="1" applyBorder="1" applyAlignment="1">
      <alignment horizontal="center"/>
    </xf>
    <xf numFmtId="3" fontId="10" fillId="3" borderId="10" xfId="0" applyNumberFormat="1" applyFont="1" applyFill="1" applyBorder="1" applyAlignment="1">
      <alignment horizontal="center"/>
    </xf>
    <xf numFmtId="3" fontId="10" fillId="4" borderId="10" xfId="3" applyNumberFormat="1" applyFont="1" applyFill="1" applyBorder="1" applyAlignment="1">
      <alignment horizontal="center"/>
    </xf>
    <xf numFmtId="0" fontId="9" fillId="2" borderId="9" xfId="0" applyFont="1" applyFill="1" applyBorder="1"/>
    <xf numFmtId="0" fontId="10" fillId="4" borderId="9" xfId="3" applyFont="1" applyFill="1" applyBorder="1"/>
    <xf numFmtId="0" fontId="9" fillId="2" borderId="12" xfId="0" applyFont="1" applyFill="1" applyBorder="1"/>
    <xf numFmtId="3" fontId="10" fillId="2" borderId="13" xfId="0" applyNumberFormat="1" applyFont="1" applyFill="1" applyBorder="1" applyAlignment="1">
      <alignment horizontal="center"/>
    </xf>
    <xf numFmtId="0" fontId="10" fillId="3" borderId="14" xfId="0" applyFont="1" applyFill="1" applyBorder="1" applyAlignment="1">
      <alignment horizontal="center"/>
    </xf>
    <xf numFmtId="0" fontId="12" fillId="2" borderId="15" xfId="0" applyFont="1" applyFill="1" applyBorder="1" applyAlignment="1">
      <alignment horizontal="left"/>
    </xf>
    <xf numFmtId="0" fontId="12" fillId="2" borderId="16" xfId="0" applyFont="1" applyFill="1" applyBorder="1" applyAlignment="1">
      <alignment horizontal="center"/>
    </xf>
    <xf numFmtId="0" fontId="12" fillId="2" borderId="11" xfId="0" applyFont="1" applyFill="1" applyBorder="1" applyAlignment="1">
      <alignment horizontal="center"/>
    </xf>
    <xf numFmtId="0" fontId="0" fillId="0" borderId="17" xfId="0" applyBorder="1"/>
    <xf numFmtId="0" fontId="13" fillId="0" borderId="1" xfId="0" applyFont="1" applyBorder="1"/>
    <xf numFmtId="0" fontId="16" fillId="0" borderId="0" xfId="0" applyFont="1"/>
    <xf numFmtId="0" fontId="10" fillId="4" borderId="21" xfId="3" applyFont="1" applyFill="1" applyBorder="1"/>
    <xf numFmtId="3" fontId="10" fillId="4" borderId="21" xfId="3" applyNumberFormat="1" applyFont="1" applyFill="1" applyBorder="1" applyAlignment="1">
      <alignment horizontal="center"/>
    </xf>
    <xf numFmtId="0" fontId="10" fillId="4" borderId="22" xfId="3" applyFont="1" applyFill="1" applyBorder="1"/>
    <xf numFmtId="0" fontId="10" fillId="4" borderId="23" xfId="3" applyFont="1" applyFill="1" applyBorder="1"/>
    <xf numFmtId="0" fontId="10" fillId="4" borderId="24" xfId="3" applyFont="1" applyFill="1" applyBorder="1"/>
    <xf numFmtId="0" fontId="10" fillId="4" borderId="33" xfId="3" applyFont="1" applyFill="1" applyBorder="1"/>
    <xf numFmtId="0" fontId="10" fillId="4" borderId="34" xfId="3" applyFont="1" applyFill="1" applyBorder="1"/>
    <xf numFmtId="0" fontId="10" fillId="4" borderId="35" xfId="3" applyFont="1" applyFill="1" applyBorder="1"/>
    <xf numFmtId="0" fontId="10" fillId="4" borderId="36" xfId="3" applyFont="1" applyFill="1" applyBorder="1"/>
    <xf numFmtId="3" fontId="10" fillId="4" borderId="37" xfId="3" applyNumberFormat="1" applyFont="1" applyFill="1" applyBorder="1" applyAlignment="1">
      <alignment horizontal="center"/>
    </xf>
    <xf numFmtId="0" fontId="10" fillId="4" borderId="38" xfId="3" applyFont="1" applyFill="1" applyBorder="1"/>
    <xf numFmtId="3" fontId="10" fillId="4" borderId="39" xfId="3" applyNumberFormat="1" applyFont="1" applyFill="1" applyBorder="1" applyAlignment="1">
      <alignment horizontal="center"/>
    </xf>
    <xf numFmtId="3" fontId="10" fillId="4" borderId="40" xfId="3" applyNumberFormat="1" applyFont="1" applyFill="1" applyBorder="1" applyAlignment="1">
      <alignment horizontal="center"/>
    </xf>
    <xf numFmtId="0" fontId="10" fillId="4" borderId="26" xfId="3" applyFont="1" applyFill="1" applyBorder="1"/>
    <xf numFmtId="0" fontId="10" fillId="4" borderId="41" xfId="3" applyFont="1" applyFill="1" applyBorder="1"/>
    <xf numFmtId="0" fontId="10" fillId="4" borderId="33" xfId="3" applyFont="1" applyFill="1" applyBorder="1" applyAlignment="1">
      <alignment horizontal="center"/>
    </xf>
    <xf numFmtId="0" fontId="10" fillId="4" borderId="34" xfId="3" applyFont="1" applyFill="1" applyBorder="1" applyAlignment="1">
      <alignment horizontal="center"/>
    </xf>
    <xf numFmtId="0" fontId="10" fillId="4" borderId="35" xfId="3" applyFont="1" applyFill="1" applyBorder="1" applyAlignment="1">
      <alignment horizontal="center"/>
    </xf>
    <xf numFmtId="0" fontId="10" fillId="4" borderId="36" xfId="3" applyFont="1" applyFill="1" applyBorder="1" applyAlignment="1">
      <alignment horizontal="center"/>
    </xf>
    <xf numFmtId="0" fontId="10" fillId="4" borderId="38" xfId="3" applyFont="1" applyFill="1" applyBorder="1" applyAlignment="1">
      <alignment horizontal="center"/>
    </xf>
    <xf numFmtId="0" fontId="19" fillId="5" borderId="42" xfId="3" applyFont="1" applyFill="1" applyBorder="1"/>
    <xf numFmtId="0" fontId="19" fillId="5" borderId="43" xfId="3" applyFont="1" applyFill="1" applyBorder="1"/>
    <xf numFmtId="0" fontId="20" fillId="5" borderId="46" xfId="3" applyFont="1" applyFill="1" applyBorder="1" applyAlignment="1">
      <alignment horizontal="center"/>
    </xf>
    <xf numFmtId="0" fontId="20" fillId="5" borderId="48" xfId="3" applyFont="1" applyFill="1" applyBorder="1" applyAlignment="1">
      <alignment horizontal="center"/>
    </xf>
    <xf numFmtId="0" fontId="20" fillId="5" borderId="32" xfId="3" applyFont="1" applyFill="1" applyBorder="1" applyAlignment="1">
      <alignment horizontal="center"/>
    </xf>
    <xf numFmtId="0" fontId="20" fillId="5" borderId="31" xfId="3" applyFont="1" applyFill="1" applyBorder="1" applyAlignment="1">
      <alignment horizontal="center"/>
    </xf>
    <xf numFmtId="0" fontId="19" fillId="5" borderId="49" xfId="3" applyFont="1" applyFill="1" applyBorder="1"/>
    <xf numFmtId="166" fontId="19" fillId="5" borderId="27" xfId="3" applyNumberFormat="1" applyFont="1" applyFill="1" applyBorder="1"/>
    <xf numFmtId="166" fontId="19" fillId="5" borderId="28" xfId="3" applyNumberFormat="1" applyFont="1" applyFill="1" applyBorder="1"/>
    <xf numFmtId="166" fontId="19" fillId="5" borderId="20" xfId="3" applyNumberFormat="1" applyFont="1" applyFill="1" applyBorder="1"/>
    <xf numFmtId="166" fontId="19" fillId="5" borderId="20" xfId="3" applyNumberFormat="1" applyFont="1" applyFill="1" applyBorder="1" applyProtection="1">
      <protection locked="0"/>
    </xf>
    <xf numFmtId="166" fontId="19" fillId="5" borderId="50" xfId="3" applyNumberFormat="1" applyFont="1" applyFill="1" applyBorder="1" applyProtection="1">
      <protection locked="0"/>
    </xf>
    <xf numFmtId="166" fontId="19" fillId="5" borderId="51" xfId="3" applyNumberFormat="1" applyFont="1" applyFill="1" applyBorder="1"/>
    <xf numFmtId="166" fontId="19" fillId="5" borderId="51" xfId="3" applyNumberFormat="1" applyFont="1" applyFill="1" applyBorder="1" applyProtection="1">
      <protection locked="0"/>
    </xf>
    <xf numFmtId="0" fontId="19" fillId="5" borderId="52" xfId="3" applyFont="1" applyFill="1" applyBorder="1"/>
    <xf numFmtId="166" fontId="19" fillId="5" borderId="29" xfId="3" applyNumberFormat="1" applyFont="1" applyFill="1" applyBorder="1"/>
    <xf numFmtId="166" fontId="19" fillId="5" borderId="30" xfId="3" applyNumberFormat="1" applyFont="1" applyFill="1" applyBorder="1"/>
    <xf numFmtId="166" fontId="19" fillId="5" borderId="54" xfId="3" applyNumberFormat="1" applyFont="1" applyFill="1" applyBorder="1" applyProtection="1">
      <protection locked="0"/>
    </xf>
    <xf numFmtId="166" fontId="19" fillId="5" borderId="29" xfId="3" applyNumberFormat="1" applyFont="1" applyFill="1" applyBorder="1" applyProtection="1">
      <protection locked="0"/>
    </xf>
    <xf numFmtId="166" fontId="19" fillId="5" borderId="30" xfId="3" applyNumberFormat="1" applyFont="1" applyFill="1" applyBorder="1" applyProtection="1">
      <protection locked="0"/>
    </xf>
    <xf numFmtId="166" fontId="19" fillId="5" borderId="53" xfId="3" applyNumberFormat="1" applyFont="1" applyFill="1" applyBorder="1" applyProtection="1">
      <protection locked="0"/>
    </xf>
    <xf numFmtId="0" fontId="19" fillId="5" borderId="55" xfId="3" applyFont="1" applyFill="1" applyBorder="1"/>
    <xf numFmtId="166" fontId="19" fillId="5" borderId="52" xfId="3" applyNumberFormat="1" applyFont="1" applyFill="1" applyBorder="1"/>
    <xf numFmtId="166" fontId="19" fillId="5" borderId="54" xfId="3" applyNumberFormat="1" applyFont="1" applyFill="1" applyBorder="1"/>
    <xf numFmtId="166" fontId="19" fillId="5" borderId="19" xfId="3" applyNumberFormat="1" applyFont="1" applyFill="1" applyBorder="1"/>
    <xf numFmtId="166" fontId="19" fillId="5" borderId="18" xfId="3" applyNumberFormat="1" applyFont="1" applyFill="1" applyBorder="1"/>
    <xf numFmtId="166" fontId="19" fillId="5" borderId="56" xfId="3" applyNumberFormat="1" applyFont="1" applyFill="1" applyBorder="1" applyProtection="1">
      <protection locked="0"/>
    </xf>
    <xf numFmtId="166" fontId="19" fillId="5" borderId="57" xfId="3" applyNumberFormat="1" applyFont="1" applyFill="1" applyBorder="1" applyProtection="1">
      <protection locked="0"/>
    </xf>
    <xf numFmtId="166" fontId="19" fillId="5" borderId="31" xfId="3" applyNumberFormat="1" applyFont="1" applyFill="1" applyBorder="1"/>
    <xf numFmtId="166" fontId="19" fillId="5" borderId="32" xfId="3" applyNumberFormat="1" applyFont="1" applyFill="1" applyBorder="1"/>
    <xf numFmtId="166" fontId="19" fillId="5" borderId="19" xfId="3" applyNumberFormat="1" applyFont="1" applyFill="1" applyBorder="1" applyProtection="1">
      <protection locked="0"/>
    </xf>
    <xf numFmtId="166" fontId="19" fillId="5" borderId="18" xfId="3" applyNumberFormat="1" applyFont="1" applyFill="1" applyBorder="1" applyProtection="1">
      <protection locked="0"/>
    </xf>
    <xf numFmtId="0" fontId="19" fillId="5" borderId="58" xfId="3" applyFont="1" applyFill="1" applyBorder="1"/>
    <xf numFmtId="166" fontId="19" fillId="5" borderId="44" xfId="3" applyNumberFormat="1" applyFont="1" applyFill="1" applyBorder="1"/>
    <xf numFmtId="166" fontId="19" fillId="5" borderId="59" xfId="3" applyNumberFormat="1" applyFont="1" applyFill="1" applyBorder="1"/>
    <xf numFmtId="0" fontId="19" fillId="5" borderId="52" xfId="3" applyFont="1" applyFill="1" applyBorder="1" applyProtection="1">
      <protection locked="0"/>
    </xf>
    <xf numFmtId="0" fontId="19" fillId="5" borderId="0" xfId="3" applyFont="1" applyFill="1" applyProtection="1">
      <protection locked="0"/>
    </xf>
    <xf numFmtId="166" fontId="19" fillId="5" borderId="60" xfId="3" applyNumberFormat="1" applyFont="1" applyFill="1" applyBorder="1" applyProtection="1">
      <protection locked="0"/>
    </xf>
    <xf numFmtId="0" fontId="19" fillId="5" borderId="61" xfId="3" applyFont="1" applyFill="1" applyBorder="1" applyProtection="1">
      <protection locked="0"/>
    </xf>
    <xf numFmtId="0" fontId="19" fillId="5" borderId="47" xfId="3" applyFont="1" applyFill="1" applyBorder="1" applyProtection="1">
      <protection locked="0"/>
    </xf>
    <xf numFmtId="166" fontId="19" fillId="5" borderId="31" xfId="3" applyNumberFormat="1" applyFont="1" applyFill="1" applyBorder="1" applyProtection="1">
      <protection locked="0"/>
    </xf>
    <xf numFmtId="166" fontId="19" fillId="5" borderId="32" xfId="3" applyNumberFormat="1" applyFont="1" applyFill="1" applyBorder="1" applyProtection="1">
      <protection locked="0"/>
    </xf>
    <xf numFmtId="166" fontId="19" fillId="5" borderId="48" xfId="3" applyNumberFormat="1" applyFont="1" applyFill="1" applyBorder="1" applyProtection="1">
      <protection locked="0"/>
    </xf>
    <xf numFmtId="166" fontId="19" fillId="5" borderId="62" xfId="3" applyNumberFormat="1" applyFont="1" applyFill="1" applyBorder="1" applyProtection="1">
      <protection locked="0"/>
    </xf>
    <xf numFmtId="167" fontId="0" fillId="0" borderId="0" xfId="4" applyNumberFormat="1" applyFont="1"/>
    <xf numFmtId="0" fontId="0" fillId="0" borderId="0" xfId="0" applyAlignment="1">
      <alignment horizontal="center"/>
    </xf>
    <xf numFmtId="0" fontId="0" fillId="0" borderId="1" xfId="0" applyBorder="1"/>
    <xf numFmtId="168" fontId="10" fillId="4" borderId="1" xfId="3" applyNumberFormat="1" applyFont="1" applyFill="1" applyBorder="1"/>
    <xf numFmtId="0" fontId="0" fillId="0" borderId="2" xfId="0" applyBorder="1"/>
    <xf numFmtId="0" fontId="0" fillId="0" borderId="65" xfId="0" applyBorder="1"/>
    <xf numFmtId="0" fontId="10" fillId="4" borderId="65" xfId="3" applyFont="1" applyFill="1" applyBorder="1"/>
    <xf numFmtId="3" fontId="10" fillId="4" borderId="65" xfId="3" applyNumberFormat="1" applyFont="1" applyFill="1" applyBorder="1"/>
    <xf numFmtId="9" fontId="10" fillId="4" borderId="65" xfId="1" applyFont="1" applyFill="1" applyBorder="1"/>
    <xf numFmtId="0" fontId="10" fillId="4" borderId="66" xfId="3" applyFont="1" applyFill="1" applyBorder="1"/>
    <xf numFmtId="3" fontId="10" fillId="4" borderId="2" xfId="7" applyNumberFormat="1" applyFont="1" applyFill="1" applyBorder="1" applyAlignment="1" applyProtection="1"/>
    <xf numFmtId="0" fontId="10" fillId="4" borderId="65" xfId="3" applyFont="1" applyFill="1" applyBorder="1" applyAlignment="1">
      <alignment horizontal="right"/>
    </xf>
    <xf numFmtId="0" fontId="20" fillId="4" borderId="65" xfId="3" applyFont="1" applyFill="1" applyBorder="1" applyAlignment="1">
      <alignment horizontal="center"/>
    </xf>
    <xf numFmtId="0" fontId="22" fillId="4" borderId="64" xfId="3" applyFont="1" applyFill="1" applyBorder="1" applyAlignment="1">
      <alignment horizontal="center"/>
    </xf>
    <xf numFmtId="3" fontId="22" fillId="4" borderId="64" xfId="3" applyNumberFormat="1" applyFont="1" applyFill="1" applyBorder="1" applyAlignment="1">
      <alignment horizontal="center"/>
    </xf>
    <xf numFmtId="0" fontId="22" fillId="6" borderId="64" xfId="3" applyFont="1" applyFill="1" applyBorder="1" applyAlignment="1">
      <alignment horizontal="center"/>
    </xf>
    <xf numFmtId="0" fontId="23" fillId="6" borderId="64" xfId="3" quotePrefix="1" applyFont="1" applyFill="1" applyBorder="1" applyAlignment="1">
      <alignment horizontal="center"/>
    </xf>
    <xf numFmtId="0" fontId="22" fillId="4" borderId="63" xfId="3" applyFont="1" applyFill="1" applyBorder="1" applyAlignment="1">
      <alignment horizontal="center"/>
    </xf>
    <xf numFmtId="3" fontId="22" fillId="4" borderId="63" xfId="3" applyNumberFormat="1" applyFont="1" applyFill="1" applyBorder="1" applyAlignment="1">
      <alignment horizontal="center"/>
    </xf>
    <xf numFmtId="0" fontId="23" fillId="4" borderId="65" xfId="3" applyFont="1" applyFill="1" applyBorder="1" applyAlignment="1">
      <alignment horizontal="center"/>
    </xf>
    <xf numFmtId="0" fontId="7" fillId="0" borderId="0" xfId="0" applyFont="1" applyAlignment="1">
      <alignment horizontal="center"/>
    </xf>
    <xf numFmtId="0" fontId="7" fillId="0" borderId="10" xfId="0" applyFont="1" applyBorder="1" applyAlignment="1">
      <alignment horizontal="center"/>
    </xf>
    <xf numFmtId="0" fontId="7" fillId="0" borderId="6" xfId="0" applyFont="1" applyBorder="1"/>
    <xf numFmtId="0" fontId="7" fillId="0" borderId="13" xfId="0" applyFont="1" applyBorder="1" applyAlignment="1">
      <alignment horizontal="left"/>
    </xf>
    <xf numFmtId="0" fontId="7" fillId="0" borderId="6" xfId="0" applyFont="1" applyBorder="1" applyAlignment="1">
      <alignment horizontal="center"/>
    </xf>
    <xf numFmtId="0" fontId="7" fillId="0" borderId="14" xfId="0" applyFont="1" applyBorder="1"/>
    <xf numFmtId="0" fontId="7" fillId="0" borderId="10" xfId="0" applyFont="1" applyBorder="1" applyAlignment="1">
      <alignment horizontal="left"/>
    </xf>
    <xf numFmtId="2" fontId="7" fillId="0" borderId="6" xfId="0" applyNumberFormat="1" applyFont="1" applyBorder="1"/>
    <xf numFmtId="0" fontId="0" fillId="0" borderId="0" xfId="0" applyAlignment="1">
      <alignment horizontal="right"/>
    </xf>
    <xf numFmtId="0" fontId="25" fillId="0" borderId="0" xfId="0" applyFont="1"/>
    <xf numFmtId="0" fontId="26" fillId="0" borderId="0" xfId="0" applyFont="1"/>
    <xf numFmtId="0" fontId="7" fillId="0" borderId="63" xfId="0" applyFont="1" applyBorder="1"/>
    <xf numFmtId="2" fontId="0" fillId="0" borderId="0" xfId="0" applyNumberFormat="1" applyAlignment="1">
      <alignment horizontal="center"/>
    </xf>
    <xf numFmtId="0" fontId="0" fillId="0" borderId="0" xfId="0" quotePrefix="1" applyAlignment="1">
      <alignment horizontal="center"/>
    </xf>
    <xf numFmtId="0" fontId="0" fillId="0" borderId="63" xfId="0" applyBorder="1"/>
    <xf numFmtId="0" fontId="24" fillId="0" borderId="0" xfId="0" applyFont="1"/>
    <xf numFmtId="0" fontId="27" fillId="0" borderId="0" xfId="0" applyFont="1"/>
    <xf numFmtId="0" fontId="0" fillId="0" borderId="68" xfId="0" applyBorder="1"/>
    <xf numFmtId="0" fontId="0" fillId="0" borderId="68" xfId="0" applyBorder="1" applyAlignment="1">
      <alignment horizontal="center"/>
    </xf>
    <xf numFmtId="0" fontId="28" fillId="0" borderId="0" xfId="0" applyFont="1"/>
    <xf numFmtId="0" fontId="0" fillId="0" borderId="53" xfId="0" applyBorder="1" applyAlignment="1">
      <alignment horizontal="center"/>
    </xf>
    <xf numFmtId="0" fontId="0" fillId="0" borderId="69" xfId="0" applyBorder="1"/>
    <xf numFmtId="0" fontId="0" fillId="0" borderId="0" xfId="0" applyAlignment="1">
      <alignment horizontal="left"/>
    </xf>
    <xf numFmtId="0" fontId="16" fillId="0" borderId="0" xfId="0" applyFont="1" applyAlignment="1">
      <alignment horizontal="center"/>
    </xf>
    <xf numFmtId="0" fontId="16" fillId="0" borderId="68" xfId="0" applyFont="1" applyBorder="1" applyAlignment="1">
      <alignment horizontal="center"/>
    </xf>
    <xf numFmtId="0" fontId="33" fillId="0" borderId="0" xfId="0" applyFont="1"/>
    <xf numFmtId="2" fontId="0" fillId="0" borderId="0" xfId="0" applyNumberFormat="1"/>
    <xf numFmtId="0" fontId="7" fillId="0" borderId="0" xfId="0" applyFont="1" applyAlignment="1">
      <alignment horizontal="right"/>
    </xf>
    <xf numFmtId="0" fontId="34" fillId="0" borderId="0" xfId="0" applyFont="1"/>
    <xf numFmtId="170" fontId="0" fillId="0" borderId="0" xfId="4" applyNumberFormat="1" applyFont="1" applyAlignment="1">
      <alignment horizontal="center" vertical="center"/>
    </xf>
    <xf numFmtId="0" fontId="0" fillId="0" borderId="70" xfId="0" applyBorder="1"/>
    <xf numFmtId="0" fontId="0" fillId="0" borderId="71" xfId="0" applyBorder="1"/>
    <xf numFmtId="171" fontId="0" fillId="0" borderId="0" xfId="4" applyNumberFormat="1" applyFont="1"/>
    <xf numFmtId="171" fontId="0" fillId="0" borderId="0" xfId="0" applyNumberFormat="1"/>
    <xf numFmtId="0" fontId="0" fillId="0" borderId="80" xfId="0" applyBorder="1"/>
    <xf numFmtId="0" fontId="0" fillId="0" borderId="81" xfId="0" applyBorder="1"/>
    <xf numFmtId="0" fontId="0" fillId="0" borderId="82" xfId="0" applyBorder="1"/>
    <xf numFmtId="3" fontId="10" fillId="0" borderId="0" xfId="3" applyNumberFormat="1" applyFont="1"/>
    <xf numFmtId="3" fontId="36" fillId="0" borderId="0" xfId="0" applyNumberFormat="1" applyFont="1"/>
    <xf numFmtId="3" fontId="10" fillId="0" borderId="86" xfId="3" applyNumberFormat="1" applyFont="1" applyBorder="1"/>
    <xf numFmtId="0" fontId="0" fillId="0" borderId="0" xfId="0" applyAlignment="1">
      <alignment horizontal="left" wrapText="1"/>
    </xf>
    <xf numFmtId="0" fontId="10" fillId="4" borderId="25" xfId="3" applyFont="1" applyFill="1" applyBorder="1"/>
    <xf numFmtId="3" fontId="10" fillId="4" borderId="1" xfId="3" applyNumberFormat="1" applyFont="1" applyFill="1" applyBorder="1"/>
    <xf numFmtId="0" fontId="18" fillId="4" borderId="1" xfId="3" applyFont="1" applyFill="1" applyBorder="1"/>
    <xf numFmtId="0" fontId="10" fillId="4" borderId="89" xfId="3" applyFont="1" applyFill="1" applyBorder="1"/>
    <xf numFmtId="0" fontId="10" fillId="4" borderId="90" xfId="3" applyFont="1" applyFill="1" applyBorder="1"/>
    <xf numFmtId="0" fontId="40" fillId="0" borderId="0" xfId="0" applyFont="1" applyAlignment="1">
      <alignment horizontal="left" vertical="center"/>
    </xf>
    <xf numFmtId="0" fontId="40" fillId="0" borderId="0" xfId="0" applyFont="1" applyAlignment="1">
      <alignment horizontal="left"/>
    </xf>
    <xf numFmtId="0" fontId="0" fillId="0" borderId="91" xfId="0" applyBorder="1" applyAlignment="1">
      <alignment horizontal="center"/>
    </xf>
    <xf numFmtId="0" fontId="10" fillId="4" borderId="63" xfId="3" applyFont="1" applyFill="1" applyBorder="1" applyAlignment="1">
      <alignment horizontal="center"/>
    </xf>
    <xf numFmtId="0" fontId="10" fillId="4" borderId="63" xfId="3" applyFont="1" applyFill="1" applyBorder="1" applyAlignment="1">
      <alignment horizontal="center" wrapText="1"/>
    </xf>
    <xf numFmtId="3" fontId="10" fillId="4" borderId="63" xfId="7" applyNumberFormat="1" applyFont="1" applyFill="1" applyBorder="1" applyAlignment="1" applyProtection="1">
      <alignment horizontal="center" wrapText="1"/>
    </xf>
    <xf numFmtId="0" fontId="40" fillId="4" borderId="63" xfId="3" applyFont="1" applyFill="1" applyBorder="1" applyAlignment="1">
      <alignment horizontal="center" wrapText="1"/>
    </xf>
    <xf numFmtId="2" fontId="40" fillId="4" borderId="63" xfId="4" applyNumberFormat="1" applyFont="1" applyFill="1" applyBorder="1" applyAlignment="1">
      <alignment horizontal="center"/>
    </xf>
    <xf numFmtId="2" fontId="40" fillId="4" borderId="63" xfId="3" applyNumberFormat="1" applyFont="1" applyFill="1" applyBorder="1" applyAlignment="1">
      <alignment horizontal="center"/>
    </xf>
    <xf numFmtId="173" fontId="0" fillId="0" borderId="0" xfId="0" applyNumberFormat="1"/>
    <xf numFmtId="172" fontId="0" fillId="0" borderId="0" xfId="0" applyNumberFormat="1" applyAlignment="1">
      <alignment horizontal="left" wrapText="1"/>
    </xf>
    <xf numFmtId="167" fontId="0" fillId="0" borderId="0" xfId="0" applyNumberFormat="1"/>
    <xf numFmtId="0" fontId="43" fillId="0" borderId="0" xfId="0" applyFont="1" applyAlignment="1">
      <alignment horizontal="center"/>
    </xf>
    <xf numFmtId="3" fontId="0" fillId="0" borderId="0" xfId="0" applyNumberFormat="1"/>
    <xf numFmtId="165" fontId="0" fillId="0" borderId="0" xfId="0" applyNumberFormat="1"/>
    <xf numFmtId="8" fontId="0" fillId="0" borderId="0" xfId="0" applyNumberFormat="1"/>
    <xf numFmtId="164" fontId="0" fillId="0" borderId="0" xfId="4" applyFont="1"/>
    <xf numFmtId="0" fontId="10" fillId="7" borderId="63" xfId="3" applyFont="1" applyFill="1" applyBorder="1" applyAlignment="1">
      <alignment horizontal="center" wrapText="1"/>
    </xf>
    <xf numFmtId="0" fontId="40" fillId="7" borderId="63" xfId="3" applyFont="1" applyFill="1" applyBorder="1" applyAlignment="1">
      <alignment horizontal="center" wrapText="1"/>
    </xf>
    <xf numFmtId="0" fontId="0" fillId="0" borderId="63" xfId="0" applyBorder="1" applyAlignment="1">
      <alignment horizontal="center"/>
    </xf>
    <xf numFmtId="4" fontId="0" fillId="0" borderId="63" xfId="0" applyNumberFormat="1" applyBorder="1" applyAlignment="1">
      <alignment horizontal="center"/>
    </xf>
    <xf numFmtId="0" fontId="40" fillId="0" borderId="63" xfId="3" applyFont="1" applyBorder="1" applyAlignment="1">
      <alignment horizontal="center" wrapText="1"/>
    </xf>
    <xf numFmtId="2" fontId="40" fillId="0" borderId="63" xfId="3" applyNumberFormat="1" applyFont="1" applyBorder="1" applyAlignment="1">
      <alignment horizontal="center"/>
    </xf>
    <xf numFmtId="0" fontId="0" fillId="0" borderId="0" xfId="0" applyAlignment="1">
      <alignment vertical="center"/>
    </xf>
    <xf numFmtId="174" fontId="0" fillId="0" borderId="63" xfId="0" applyNumberFormat="1" applyBorder="1" applyAlignment="1">
      <alignment horizontal="center"/>
    </xf>
    <xf numFmtId="0" fontId="0" fillId="8" borderId="63" xfId="0" applyFill="1" applyBorder="1"/>
    <xf numFmtId="0" fontId="0" fillId="8" borderId="63" xfId="0" applyFill="1" applyBorder="1" applyAlignment="1">
      <alignment horizontal="center"/>
    </xf>
    <xf numFmtId="173" fontId="0" fillId="0" borderId="63" xfId="0" applyNumberFormat="1" applyBorder="1"/>
    <xf numFmtId="2" fontId="10" fillId="4" borderId="63" xfId="3" applyNumberFormat="1" applyFont="1" applyFill="1" applyBorder="1" applyAlignment="1">
      <alignment horizontal="center"/>
    </xf>
    <xf numFmtId="173" fontId="10" fillId="4" borderId="63" xfId="22" applyNumberFormat="1" applyFont="1" applyFill="1" applyBorder="1" applyAlignment="1">
      <alignment horizontal="center"/>
    </xf>
    <xf numFmtId="175" fontId="10" fillId="4" borderId="63" xfId="22" applyNumberFormat="1" applyFont="1" applyFill="1" applyBorder="1" applyAlignment="1">
      <alignment horizontal="center"/>
    </xf>
    <xf numFmtId="174" fontId="10" fillId="4" borderId="63" xfId="22" applyNumberFormat="1" applyFont="1" applyFill="1" applyBorder="1" applyAlignment="1">
      <alignment horizontal="center"/>
    </xf>
    <xf numFmtId="0" fontId="16" fillId="0" borderId="0" xfId="0" applyFont="1" applyAlignment="1">
      <alignment horizontal="left" wrapText="1"/>
    </xf>
    <xf numFmtId="0" fontId="47" fillId="0" borderId="0" xfId="0" applyFont="1"/>
    <xf numFmtId="0" fontId="48" fillId="0" borderId="0" xfId="0" applyFont="1"/>
    <xf numFmtId="174" fontId="0" fillId="0" borderId="0" xfId="0" applyNumberFormat="1"/>
    <xf numFmtId="3" fontId="10" fillId="0" borderId="0" xfId="3" applyNumberFormat="1" applyFont="1" applyAlignment="1">
      <alignment horizontal="center"/>
    </xf>
    <xf numFmtId="0" fontId="16" fillId="0" borderId="63" xfId="0" applyFont="1" applyBorder="1" applyAlignment="1">
      <alignment horizontal="center"/>
    </xf>
    <xf numFmtId="174" fontId="16" fillId="0" borderId="63" xfId="0" applyNumberFormat="1" applyFont="1" applyBorder="1" applyAlignment="1">
      <alignment horizontal="center"/>
    </xf>
    <xf numFmtId="0" fontId="16" fillId="8" borderId="63" xfId="0" applyFont="1" applyFill="1" applyBorder="1" applyAlignment="1">
      <alignment horizontal="center"/>
    </xf>
    <xf numFmtId="167" fontId="0" fillId="0" borderId="0" xfId="4" applyNumberFormat="1" applyFont="1" applyAlignment="1">
      <alignment horizontal="right"/>
    </xf>
    <xf numFmtId="174" fontId="0" fillId="0" borderId="63" xfId="0" applyNumberFormat="1" applyBorder="1"/>
    <xf numFmtId="176" fontId="0" fillId="0" borderId="63" xfId="0" applyNumberFormat="1" applyBorder="1"/>
    <xf numFmtId="0" fontId="0" fillId="8" borderId="54" xfId="0" applyFill="1" applyBorder="1" applyAlignment="1">
      <alignment horizontal="right"/>
    </xf>
    <xf numFmtId="0" fontId="12" fillId="2" borderId="1" xfId="0" applyFont="1" applyFill="1" applyBorder="1"/>
    <xf numFmtId="3" fontId="0" fillId="0" borderId="4" xfId="0" applyNumberFormat="1" applyBorder="1"/>
    <xf numFmtId="3" fontId="10" fillId="4" borderId="63" xfId="3" applyNumberFormat="1" applyFont="1" applyFill="1" applyBorder="1"/>
    <xf numFmtId="0" fontId="28" fillId="0" borderId="1" xfId="0" applyFont="1" applyBorder="1"/>
    <xf numFmtId="3" fontId="17" fillId="4" borderId="1" xfId="3" applyNumberFormat="1" applyFont="1" applyFill="1" applyBorder="1"/>
    <xf numFmtId="3" fontId="10" fillId="4" borderId="66" xfId="3" applyNumberFormat="1" applyFont="1" applyFill="1" applyBorder="1"/>
    <xf numFmtId="3" fontId="10" fillId="4" borderId="8" xfId="3" applyNumberFormat="1" applyFont="1" applyFill="1" applyBorder="1"/>
    <xf numFmtId="3" fontId="10" fillId="4" borderId="2" xfId="3" applyNumberFormat="1" applyFont="1" applyFill="1" applyBorder="1"/>
    <xf numFmtId="3" fontId="10" fillId="4" borderId="66" xfId="3" applyNumberFormat="1" applyFont="1" applyFill="1" applyBorder="1" applyAlignment="1">
      <alignment horizontal="right"/>
    </xf>
    <xf numFmtId="0" fontId="0" fillId="0" borderId="8" xfId="0" applyBorder="1"/>
    <xf numFmtId="3" fontId="10" fillId="4" borderId="94" xfId="3" applyNumberFormat="1" applyFont="1" applyFill="1" applyBorder="1"/>
    <xf numFmtId="3" fontId="10" fillId="4" borderId="96" xfId="3" applyNumberFormat="1" applyFont="1" applyFill="1" applyBorder="1"/>
    <xf numFmtId="3" fontId="10" fillId="4" borderId="98" xfId="3" applyNumberFormat="1" applyFont="1" applyFill="1" applyBorder="1"/>
    <xf numFmtId="3" fontId="10" fillId="5" borderId="2" xfId="3" applyNumberFormat="1" applyFont="1" applyFill="1" applyBorder="1"/>
    <xf numFmtId="0" fontId="0" fillId="0" borderId="66" xfId="0" applyBorder="1"/>
    <xf numFmtId="3" fontId="10" fillId="5" borderId="93" xfId="3" applyNumberFormat="1" applyFont="1" applyFill="1" applyBorder="1"/>
    <xf numFmtId="3" fontId="10" fillId="4" borderId="100" xfId="3" applyNumberFormat="1" applyFont="1" applyFill="1" applyBorder="1"/>
    <xf numFmtId="3" fontId="10" fillId="5" borderId="97" xfId="3" applyNumberFormat="1" applyFont="1" applyFill="1" applyBorder="1"/>
    <xf numFmtId="3" fontId="10" fillId="5" borderId="94" xfId="3" applyNumberFormat="1" applyFont="1" applyFill="1" applyBorder="1"/>
    <xf numFmtId="3" fontId="10" fillId="5" borderId="98" xfId="3" applyNumberFormat="1" applyFont="1" applyFill="1" applyBorder="1"/>
    <xf numFmtId="3" fontId="10" fillId="5" borderId="103" xfId="3" applyNumberFormat="1" applyFont="1" applyFill="1" applyBorder="1"/>
    <xf numFmtId="3" fontId="10" fillId="4" borderId="104" xfId="3" applyNumberFormat="1" applyFont="1" applyFill="1" applyBorder="1"/>
    <xf numFmtId="0" fontId="28" fillId="0" borderId="66" xfId="0" applyFont="1" applyBorder="1"/>
    <xf numFmtId="3" fontId="10" fillId="5" borderId="107" xfId="3" applyNumberFormat="1" applyFont="1" applyFill="1" applyBorder="1"/>
    <xf numFmtId="3" fontId="10" fillId="4" borderId="107" xfId="3" applyNumberFormat="1" applyFont="1" applyFill="1" applyBorder="1"/>
    <xf numFmtId="9" fontId="0" fillId="0" borderId="63" xfId="1" applyFont="1" applyBorder="1"/>
    <xf numFmtId="10" fontId="0" fillId="0" borderId="0" xfId="0" applyNumberFormat="1"/>
    <xf numFmtId="165" fontId="0" fillId="0" borderId="63" xfId="1" applyNumberFormat="1" applyFont="1" applyBorder="1"/>
    <xf numFmtId="10" fontId="0" fillId="0" borderId="63" xfId="1" applyNumberFormat="1" applyFont="1" applyBorder="1"/>
    <xf numFmtId="4" fontId="0" fillId="0" borderId="65" xfId="0" applyNumberFormat="1" applyBorder="1"/>
    <xf numFmtId="4" fontId="10" fillId="4" borderId="65" xfId="3" applyNumberFormat="1" applyFont="1" applyFill="1" applyBorder="1"/>
    <xf numFmtId="9" fontId="0" fillId="0" borderId="0" xfId="1" applyFont="1"/>
    <xf numFmtId="0" fontId="0" fillId="0" borderId="91" xfId="0" applyBorder="1"/>
    <xf numFmtId="4" fontId="0" fillId="0" borderId="0" xfId="0" applyNumberFormat="1"/>
    <xf numFmtId="4" fontId="0" fillId="0" borderId="0" xfId="0" quotePrefix="1" applyNumberFormat="1"/>
    <xf numFmtId="0" fontId="40" fillId="0" borderId="0" xfId="0" applyFont="1"/>
    <xf numFmtId="0" fontId="39" fillId="0" borderId="0" xfId="0" applyFont="1"/>
    <xf numFmtId="0" fontId="40" fillId="0" borderId="69" xfId="0" applyFont="1" applyBorder="1"/>
    <xf numFmtId="0" fontId="40" fillId="0" borderId="91" xfId="0" applyFont="1" applyBorder="1"/>
    <xf numFmtId="0" fontId="40" fillId="0" borderId="109" xfId="0" applyFont="1" applyBorder="1"/>
    <xf numFmtId="0" fontId="49" fillId="0" borderId="0" xfId="0" applyFont="1"/>
    <xf numFmtId="169" fontId="10" fillId="0" borderId="108" xfId="0" applyNumberFormat="1" applyFont="1" applyBorder="1" applyAlignment="1" applyProtection="1">
      <alignment horizontal="center" vertical="top"/>
      <protection locked="0"/>
    </xf>
    <xf numFmtId="0" fontId="40" fillId="0" borderId="0" xfId="0" applyFont="1" applyAlignment="1" applyProtection="1">
      <alignment horizontal="center" vertical="top"/>
      <protection locked="0"/>
    </xf>
    <xf numFmtId="169" fontId="10" fillId="0" borderId="20" xfId="0" applyNumberFormat="1" applyFont="1" applyBorder="1" applyAlignment="1" applyProtection="1">
      <alignment horizontal="center" vertical="top"/>
      <protection locked="0"/>
    </xf>
    <xf numFmtId="0" fontId="40" fillId="0" borderId="91" xfId="0" applyFont="1" applyBorder="1" applyAlignment="1" applyProtection="1">
      <alignment horizontal="center" vertical="top"/>
      <protection locked="0"/>
    </xf>
    <xf numFmtId="2" fontId="10" fillId="0" borderId="108" xfId="0" applyNumberFormat="1" applyFont="1" applyBorder="1" applyAlignment="1" applyProtection="1">
      <alignment horizontal="center" vertical="top"/>
      <protection locked="0"/>
    </xf>
    <xf numFmtId="2" fontId="10" fillId="0" borderId="20" xfId="0" applyNumberFormat="1" applyFont="1" applyBorder="1" applyAlignment="1" applyProtection="1">
      <alignment horizontal="center" vertical="top"/>
      <protection locked="0"/>
    </xf>
    <xf numFmtId="2" fontId="10" fillId="0" borderId="0" xfId="0" applyNumberFormat="1" applyFont="1" applyAlignment="1" applyProtection="1">
      <alignment horizontal="center" vertical="top"/>
      <protection locked="0"/>
    </xf>
    <xf numFmtId="2" fontId="10" fillId="0" borderId="91" xfId="0" applyNumberFormat="1" applyFont="1" applyBorder="1" applyAlignment="1" applyProtection="1">
      <alignment horizontal="center" vertical="top"/>
      <protection locked="0"/>
    </xf>
    <xf numFmtId="2" fontId="40" fillId="0" borderId="0" xfId="0" applyNumberFormat="1" applyFont="1"/>
    <xf numFmtId="2" fontId="40" fillId="0" borderId="91" xfId="0" applyNumberFormat="1" applyFont="1" applyBorder="1"/>
    <xf numFmtId="0" fontId="40" fillId="0" borderId="18" xfId="0" applyFont="1" applyBorder="1" applyAlignment="1">
      <alignment horizontal="center" vertical="center"/>
    </xf>
    <xf numFmtId="0" fontId="40" fillId="0" borderId="68" xfId="0" applyFont="1" applyBorder="1" applyAlignment="1">
      <alignment horizontal="center" vertical="center"/>
    </xf>
    <xf numFmtId="0" fontId="40" fillId="0" borderId="19" xfId="0" applyFont="1" applyBorder="1" applyAlignment="1">
      <alignment horizontal="center" vertical="center"/>
    </xf>
    <xf numFmtId="0" fontId="40" fillId="0" borderId="63" xfId="0" applyFont="1" applyBorder="1"/>
    <xf numFmtId="0" fontId="40" fillId="0" borderId="63" xfId="0" applyFont="1" applyBorder="1" applyAlignment="1">
      <alignment horizontal="left"/>
    </xf>
    <xf numFmtId="0" fontId="40" fillId="0" borderId="63" xfId="0" applyFont="1" applyBorder="1" applyAlignment="1">
      <alignment horizontal="center"/>
    </xf>
    <xf numFmtId="174" fontId="40" fillId="0" borderId="63" xfId="0" applyNumberFormat="1" applyFont="1" applyBorder="1"/>
    <xf numFmtId="177" fontId="10" fillId="4" borderId="63" xfId="22" applyNumberFormat="1" applyFont="1" applyFill="1" applyBorder="1" applyAlignment="1">
      <alignment horizontal="center"/>
    </xf>
    <xf numFmtId="173" fontId="40" fillId="0" borderId="63" xfId="0" applyNumberFormat="1" applyFont="1" applyBorder="1"/>
    <xf numFmtId="1" fontId="40" fillId="0" borderId="63" xfId="0" applyNumberFormat="1" applyFont="1" applyBorder="1"/>
    <xf numFmtId="2" fontId="10" fillId="0" borderId="63" xfId="22" applyNumberFormat="1" applyFont="1" applyFill="1" applyBorder="1" applyAlignment="1">
      <alignment horizontal="center"/>
    </xf>
    <xf numFmtId="173" fontId="10" fillId="0" borderId="63" xfId="22" applyNumberFormat="1" applyFont="1" applyFill="1" applyBorder="1" applyAlignment="1">
      <alignment horizontal="center"/>
    </xf>
    <xf numFmtId="2" fontId="9" fillId="0" borderId="63" xfId="0" applyNumberFormat="1" applyFont="1" applyBorder="1" applyAlignment="1">
      <alignment horizontal="center" wrapText="1"/>
    </xf>
    <xf numFmtId="173" fontId="10" fillId="0" borderId="63" xfId="3" applyNumberFormat="1" applyFont="1" applyBorder="1" applyAlignment="1">
      <alignment horizontal="center"/>
    </xf>
    <xf numFmtId="0" fontId="50" fillId="0" borderId="18" xfId="0" applyFont="1" applyBorder="1"/>
    <xf numFmtId="0" fontId="34" fillId="0" borderId="68" xfId="0" applyFont="1" applyBorder="1"/>
    <xf numFmtId="0" fontId="34" fillId="0" borderId="19" xfId="0" applyFont="1" applyBorder="1"/>
    <xf numFmtId="0" fontId="51" fillId="0" borderId="0" xfId="0" applyFont="1"/>
    <xf numFmtId="3" fontId="10" fillId="8" borderId="63" xfId="3" applyNumberFormat="1" applyFont="1" applyFill="1" applyBorder="1" applyAlignment="1">
      <alignment horizontal="center"/>
    </xf>
    <xf numFmtId="9" fontId="10" fillId="8" borderId="63" xfId="22" applyFont="1" applyFill="1" applyBorder="1" applyAlignment="1">
      <alignment horizontal="center"/>
    </xf>
    <xf numFmtId="4" fontId="10" fillId="8" borderId="63" xfId="3" applyNumberFormat="1" applyFont="1" applyFill="1" applyBorder="1" applyAlignment="1">
      <alignment horizontal="center"/>
    </xf>
    <xf numFmtId="10" fontId="10" fillId="8" borderId="63" xfId="22" applyNumberFormat="1" applyFont="1" applyFill="1" applyBorder="1" applyAlignment="1">
      <alignment horizontal="center"/>
    </xf>
    <xf numFmtId="0" fontId="0" fillId="8" borderId="63" xfId="0" applyFill="1" applyBorder="1" applyAlignment="1">
      <alignment horizontal="center" wrapText="1"/>
    </xf>
    <xf numFmtId="0" fontId="0" fillId="8" borderId="54" xfId="0" applyFill="1" applyBorder="1"/>
    <xf numFmtId="0" fontId="7" fillId="0" borderId="0" xfId="0" quotePrefix="1" applyFont="1" applyAlignment="1">
      <alignment horizontal="right"/>
    </xf>
    <xf numFmtId="10" fontId="0" fillId="0" borderId="0" xfId="1" applyNumberFormat="1" applyFont="1"/>
    <xf numFmtId="3" fontId="0" fillId="0" borderId="63" xfId="0" applyNumberFormat="1" applyBorder="1" applyAlignment="1">
      <alignment horizontal="center"/>
    </xf>
    <xf numFmtId="10" fontId="0" fillId="0" borderId="63" xfId="1" applyNumberFormat="1" applyFont="1" applyBorder="1" applyAlignment="1">
      <alignment horizontal="center"/>
    </xf>
    <xf numFmtId="173" fontId="0" fillId="0" borderId="63" xfId="0" applyNumberFormat="1" applyBorder="1" applyAlignment="1">
      <alignment horizontal="center"/>
    </xf>
    <xf numFmtId="2" fontId="0" fillId="0" borderId="63" xfId="1" applyNumberFormat="1" applyFont="1" applyBorder="1" applyAlignment="1">
      <alignment horizontal="center"/>
    </xf>
    <xf numFmtId="2" fontId="0" fillId="0" borderId="63" xfId="0" applyNumberFormat="1" applyBorder="1" applyAlignment="1">
      <alignment horizontal="center"/>
    </xf>
    <xf numFmtId="165" fontId="0" fillId="0" borderId="63" xfId="1" applyNumberFormat="1" applyFont="1" applyBorder="1" applyAlignment="1">
      <alignment horizontal="center"/>
    </xf>
    <xf numFmtId="164" fontId="0" fillId="0" borderId="63" xfId="4" applyFont="1" applyBorder="1"/>
    <xf numFmtId="0" fontId="10" fillId="4" borderId="0" xfId="3" applyFont="1" applyFill="1"/>
    <xf numFmtId="4" fontId="10" fillId="4" borderId="65" xfId="3" applyNumberFormat="1" applyFont="1" applyFill="1" applyBorder="1" applyAlignment="1">
      <alignment horizontal="right"/>
    </xf>
    <xf numFmtId="164" fontId="0" fillId="0" borderId="0" xfId="4" applyFont="1" applyBorder="1"/>
    <xf numFmtId="9" fontId="0" fillId="0" borderId="63" xfId="1" applyFont="1" applyFill="1" applyBorder="1" applyAlignment="1">
      <alignment horizontal="center"/>
    </xf>
    <xf numFmtId="9" fontId="16" fillId="0" borderId="63" xfId="1" applyFont="1" applyFill="1" applyBorder="1" applyAlignment="1">
      <alignment horizontal="center"/>
    </xf>
    <xf numFmtId="164" fontId="23" fillId="6" borderId="64" xfId="4" quotePrefix="1" applyFont="1" applyFill="1" applyBorder="1" applyAlignment="1">
      <alignment horizontal="center"/>
    </xf>
    <xf numFmtId="164" fontId="22" fillId="4" borderId="63" xfId="4" applyFont="1" applyFill="1" applyBorder="1" applyAlignment="1">
      <alignment horizontal="center"/>
    </xf>
    <xf numFmtId="0" fontId="0" fillId="0" borderId="110" xfId="0" applyBorder="1"/>
    <xf numFmtId="8" fontId="0" fillId="0" borderId="63" xfId="0" applyNumberFormat="1" applyBorder="1"/>
    <xf numFmtId="0" fontId="13" fillId="0" borderId="0" xfId="0" applyFont="1"/>
    <xf numFmtId="3" fontId="10" fillId="5" borderId="101" xfId="3" applyNumberFormat="1" applyFont="1" applyFill="1" applyBorder="1"/>
    <xf numFmtId="3" fontId="10" fillId="5" borderId="102" xfId="3" applyNumberFormat="1" applyFont="1" applyFill="1" applyBorder="1"/>
    <xf numFmtId="4" fontId="23" fillId="6" borderId="64" xfId="3" quotePrefix="1" applyNumberFormat="1" applyFont="1" applyFill="1" applyBorder="1" applyAlignment="1">
      <alignment horizontal="center"/>
    </xf>
    <xf numFmtId="178" fontId="0" fillId="0" borderId="63" xfId="0" applyNumberFormat="1" applyBorder="1"/>
    <xf numFmtId="178" fontId="0" fillId="0" borderId="63" xfId="4" applyNumberFormat="1" applyFont="1" applyBorder="1" applyAlignment="1"/>
    <xf numFmtId="44" fontId="0" fillId="0" borderId="63" xfId="0" applyNumberFormat="1" applyBorder="1" applyAlignment="1">
      <alignment horizontal="center"/>
    </xf>
    <xf numFmtId="0" fontId="53" fillId="0" borderId="63" xfId="0" applyFont="1" applyBorder="1"/>
    <xf numFmtId="178" fontId="53" fillId="0" borderId="63" xfId="0" applyNumberFormat="1" applyFont="1" applyBorder="1"/>
    <xf numFmtId="178" fontId="0" fillId="0" borderId="63" xfId="4" applyNumberFormat="1" applyFont="1" applyBorder="1"/>
    <xf numFmtId="0" fontId="53" fillId="0" borderId="0" xfId="0" applyFont="1"/>
    <xf numFmtId="0" fontId="0" fillId="0" borderId="89" xfId="0" applyBorder="1"/>
    <xf numFmtId="9" fontId="10" fillId="4" borderId="8" xfId="1" applyFont="1" applyFill="1" applyBorder="1"/>
    <xf numFmtId="3" fontId="10" fillId="9" borderId="101" xfId="3" applyNumberFormat="1" applyFont="1" applyFill="1" applyBorder="1"/>
    <xf numFmtId="3" fontId="10" fillId="9" borderId="102" xfId="3" applyNumberFormat="1" applyFont="1" applyFill="1" applyBorder="1"/>
    <xf numFmtId="3" fontId="10" fillId="6" borderId="105" xfId="3" applyNumberFormat="1" applyFont="1" applyFill="1" applyBorder="1"/>
    <xf numFmtId="3" fontId="10" fillId="6" borderId="106" xfId="3" applyNumberFormat="1" applyFont="1" applyFill="1" applyBorder="1"/>
    <xf numFmtId="3" fontId="10" fillId="6" borderId="104" xfId="3" applyNumberFormat="1" applyFont="1" applyFill="1" applyBorder="1"/>
    <xf numFmtId="3" fontId="10" fillId="9" borderId="104" xfId="3" applyNumberFormat="1" applyFont="1" applyFill="1" applyBorder="1"/>
    <xf numFmtId="0" fontId="0" fillId="0" borderId="65" xfId="0" applyBorder="1" applyAlignment="1">
      <alignment horizontal="center"/>
    </xf>
    <xf numFmtId="174" fontId="0" fillId="0" borderId="0" xfId="0" applyNumberFormat="1" applyAlignment="1">
      <alignment horizontal="center"/>
    </xf>
    <xf numFmtId="0" fontId="10" fillId="0" borderId="0" xfId="3" applyFont="1"/>
    <xf numFmtId="4" fontId="23" fillId="6" borderId="64" xfId="3" applyNumberFormat="1" applyFont="1" applyFill="1" applyBorder="1" applyAlignment="1">
      <alignment horizontal="center"/>
    </xf>
    <xf numFmtId="0" fontId="23" fillId="6" borderId="64" xfId="3" applyFont="1" applyFill="1" applyBorder="1" applyAlignment="1">
      <alignment horizontal="center"/>
    </xf>
    <xf numFmtId="10" fontId="0" fillId="0" borderId="65" xfId="1" applyNumberFormat="1" applyFont="1" applyBorder="1" applyAlignment="1">
      <alignment horizontal="center"/>
    </xf>
    <xf numFmtId="165" fontId="0" fillId="0" borderId="65" xfId="0" applyNumberFormat="1" applyBorder="1" applyAlignment="1">
      <alignment horizontal="center"/>
    </xf>
    <xf numFmtId="10" fontId="0" fillId="0" borderId="65" xfId="0" applyNumberFormat="1" applyBorder="1" applyAlignment="1">
      <alignment horizontal="center"/>
    </xf>
    <xf numFmtId="9" fontId="0" fillId="0" borderId="65" xfId="0" applyNumberFormat="1" applyBorder="1" applyAlignment="1">
      <alignment horizontal="center"/>
    </xf>
    <xf numFmtId="10" fontId="0" fillId="0" borderId="65" xfId="1" applyNumberFormat="1" applyFont="1" applyBorder="1"/>
    <xf numFmtId="10" fontId="16" fillId="0" borderId="65" xfId="1" applyNumberFormat="1" applyFont="1" applyBorder="1"/>
    <xf numFmtId="179" fontId="0" fillId="0" borderId="0" xfId="0" applyNumberFormat="1"/>
    <xf numFmtId="44" fontId="0" fillId="0" borderId="0" xfId="44" applyFont="1"/>
    <xf numFmtId="44" fontId="0" fillId="0" borderId="0" xfId="44" applyFont="1" applyBorder="1"/>
    <xf numFmtId="179" fontId="0" fillId="0" borderId="0" xfId="44" applyNumberFormat="1" applyFont="1"/>
    <xf numFmtId="44" fontId="0" fillId="0" borderId="0" xfId="4" applyNumberFormat="1" applyFont="1"/>
    <xf numFmtId="44" fontId="16" fillId="0" borderId="0" xfId="4" applyNumberFormat="1" applyFont="1"/>
    <xf numFmtId="179" fontId="0" fillId="0" borderId="0" xfId="4" applyNumberFormat="1" applyFont="1"/>
    <xf numFmtId="9" fontId="0" fillId="0" borderId="0" xfId="1" applyFont="1" applyAlignment="1">
      <alignment horizontal="center"/>
    </xf>
    <xf numFmtId="3" fontId="10" fillId="4" borderId="67" xfId="3" applyNumberFormat="1" applyFont="1" applyFill="1" applyBorder="1" applyAlignment="1">
      <alignment horizontal="center"/>
    </xf>
    <xf numFmtId="0" fontId="44" fillId="0" borderId="0" xfId="0" applyFont="1" applyAlignment="1">
      <alignment horizontal="left" wrapText="1"/>
    </xf>
    <xf numFmtId="0" fontId="16" fillId="0" borderId="0" xfId="0" applyFont="1" applyAlignment="1">
      <alignment horizontal="left"/>
    </xf>
    <xf numFmtId="3" fontId="10" fillId="0" borderId="69" xfId="3" applyNumberFormat="1" applyFont="1" applyBorder="1" applyAlignment="1">
      <alignment horizontal="center"/>
    </xf>
    <xf numFmtId="3" fontId="10" fillId="0" borderId="69" xfId="3" applyNumberFormat="1" applyFont="1" applyBorder="1"/>
    <xf numFmtId="3" fontId="35" fillId="0" borderId="0" xfId="3" applyNumberFormat="1" applyFont="1"/>
    <xf numFmtId="3" fontId="10" fillId="0" borderId="108" xfId="3" applyNumberFormat="1" applyFont="1" applyBorder="1"/>
    <xf numFmtId="0" fontId="0" fillId="0" borderId="108" xfId="0" applyBorder="1"/>
    <xf numFmtId="174" fontId="0" fillId="0" borderId="92" xfId="0" applyNumberFormat="1" applyBorder="1"/>
    <xf numFmtId="176" fontId="0" fillId="0" borderId="92" xfId="0" applyNumberFormat="1" applyBorder="1"/>
    <xf numFmtId="0" fontId="0" fillId="0" borderId="92" xfId="0" applyBorder="1"/>
    <xf numFmtId="0" fontId="0" fillId="0" borderId="53" xfId="0" applyBorder="1"/>
    <xf numFmtId="0" fontId="38" fillId="2" borderId="95" xfId="0" applyFont="1" applyFill="1" applyBorder="1" applyAlignment="1">
      <alignment horizontal="left" indent="1"/>
    </xf>
    <xf numFmtId="3" fontId="38" fillId="2" borderId="96" xfId="0" applyNumberFormat="1" applyFont="1" applyFill="1" applyBorder="1" applyAlignment="1">
      <alignment horizontal="right"/>
    </xf>
    <xf numFmtId="3" fontId="37" fillId="2" borderId="98" xfId="0" applyNumberFormat="1" applyFont="1" applyFill="1" applyBorder="1" applyAlignment="1">
      <alignment horizontal="right"/>
    </xf>
    <xf numFmtId="0" fontId="38" fillId="2" borderId="99" xfId="0" applyFont="1" applyFill="1" applyBorder="1" applyAlignment="1">
      <alignment horizontal="left" indent="1"/>
    </xf>
    <xf numFmtId="3" fontId="38" fillId="2" borderId="100" xfId="0" applyNumberFormat="1" applyFont="1" applyFill="1" applyBorder="1" applyAlignment="1">
      <alignment horizontal="right"/>
    </xf>
    <xf numFmtId="3" fontId="9" fillId="0" borderId="0" xfId="3" applyNumberFormat="1" applyFont="1" applyAlignment="1">
      <alignment horizontal="center"/>
    </xf>
    <xf numFmtId="0" fontId="0" fillId="0" borderId="63" xfId="1" applyNumberFormat="1" applyFont="1" applyBorder="1"/>
    <xf numFmtId="0" fontId="38" fillId="2" borderId="2" xfId="0" applyFont="1" applyFill="1" applyBorder="1"/>
    <xf numFmtId="3" fontId="38" fillId="0" borderId="118" xfId="0" applyNumberFormat="1" applyFont="1" applyBorder="1" applyAlignment="1">
      <alignment horizontal="right"/>
    </xf>
    <xf numFmtId="3" fontId="37" fillId="0" borderId="98" xfId="0" applyNumberFormat="1" applyFont="1" applyBorder="1" applyAlignment="1">
      <alignment horizontal="right"/>
    </xf>
    <xf numFmtId="0" fontId="38" fillId="0" borderId="99" xfId="0" applyFont="1" applyBorder="1" applyAlignment="1">
      <alignment horizontal="left" indent="1"/>
    </xf>
    <xf numFmtId="0" fontId="39" fillId="5" borderId="97" xfId="0" quotePrefix="1" applyFont="1" applyFill="1" applyBorder="1" applyAlignment="1">
      <alignment horizontal="center"/>
    </xf>
    <xf numFmtId="0" fontId="40" fillId="0" borderId="105" xfId="0" quotePrefix="1" applyFont="1" applyBorder="1" applyAlignment="1">
      <alignment horizontal="center"/>
    </xf>
    <xf numFmtId="0" fontId="40" fillId="5" borderId="97" xfId="0" quotePrefix="1" applyFont="1" applyFill="1" applyBorder="1" applyAlignment="1">
      <alignment horizontal="center"/>
    </xf>
    <xf numFmtId="3" fontId="38" fillId="0" borderId="119" xfId="0" applyNumberFormat="1" applyFont="1" applyBorder="1" applyAlignment="1">
      <alignment horizontal="right"/>
    </xf>
    <xf numFmtId="0" fontId="38" fillId="0" borderId="103" xfId="0" applyFont="1" applyBorder="1" applyAlignment="1">
      <alignment horizontal="center"/>
    </xf>
    <xf numFmtId="3" fontId="37" fillId="0" borderId="104" xfId="0" applyNumberFormat="1" applyFont="1" applyBorder="1" applyAlignment="1">
      <alignment horizontal="right"/>
    </xf>
    <xf numFmtId="3" fontId="18" fillId="0" borderId="54" xfId="0" applyNumberFormat="1" applyFont="1" applyBorder="1"/>
    <xf numFmtId="3" fontId="18" fillId="0" borderId="53" xfId="0" applyNumberFormat="1" applyFont="1" applyBorder="1" applyAlignment="1">
      <alignment horizontal="center"/>
    </xf>
    <xf numFmtId="3" fontId="18" fillId="0" borderId="116" xfId="0" applyNumberFormat="1" applyFont="1" applyBorder="1"/>
    <xf numFmtId="3" fontId="18" fillId="0" borderId="92" xfId="0" applyNumberFormat="1" applyFont="1" applyBorder="1" applyAlignment="1">
      <alignment horizontal="center"/>
    </xf>
    <xf numFmtId="3" fontId="35" fillId="0" borderId="108" xfId="0" applyNumberFormat="1" applyFont="1" applyBorder="1"/>
    <xf numFmtId="3" fontId="10" fillId="0" borderId="0" xfId="0" applyNumberFormat="1" applyFont="1"/>
    <xf numFmtId="3" fontId="35" fillId="0" borderId="86" xfId="0" applyNumberFormat="1" applyFont="1" applyBorder="1"/>
    <xf numFmtId="3" fontId="10" fillId="0" borderId="69" xfId="0" applyNumberFormat="1" applyFont="1" applyBorder="1"/>
    <xf numFmtId="3" fontId="10" fillId="0" borderId="108" xfId="0" applyNumberFormat="1" applyFont="1" applyBorder="1"/>
    <xf numFmtId="3" fontId="35" fillId="0" borderId="114" xfId="0" applyNumberFormat="1" applyFont="1" applyBorder="1"/>
    <xf numFmtId="3" fontId="10" fillId="0" borderId="81" xfId="0" applyNumberFormat="1" applyFont="1" applyBorder="1"/>
    <xf numFmtId="3" fontId="35" fillId="0" borderId="80" xfId="0" applyNumberFormat="1" applyFont="1" applyBorder="1"/>
    <xf numFmtId="3" fontId="10" fillId="0" borderId="19" xfId="0" applyNumberFormat="1" applyFont="1" applyBorder="1"/>
    <xf numFmtId="3" fontId="35" fillId="0" borderId="18" xfId="0" applyNumberFormat="1" applyFont="1" applyBorder="1"/>
    <xf numFmtId="3" fontId="10" fillId="0" borderId="115" xfId="0" applyNumberFormat="1" applyFont="1" applyBorder="1"/>
    <xf numFmtId="3" fontId="10" fillId="0" borderId="53" xfId="0" applyNumberFormat="1" applyFont="1" applyBorder="1"/>
    <xf numFmtId="3" fontId="10" fillId="0" borderId="117" xfId="0" applyNumberFormat="1" applyFont="1" applyBorder="1"/>
    <xf numFmtId="3" fontId="35" fillId="0" borderId="54" xfId="0" applyNumberFormat="1" applyFont="1" applyBorder="1"/>
    <xf numFmtId="3" fontId="10" fillId="0" borderId="92" xfId="0" applyNumberFormat="1" applyFont="1" applyBorder="1"/>
    <xf numFmtId="0" fontId="40" fillId="0" borderId="108" xfId="0" applyFont="1" applyBorder="1"/>
    <xf numFmtId="0" fontId="40" fillId="0" borderId="20" xfId="0" applyFont="1" applyBorder="1"/>
    <xf numFmtId="3" fontId="10" fillId="0" borderId="54" xfId="0" applyNumberFormat="1" applyFont="1" applyBorder="1"/>
    <xf numFmtId="3" fontId="10" fillId="0" borderId="86" xfId="0" applyNumberFormat="1" applyFont="1" applyBorder="1"/>
    <xf numFmtId="3" fontId="10" fillId="0" borderId="20" xfId="0" applyNumberFormat="1" applyFont="1" applyBorder="1"/>
    <xf numFmtId="3" fontId="10" fillId="0" borderId="91" xfId="0" applyNumberFormat="1" applyFont="1" applyBorder="1"/>
    <xf numFmtId="3" fontId="10" fillId="0" borderId="109" xfId="0" applyNumberFormat="1" applyFont="1" applyBorder="1"/>
    <xf numFmtId="3" fontId="10" fillId="0" borderId="68" xfId="0" applyNumberFormat="1" applyFont="1" applyBorder="1"/>
    <xf numFmtId="9" fontId="0" fillId="0" borderId="0" xfId="1" applyFont="1" applyBorder="1"/>
    <xf numFmtId="3" fontId="0" fillId="0" borderId="69" xfId="0" applyNumberFormat="1" applyBorder="1"/>
    <xf numFmtId="9" fontId="0" fillId="0" borderId="69" xfId="1" applyFont="1" applyBorder="1"/>
    <xf numFmtId="9" fontId="0" fillId="0" borderId="91" xfId="1" applyFont="1" applyBorder="1"/>
    <xf numFmtId="3" fontId="0" fillId="0" borderId="91" xfId="0" applyNumberFormat="1" applyBorder="1"/>
    <xf numFmtId="164" fontId="0" fillId="0" borderId="91" xfId="4" applyFont="1" applyBorder="1"/>
    <xf numFmtId="0" fontId="0" fillId="0" borderId="91" xfId="0" applyBorder="1" applyAlignment="1">
      <alignment horizontal="right"/>
    </xf>
    <xf numFmtId="0" fontId="28" fillId="0" borderId="0" xfId="0" applyFont="1" applyAlignment="1">
      <alignment horizontal="center"/>
    </xf>
    <xf numFmtId="0" fontId="47" fillId="0" borderId="91" xfId="0" applyFont="1" applyBorder="1"/>
    <xf numFmtId="165" fontId="24" fillId="0" borderId="91" xfId="0" applyNumberFormat="1" applyFont="1" applyBorder="1"/>
    <xf numFmtId="0" fontId="24" fillId="0" borderId="91" xfId="0" applyFont="1" applyBorder="1"/>
    <xf numFmtId="0" fontId="24" fillId="0" borderId="91" xfId="0" applyFont="1" applyBorder="1" applyAlignment="1">
      <alignment horizontal="right"/>
    </xf>
    <xf numFmtId="10" fontId="24" fillId="0" borderId="91" xfId="0" applyNumberFormat="1" applyFont="1" applyBorder="1"/>
    <xf numFmtId="9" fontId="9" fillId="2" borderId="1" xfId="1" applyFont="1" applyFill="1" applyBorder="1"/>
    <xf numFmtId="0" fontId="0" fillId="0" borderId="91" xfId="0" applyBorder="1" applyAlignment="1">
      <alignment vertical="center"/>
    </xf>
    <xf numFmtId="0" fontId="16" fillId="0" borderId="0" xfId="0" applyFont="1" applyAlignment="1">
      <alignment horizontal="right"/>
    </xf>
    <xf numFmtId="0" fontId="44" fillId="0" borderId="0" xfId="0" applyFont="1" applyAlignment="1">
      <alignment horizontal="left"/>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horizontal="left" vertical="center"/>
    </xf>
    <xf numFmtId="0" fontId="0" fillId="0" borderId="63" xfId="0" applyBorder="1" applyAlignment="1">
      <alignment horizontal="right"/>
    </xf>
    <xf numFmtId="0" fontId="0" fillId="8" borderId="63" xfId="0" applyFill="1" applyBorder="1" applyAlignment="1">
      <alignment horizontal="right"/>
    </xf>
    <xf numFmtId="174" fontId="9" fillId="0" borderId="63" xfId="0" applyNumberFormat="1" applyFont="1" applyBorder="1" applyAlignment="1">
      <alignment horizontal="center" wrapText="1"/>
    </xf>
    <xf numFmtId="0" fontId="0" fillId="0" borderId="0" xfId="0" quotePrefix="1"/>
    <xf numFmtId="0" fontId="7" fillId="0" borderId="63" xfId="0" applyFont="1" applyBorder="1" applyAlignment="1">
      <alignment horizontal="right"/>
    </xf>
    <xf numFmtId="0" fontId="7" fillId="0" borderId="0" xfId="0" applyFont="1" applyAlignment="1">
      <alignment horizontal="left"/>
    </xf>
    <xf numFmtId="169" fontId="0" fillId="0" borderId="63" xfId="0" applyNumberFormat="1" applyBorder="1"/>
    <xf numFmtId="0" fontId="7" fillId="0" borderId="63" xfId="0" applyFont="1" applyBorder="1" applyAlignment="1">
      <alignment horizontal="center"/>
    </xf>
    <xf numFmtId="0" fontId="48" fillId="0" borderId="0" xfId="0" applyFont="1" applyAlignment="1">
      <alignment horizontal="left"/>
    </xf>
    <xf numFmtId="2" fontId="0" fillId="0" borderId="91" xfId="0" applyNumberFormat="1" applyBorder="1" applyAlignment="1">
      <alignment horizontal="center"/>
    </xf>
    <xf numFmtId="0" fontId="0" fillId="0" borderId="63" xfId="0" quotePrefix="1" applyBorder="1" applyAlignment="1">
      <alignment horizontal="center"/>
    </xf>
    <xf numFmtId="0" fontId="7" fillId="0" borderId="91" xfId="0" applyFont="1" applyBorder="1"/>
    <xf numFmtId="0" fontId="7" fillId="0" borderId="91" xfId="0" applyFont="1" applyBorder="1" applyAlignment="1">
      <alignment horizontal="center"/>
    </xf>
    <xf numFmtId="0" fontId="24" fillId="0" borderId="0" xfId="0" applyFont="1" applyAlignment="1">
      <alignment horizontal="center"/>
    </xf>
    <xf numFmtId="171" fontId="0" fillId="0" borderId="91" xfId="4" applyNumberFormat="1" applyFont="1" applyBorder="1"/>
    <xf numFmtId="0" fontId="10" fillId="4" borderId="120" xfId="3" applyFont="1" applyFill="1" applyBorder="1"/>
    <xf numFmtId="0" fontId="10" fillId="4" borderId="121" xfId="3" applyFont="1" applyFill="1" applyBorder="1"/>
    <xf numFmtId="0" fontId="10" fillId="4" borderId="110" xfId="3" applyFont="1" applyFill="1" applyBorder="1"/>
    <xf numFmtId="0" fontId="18" fillId="4" borderId="66" xfId="3" applyFont="1" applyFill="1" applyBorder="1"/>
    <xf numFmtId="0" fontId="10" fillId="4" borderId="63" xfId="3" applyFont="1" applyFill="1" applyBorder="1"/>
    <xf numFmtId="9" fontId="10" fillId="4" borderId="63" xfId="1" applyFont="1" applyFill="1" applyBorder="1"/>
    <xf numFmtId="0" fontId="0" fillId="0" borderId="18" xfId="0" applyBorder="1"/>
    <xf numFmtId="3" fontId="57" fillId="2" borderId="1" xfId="0" applyNumberFormat="1" applyFont="1" applyFill="1" applyBorder="1"/>
    <xf numFmtId="3" fontId="10" fillId="9" borderId="103" xfId="3" applyNumberFormat="1" applyFont="1" applyFill="1" applyBorder="1"/>
    <xf numFmtId="3" fontId="10" fillId="5" borderId="105" xfId="3" applyNumberFormat="1" applyFont="1" applyFill="1" applyBorder="1"/>
    <xf numFmtId="3" fontId="10" fillId="4" borderId="106" xfId="3" applyNumberFormat="1" applyFont="1" applyFill="1" applyBorder="1"/>
    <xf numFmtId="3" fontId="10" fillId="5" borderId="122" xfId="3" applyNumberFormat="1" applyFont="1" applyFill="1" applyBorder="1"/>
    <xf numFmtId="3" fontId="10" fillId="4" borderId="123" xfId="3" applyNumberFormat="1" applyFont="1" applyFill="1" applyBorder="1"/>
    <xf numFmtId="8" fontId="0" fillId="0" borderId="108" xfId="4" applyNumberFormat="1" applyFont="1" applyBorder="1" applyAlignment="1">
      <alignment horizontal="center"/>
    </xf>
    <xf numFmtId="0" fontId="40" fillId="9" borderId="124" xfId="0" applyFont="1" applyFill="1" applyBorder="1" applyAlignment="1">
      <alignment horizontal="right"/>
    </xf>
    <xf numFmtId="0" fontId="0" fillId="9" borderId="20" xfId="0" applyFill="1" applyBorder="1" applyAlignment="1">
      <alignment horizontal="center"/>
    </xf>
    <xf numFmtId="0" fontId="10" fillId="4" borderId="66" xfId="3" applyFont="1" applyFill="1" applyBorder="1" applyAlignment="1">
      <alignment horizontal="center"/>
    </xf>
    <xf numFmtId="3" fontId="10" fillId="4" borderId="0" xfId="3" applyNumberFormat="1" applyFont="1" applyFill="1" applyAlignment="1">
      <alignment horizontal="center"/>
    </xf>
    <xf numFmtId="0" fontId="10" fillId="4" borderId="3" xfId="3" applyFont="1" applyFill="1" applyBorder="1"/>
    <xf numFmtId="0" fontId="10" fillId="4" borderId="4" xfId="3" applyFont="1" applyFill="1" applyBorder="1"/>
    <xf numFmtId="0" fontId="0" fillId="0" borderId="126" xfId="0" applyBorder="1"/>
    <xf numFmtId="0" fontId="7" fillId="0" borderId="108" xfId="0" applyFont="1" applyBorder="1" applyAlignment="1">
      <alignment horizontal="right"/>
    </xf>
    <xf numFmtId="3" fontId="10" fillId="5" borderId="127" xfId="3" applyNumberFormat="1" applyFont="1" applyFill="1" applyBorder="1"/>
    <xf numFmtId="3" fontId="10" fillId="4" borderId="127" xfId="3" applyNumberFormat="1" applyFont="1" applyFill="1" applyBorder="1"/>
    <xf numFmtId="3" fontId="35" fillId="4" borderId="128" xfId="3" applyNumberFormat="1" applyFont="1" applyFill="1" applyBorder="1"/>
    <xf numFmtId="3" fontId="10" fillId="4" borderId="95" xfId="3" applyNumberFormat="1" applyFont="1" applyFill="1" applyBorder="1"/>
    <xf numFmtId="3" fontId="10" fillId="5" borderId="95" xfId="3" applyNumberFormat="1" applyFont="1" applyFill="1" applyBorder="1"/>
    <xf numFmtId="3" fontId="10" fillId="5" borderId="129" xfId="3" applyNumberFormat="1" applyFont="1" applyFill="1" applyBorder="1"/>
    <xf numFmtId="3" fontId="35" fillId="9" borderId="103" xfId="3" applyNumberFormat="1" applyFont="1" applyFill="1" applyBorder="1"/>
    <xf numFmtId="3" fontId="10" fillId="4" borderId="99" xfId="3" applyNumberFormat="1" applyFont="1" applyFill="1" applyBorder="1"/>
    <xf numFmtId="3" fontId="35" fillId="4" borderId="95" xfId="3" applyNumberFormat="1" applyFont="1" applyFill="1" applyBorder="1"/>
    <xf numFmtId="3" fontId="0" fillId="0" borderId="108" xfId="0" applyNumberFormat="1" applyBorder="1"/>
    <xf numFmtId="3" fontId="10" fillId="6" borderId="130" xfId="3" applyNumberFormat="1" applyFont="1" applyFill="1" applyBorder="1"/>
    <xf numFmtId="3" fontId="10" fillId="4" borderId="131" xfId="3" applyNumberFormat="1" applyFont="1" applyFill="1" applyBorder="1" applyAlignment="1">
      <alignment horizontal="right"/>
    </xf>
    <xf numFmtId="3" fontId="10" fillId="4" borderId="89" xfId="3" applyNumberFormat="1" applyFont="1" applyFill="1" applyBorder="1"/>
    <xf numFmtId="3" fontId="10" fillId="5" borderId="89" xfId="3" applyNumberFormat="1" applyFont="1" applyFill="1" applyBorder="1"/>
    <xf numFmtId="3" fontId="10" fillId="5" borderId="132" xfId="3" applyNumberFormat="1" applyFont="1" applyFill="1" applyBorder="1"/>
    <xf numFmtId="3" fontId="10" fillId="9" borderId="133" xfId="3" applyNumberFormat="1" applyFont="1" applyFill="1" applyBorder="1"/>
    <xf numFmtId="3" fontId="10" fillId="6" borderId="134" xfId="3" applyNumberFormat="1" applyFont="1" applyFill="1" applyBorder="1"/>
    <xf numFmtId="3" fontId="35" fillId="4" borderId="93" xfId="3" applyNumberFormat="1" applyFont="1" applyFill="1" applyBorder="1"/>
    <xf numFmtId="3" fontId="10" fillId="4" borderId="129" xfId="3" applyNumberFormat="1" applyFont="1" applyFill="1" applyBorder="1"/>
    <xf numFmtId="3" fontId="10" fillId="6" borderId="103" xfId="3" applyNumberFormat="1" applyFont="1" applyFill="1" applyBorder="1"/>
    <xf numFmtId="0" fontId="0" fillId="0" borderId="95" xfId="0" applyBorder="1"/>
    <xf numFmtId="0" fontId="0" fillId="0" borderId="135" xfId="0" applyBorder="1"/>
    <xf numFmtId="1" fontId="0" fillId="0" borderId="63" xfId="0" applyNumberFormat="1" applyBorder="1" applyAlignment="1">
      <alignment horizontal="center"/>
    </xf>
    <xf numFmtId="0" fontId="59" fillId="0" borderId="63" xfId="0" applyFont="1" applyBorder="1" applyAlignment="1">
      <alignment horizontal="right"/>
    </xf>
    <xf numFmtId="173" fontId="40" fillId="8" borderId="63" xfId="0" applyNumberFormat="1" applyFont="1" applyFill="1" applyBorder="1"/>
    <xf numFmtId="0" fontId="58" fillId="0" borderId="63" xfId="0" applyFont="1" applyBorder="1" applyAlignment="1">
      <alignment horizontal="center"/>
    </xf>
    <xf numFmtId="0" fontId="0" fillId="0" borderId="64" xfId="0" applyBorder="1" applyAlignment="1">
      <alignment horizontal="center"/>
    </xf>
    <xf numFmtId="0" fontId="34" fillId="0" borderId="0" xfId="0" applyFont="1" applyAlignment="1">
      <alignment horizontal="left" vertical="center" wrapText="1"/>
    </xf>
    <xf numFmtId="0" fontId="40" fillId="0" borderId="63" xfId="0" applyFont="1" applyBorder="1" applyAlignment="1" applyProtection="1">
      <alignment horizontal="center" vertical="top"/>
      <protection locked="0"/>
    </xf>
    <xf numFmtId="169" fontId="10" fillId="0" borderId="63" xfId="0" applyNumberFormat="1" applyFont="1" applyBorder="1" applyAlignment="1" applyProtection="1">
      <alignment horizontal="center" vertical="top"/>
      <protection locked="0"/>
    </xf>
    <xf numFmtId="0" fontId="27" fillId="0" borderId="0" xfId="0" applyFont="1" applyAlignment="1">
      <alignment vertical="top"/>
    </xf>
    <xf numFmtId="0" fontId="60" fillId="0" borderId="0" xfId="0" applyFont="1"/>
    <xf numFmtId="3" fontId="10" fillId="3" borderId="136" xfId="0" applyNumberFormat="1" applyFont="1" applyFill="1" applyBorder="1" applyAlignment="1">
      <alignment horizontal="center"/>
    </xf>
    <xf numFmtId="0" fontId="10" fillId="3" borderId="137" xfId="0" applyFont="1" applyFill="1" applyBorder="1" applyAlignment="1">
      <alignment horizontal="center"/>
    </xf>
    <xf numFmtId="3" fontId="10" fillId="2" borderId="14" xfId="0" applyNumberFormat="1" applyFont="1" applyFill="1" applyBorder="1" applyAlignment="1">
      <alignment horizontal="center"/>
    </xf>
    <xf numFmtId="1" fontId="10" fillId="0" borderId="6" xfId="0" applyNumberFormat="1" applyFont="1" applyBorder="1" applyAlignment="1">
      <alignment horizontal="center"/>
    </xf>
    <xf numFmtId="2" fontId="40" fillId="0" borderId="69" xfId="0" applyNumberFormat="1" applyFont="1" applyBorder="1"/>
    <xf numFmtId="2" fontId="10" fillId="0" borderId="69" xfId="0" applyNumberFormat="1" applyFont="1" applyBorder="1" applyAlignment="1" applyProtection="1">
      <alignment horizontal="center" vertical="top"/>
      <protection locked="0"/>
    </xf>
    <xf numFmtId="2" fontId="10" fillId="0" borderId="109" xfId="0" applyNumberFormat="1" applyFont="1" applyBorder="1" applyAlignment="1" applyProtection="1">
      <alignment horizontal="center" vertical="top"/>
      <protection locked="0"/>
    </xf>
    <xf numFmtId="0" fontId="0" fillId="0" borderId="0" xfId="0" applyAlignment="1">
      <alignment wrapText="1"/>
    </xf>
    <xf numFmtId="0" fontId="9" fillId="2" borderId="89" xfId="0" applyFont="1" applyFill="1" applyBorder="1"/>
    <xf numFmtId="3" fontId="9" fillId="2" borderId="63" xfId="0" applyNumberFormat="1" applyFont="1" applyFill="1" applyBorder="1"/>
    <xf numFmtId="0" fontId="9" fillId="2" borderId="63" xfId="0" applyFont="1" applyFill="1" applyBorder="1"/>
    <xf numFmtId="9" fontId="9" fillId="2" borderId="63" xfId="1" applyFont="1" applyFill="1" applyBorder="1"/>
    <xf numFmtId="0" fontId="18" fillId="4" borderId="63" xfId="3" applyFont="1" applyFill="1" applyBorder="1" applyAlignment="1">
      <alignment horizontal="center"/>
    </xf>
    <xf numFmtId="3" fontId="59" fillId="4" borderId="63" xfId="3" applyNumberFormat="1" applyFont="1" applyFill="1" applyBorder="1" applyAlignment="1">
      <alignment horizontal="center"/>
    </xf>
    <xf numFmtId="0" fontId="10" fillId="6" borderId="63" xfId="3" applyFont="1" applyFill="1" applyBorder="1" applyAlignment="1">
      <alignment horizontal="center"/>
    </xf>
    <xf numFmtId="0" fontId="59" fillId="6" borderId="63" xfId="3" applyFont="1" applyFill="1" applyBorder="1" applyAlignment="1">
      <alignment horizontal="center"/>
    </xf>
    <xf numFmtId="3" fontId="10" fillId="4" borderId="0" xfId="7" applyNumberFormat="1" applyFont="1" applyFill="1" applyBorder="1" applyAlignment="1" applyProtection="1"/>
    <xf numFmtId="0" fontId="10" fillId="4" borderId="54" xfId="3" applyFont="1" applyFill="1" applyBorder="1"/>
    <xf numFmtId="0" fontId="10" fillId="4" borderId="63" xfId="3" applyFont="1" applyFill="1" applyBorder="1" applyAlignment="1">
      <alignment horizontal="right"/>
    </xf>
    <xf numFmtId="0" fontId="10" fillId="4" borderId="0" xfId="3" applyFont="1" applyFill="1" applyAlignment="1">
      <alignment horizontal="right"/>
    </xf>
    <xf numFmtId="0" fontId="59" fillId="4" borderId="63" xfId="3" applyFont="1" applyFill="1" applyBorder="1" applyAlignment="1">
      <alignment horizontal="center"/>
    </xf>
    <xf numFmtId="0" fontId="18" fillId="4" borderId="0" xfId="3" applyFont="1" applyFill="1"/>
    <xf numFmtId="0" fontId="0" fillId="5" borderId="63" xfId="0" applyFill="1" applyBorder="1"/>
    <xf numFmtId="165" fontId="0" fillId="5" borderId="63" xfId="0" applyNumberFormat="1" applyFill="1" applyBorder="1"/>
    <xf numFmtId="165" fontId="0" fillId="5" borderId="63" xfId="1" applyNumberFormat="1" applyFont="1" applyFill="1" applyBorder="1"/>
    <xf numFmtId="0" fontId="59" fillId="4" borderId="0" xfId="3" applyFont="1" applyFill="1"/>
    <xf numFmtId="0" fontId="10" fillId="4" borderId="63" xfId="3" applyFont="1" applyFill="1" applyBorder="1" applyAlignment="1">
      <alignment horizontal="left"/>
    </xf>
    <xf numFmtId="2" fontId="59" fillId="4" borderId="63" xfId="22" applyNumberFormat="1" applyFont="1" applyFill="1" applyBorder="1" applyAlignment="1">
      <alignment horizontal="center"/>
    </xf>
    <xf numFmtId="0" fontId="35" fillId="4" borderId="0" xfId="3" applyFont="1" applyFill="1"/>
    <xf numFmtId="174" fontId="59" fillId="4" borderId="63" xfId="22" applyNumberFormat="1" applyFont="1" applyFill="1" applyBorder="1" applyAlignment="1">
      <alignment horizontal="center"/>
    </xf>
    <xf numFmtId="2" fontId="59" fillId="4" borderId="63" xfId="3" applyNumberFormat="1" applyFont="1" applyFill="1" applyBorder="1" applyAlignment="1">
      <alignment horizontal="center"/>
    </xf>
    <xf numFmtId="173" fontId="59" fillId="4" borderId="0" xfId="1" applyNumberFormat="1" applyFont="1" applyFill="1" applyBorder="1" applyAlignment="1">
      <alignment horizontal="center"/>
    </xf>
    <xf numFmtId="173" fontId="59" fillId="4" borderId="63" xfId="1" applyNumberFormat="1" applyFont="1" applyFill="1" applyBorder="1" applyAlignment="1">
      <alignment horizontal="center"/>
    </xf>
    <xf numFmtId="2" fontId="10" fillId="4" borderId="63" xfId="1" applyNumberFormat="1" applyFont="1" applyFill="1" applyBorder="1" applyAlignment="1">
      <alignment horizontal="center"/>
    </xf>
    <xf numFmtId="173" fontId="10" fillId="4" borderId="63" xfId="1" applyNumberFormat="1" applyFont="1" applyFill="1" applyBorder="1" applyAlignment="1">
      <alignment horizontal="center"/>
    </xf>
    <xf numFmtId="173" fontId="54" fillId="4" borderId="63" xfId="1" applyNumberFormat="1" applyFont="1" applyFill="1" applyBorder="1" applyAlignment="1">
      <alignment horizontal="center"/>
    </xf>
    <xf numFmtId="167" fontId="10" fillId="4" borderId="0" xfId="4" applyNumberFormat="1" applyFont="1" applyFill="1" applyBorder="1" applyAlignment="1">
      <alignment horizontal="center"/>
    </xf>
    <xf numFmtId="167" fontId="10" fillId="4" borderId="63" xfId="3" applyNumberFormat="1" applyFont="1" applyFill="1" applyBorder="1" applyAlignment="1">
      <alignment horizontal="center"/>
    </xf>
    <xf numFmtId="167" fontId="10" fillId="4" borderId="63" xfId="3" applyNumberFormat="1" applyFont="1" applyFill="1" applyBorder="1"/>
    <xf numFmtId="0" fontId="18" fillId="4" borderId="0" xfId="3" applyFont="1" applyFill="1" applyAlignment="1">
      <alignment vertical="top" wrapText="1"/>
    </xf>
    <xf numFmtId="0" fontId="35" fillId="4" borderId="0" xfId="3" applyFont="1" applyFill="1" applyAlignment="1">
      <alignment vertical="top"/>
    </xf>
    <xf numFmtId="0" fontId="10" fillId="4" borderId="0" xfId="3" applyFont="1" applyFill="1" applyAlignment="1">
      <alignment vertical="top"/>
    </xf>
    <xf numFmtId="0" fontId="35" fillId="4" borderId="0" xfId="3" applyFont="1" applyFill="1" applyAlignment="1">
      <alignment horizontal="left" vertical="top" wrapText="1"/>
    </xf>
    <xf numFmtId="10" fontId="35" fillId="4" borderId="0" xfId="3" applyNumberFormat="1" applyFont="1" applyFill="1" applyAlignment="1">
      <alignment horizontal="left" vertical="top"/>
    </xf>
    <xf numFmtId="0" fontId="62" fillId="4" borderId="0" xfId="3" applyFont="1" applyFill="1"/>
    <xf numFmtId="2" fontId="59" fillId="4" borderId="0" xfId="22" applyNumberFormat="1" applyFont="1" applyFill="1" applyBorder="1" applyAlignment="1">
      <alignment horizontal="center"/>
    </xf>
    <xf numFmtId="167" fontId="10" fillId="4" borderId="0" xfId="3" applyNumberFormat="1" applyFont="1" applyFill="1" applyAlignment="1">
      <alignment horizontal="center"/>
    </xf>
    <xf numFmtId="174" fontId="59" fillId="4" borderId="0" xfId="22" applyNumberFormat="1" applyFont="1" applyFill="1" applyBorder="1" applyAlignment="1">
      <alignment horizontal="center"/>
    </xf>
    <xf numFmtId="3" fontId="10" fillId="4" borderId="63" xfId="3" applyNumberFormat="1" applyFont="1" applyFill="1" applyBorder="1" applyAlignment="1">
      <alignment horizontal="right"/>
    </xf>
    <xf numFmtId="8" fontId="10" fillId="4" borderId="63" xfId="3" applyNumberFormat="1" applyFont="1" applyFill="1" applyBorder="1"/>
    <xf numFmtId="10" fontId="0" fillId="0" borderId="63" xfId="0" applyNumberFormat="1" applyBorder="1"/>
    <xf numFmtId="3" fontId="59" fillId="6" borderId="63" xfId="3" applyNumberFormat="1" applyFont="1" applyFill="1" applyBorder="1" applyAlignment="1">
      <alignment horizontal="center"/>
    </xf>
    <xf numFmtId="9" fontId="10" fillId="4" borderId="8" xfId="3" applyNumberFormat="1" applyFont="1" applyFill="1" applyBorder="1"/>
    <xf numFmtId="0" fontId="10" fillId="4" borderId="0" xfId="3" applyFont="1" applyFill="1" applyAlignment="1">
      <alignment horizontal="center"/>
    </xf>
    <xf numFmtId="0" fontId="10" fillId="4" borderId="138" xfId="3" applyFont="1" applyFill="1" applyBorder="1"/>
    <xf numFmtId="0" fontId="10" fillId="4" borderId="139" xfId="3" applyFont="1" applyFill="1" applyBorder="1"/>
    <xf numFmtId="9" fontId="10" fillId="4" borderId="63" xfId="3" applyNumberFormat="1" applyFont="1" applyFill="1" applyBorder="1"/>
    <xf numFmtId="0" fontId="0" fillId="0" borderId="0" xfId="0" applyAlignment="1">
      <alignment horizontal="left" wrapText="1"/>
    </xf>
    <xf numFmtId="0" fontId="0" fillId="0" borderId="63" xfId="0" applyBorder="1" applyAlignment="1">
      <alignment horizontal="center"/>
    </xf>
    <xf numFmtId="0" fontId="0" fillId="0" borderId="54" xfId="0" applyBorder="1" applyAlignment="1">
      <alignment horizontal="center" wrapText="1"/>
    </xf>
    <xf numFmtId="0" fontId="0" fillId="0" borderId="92" xfId="0" applyBorder="1" applyAlignment="1">
      <alignment horizontal="center" wrapText="1"/>
    </xf>
    <xf numFmtId="0" fontId="0" fillId="0" borderId="63" xfId="0" applyBorder="1" applyAlignment="1">
      <alignment horizontal="right"/>
    </xf>
    <xf numFmtId="0" fontId="0" fillId="0" borderId="54" xfId="0" applyBorder="1" applyAlignment="1">
      <alignment horizontal="center"/>
    </xf>
    <xf numFmtId="0" fontId="0" fillId="0" borderId="92" xfId="0" applyBorder="1" applyAlignment="1">
      <alignment horizontal="center"/>
    </xf>
    <xf numFmtId="0" fontId="0" fillId="0" borderId="54" xfId="0" applyBorder="1" applyAlignment="1">
      <alignment horizontal="right"/>
    </xf>
    <xf numFmtId="0" fontId="0" fillId="0" borderId="92" xfId="0" applyBorder="1" applyAlignment="1">
      <alignment horizontal="right"/>
    </xf>
    <xf numFmtId="0" fontId="31" fillId="0" borderId="0" xfId="0" applyFont="1" applyAlignment="1">
      <alignment horizontal="left" vertical="center"/>
    </xf>
    <xf numFmtId="0" fontId="29" fillId="0" borderId="0" xfId="0" applyFont="1" applyAlignment="1">
      <alignment horizontal="right" vertical="center"/>
    </xf>
    <xf numFmtId="0" fontId="30" fillId="0" borderId="0" xfId="0" applyFont="1" applyAlignment="1">
      <alignment horizontal="center" vertical="center"/>
    </xf>
    <xf numFmtId="0" fontId="0" fillId="0" borderId="0" xfId="0" applyAlignment="1">
      <alignment horizontal="center"/>
    </xf>
    <xf numFmtId="0" fontId="0" fillId="0" borderId="68" xfId="0" applyBorder="1" applyAlignment="1">
      <alignment horizontal="center" vertical="top"/>
    </xf>
    <xf numFmtId="0" fontId="0" fillId="0" borderId="0" xfId="0" applyAlignment="1">
      <alignment horizontal="center" vertical="top"/>
    </xf>
    <xf numFmtId="0" fontId="0" fillId="0" borderId="53" xfId="0" applyBorder="1" applyAlignment="1">
      <alignment horizontal="center"/>
    </xf>
    <xf numFmtId="0" fontId="0" fillId="0" borderId="68" xfId="0" applyBorder="1" applyAlignment="1">
      <alignment horizontal="center"/>
    </xf>
    <xf numFmtId="0" fontId="0" fillId="0" borderId="63" xfId="0" applyBorder="1"/>
    <xf numFmtId="3" fontId="18" fillId="0" borderId="0" xfId="3" applyNumberFormat="1" applyFont="1" applyAlignment="1">
      <alignment horizontal="center"/>
    </xf>
    <xf numFmtId="0" fontId="55" fillId="0" borderId="54" xfId="0" applyFont="1" applyBorder="1" applyAlignment="1">
      <alignment horizontal="center"/>
    </xf>
    <xf numFmtId="0" fontId="55" fillId="0" borderId="53" xfId="0" applyFont="1" applyBorder="1" applyAlignment="1">
      <alignment horizontal="center"/>
    </xf>
    <xf numFmtId="0" fontId="55" fillId="0" borderId="92" xfId="0" applyFont="1" applyBorder="1" applyAlignment="1">
      <alignment horizontal="center"/>
    </xf>
    <xf numFmtId="3" fontId="10" fillId="0" borderId="54" xfId="0" applyNumberFormat="1" applyFont="1" applyBorder="1" applyAlignment="1">
      <alignment horizontal="center"/>
    </xf>
    <xf numFmtId="3" fontId="10" fillId="0" borderId="53" xfId="0" applyNumberFormat="1" applyFont="1" applyBorder="1" applyAlignment="1">
      <alignment horizontal="center"/>
    </xf>
    <xf numFmtId="3" fontId="10" fillId="0" borderId="92" xfId="0" applyNumberFormat="1" applyFont="1" applyBorder="1" applyAlignment="1">
      <alignment horizontal="center"/>
    </xf>
    <xf numFmtId="0" fontId="56" fillId="2" borderId="54" xfId="0" applyFont="1" applyFill="1" applyBorder="1" applyAlignment="1">
      <alignment horizontal="center"/>
    </xf>
    <xf numFmtId="0" fontId="56" fillId="2" borderId="92" xfId="0" applyFont="1" applyFill="1" applyBorder="1" applyAlignment="1">
      <alignment horizontal="center"/>
    </xf>
    <xf numFmtId="0" fontId="0" fillId="0" borderId="53" xfId="0" applyBorder="1"/>
    <xf numFmtId="3" fontId="10" fillId="5" borderId="91" xfId="3" applyNumberFormat="1" applyFont="1" applyFill="1" applyBorder="1" applyAlignment="1">
      <alignment horizontal="center"/>
    </xf>
    <xf numFmtId="0" fontId="0" fillId="0" borderId="91" xfId="0" applyBorder="1" applyAlignment="1">
      <alignment horizontal="center"/>
    </xf>
    <xf numFmtId="0" fontId="20" fillId="5" borderId="44" xfId="3" applyFont="1" applyFill="1" applyBorder="1" applyAlignment="1">
      <alignment horizontal="center"/>
    </xf>
    <xf numFmtId="0" fontId="20" fillId="5" borderId="45" xfId="3" applyFont="1" applyFill="1" applyBorder="1" applyAlignment="1">
      <alignment horizontal="center"/>
    </xf>
    <xf numFmtId="0" fontId="20" fillId="5" borderId="46" xfId="3" applyFont="1" applyFill="1" applyBorder="1" applyAlignment="1">
      <alignment horizontal="left"/>
    </xf>
    <xf numFmtId="0" fontId="20" fillId="5" borderId="76" xfId="3" applyFont="1" applyFill="1" applyBorder="1" applyAlignment="1">
      <alignment horizontal="left"/>
    </xf>
    <xf numFmtId="0" fontId="19" fillId="5" borderId="52" xfId="3" applyFont="1" applyFill="1" applyBorder="1" applyAlignment="1">
      <alignment horizontal="left"/>
    </xf>
    <xf numFmtId="0" fontId="19" fillId="5" borderId="55" xfId="3" applyFont="1" applyFill="1" applyBorder="1" applyAlignment="1">
      <alignment horizontal="left"/>
    </xf>
    <xf numFmtId="0" fontId="0" fillId="0" borderId="86" xfId="0" applyBorder="1" applyAlignment="1">
      <alignment horizontal="left" wrapText="1"/>
    </xf>
    <xf numFmtId="0" fontId="0" fillId="0" borderId="87" xfId="0" applyBorder="1" applyAlignment="1">
      <alignment horizontal="left" wrapText="1"/>
    </xf>
    <xf numFmtId="0" fontId="0" fillId="0" borderId="83" xfId="0" applyBorder="1" applyAlignment="1">
      <alignment horizontal="left" wrapText="1"/>
    </xf>
    <xf numFmtId="0" fontId="0" fillId="0" borderId="84" xfId="0" applyBorder="1" applyAlignment="1">
      <alignment horizontal="left" wrapText="1"/>
    </xf>
    <xf numFmtId="0" fontId="0" fillId="0" borderId="85" xfId="0" applyBorder="1" applyAlignment="1">
      <alignment horizontal="left" wrapText="1"/>
    </xf>
    <xf numFmtId="0" fontId="19" fillId="5" borderId="52" xfId="3" applyFont="1" applyFill="1" applyBorder="1"/>
    <xf numFmtId="0" fontId="19" fillId="5" borderId="55" xfId="3" applyFont="1" applyFill="1" applyBorder="1"/>
    <xf numFmtId="0" fontId="19" fillId="5" borderId="46" xfId="3" applyFont="1" applyFill="1" applyBorder="1"/>
    <xf numFmtId="0" fontId="19" fillId="5" borderId="76" xfId="3" applyFont="1" applyFill="1" applyBorder="1"/>
    <xf numFmtId="0" fontId="19" fillId="5" borderId="73" xfId="3" applyFont="1" applyFill="1" applyBorder="1"/>
    <xf numFmtId="0" fontId="19" fillId="5" borderId="79" xfId="3" applyFont="1" applyFill="1" applyBorder="1"/>
    <xf numFmtId="0" fontId="19" fillId="0" borderId="77" xfId="3" applyFont="1" applyBorder="1"/>
    <xf numFmtId="0" fontId="19" fillId="0" borderId="78" xfId="3" applyFont="1" applyBorder="1"/>
    <xf numFmtId="0" fontId="19" fillId="0" borderId="74" xfId="3" applyFont="1" applyBorder="1"/>
    <xf numFmtId="0" fontId="19" fillId="0" borderId="75" xfId="3" applyFont="1" applyBorder="1"/>
    <xf numFmtId="0" fontId="6" fillId="0" borderId="0" xfId="0" applyFont="1" applyAlignment="1">
      <alignment horizontal="center"/>
    </xf>
    <xf numFmtId="0" fontId="19" fillId="5" borderId="72" xfId="3" applyFont="1" applyFill="1" applyBorder="1"/>
    <xf numFmtId="0" fontId="19" fillId="5" borderId="44" xfId="3" applyFont="1" applyFill="1" applyBorder="1"/>
    <xf numFmtId="0" fontId="19" fillId="5" borderId="45" xfId="3" applyFont="1" applyFill="1" applyBorder="1"/>
    <xf numFmtId="0" fontId="10" fillId="4" borderId="111" xfId="3" applyFont="1" applyFill="1" applyBorder="1" applyAlignment="1">
      <alignment horizontal="left" wrapText="1"/>
    </xf>
    <xf numFmtId="0" fontId="10" fillId="4" borderId="64" xfId="3" applyFont="1" applyFill="1" applyBorder="1" applyAlignment="1">
      <alignment horizontal="left" wrapText="1"/>
    </xf>
    <xf numFmtId="0" fontId="7" fillId="0" borderId="0" xfId="0" applyFont="1" applyAlignment="1">
      <alignment horizontal="center"/>
    </xf>
    <xf numFmtId="0" fontId="0" fillId="0" borderId="0" xfId="0" applyAlignment="1">
      <alignment horizontal="right"/>
    </xf>
    <xf numFmtId="0" fontId="34" fillId="0" borderId="108" xfId="0" applyFont="1" applyBorder="1" applyAlignment="1">
      <alignment horizontal="left" vertical="center" wrapText="1"/>
    </xf>
    <xf numFmtId="0" fontId="34" fillId="0" borderId="0" xfId="0" applyFont="1" applyAlignment="1">
      <alignment horizontal="left" vertical="center" wrapText="1"/>
    </xf>
    <xf numFmtId="0" fontId="34" fillId="0" borderId="69" xfId="0" applyFont="1" applyBorder="1" applyAlignment="1">
      <alignment horizontal="left" vertical="center" wrapText="1"/>
    </xf>
    <xf numFmtId="0" fontId="34" fillId="0" borderId="20" xfId="0" applyFont="1" applyBorder="1" applyAlignment="1">
      <alignment horizontal="left" vertical="center" wrapText="1"/>
    </xf>
    <xf numFmtId="0" fontId="34" fillId="0" borderId="91" xfId="0" applyFont="1" applyBorder="1" applyAlignment="1">
      <alignment horizontal="left" vertical="center" wrapText="1"/>
    </xf>
    <xf numFmtId="0" fontId="34" fillId="0" borderId="109" xfId="0" applyFont="1" applyBorder="1" applyAlignment="1">
      <alignment horizontal="left" vertical="center" wrapText="1"/>
    </xf>
    <xf numFmtId="0" fontId="0" fillId="0" borderId="108" xfId="0" applyBorder="1" applyAlignment="1">
      <alignment horizontal="right"/>
    </xf>
    <xf numFmtId="0" fontId="7" fillId="0" borderId="0" xfId="0" applyFont="1" applyAlignment="1">
      <alignment horizontal="left" wrapText="1"/>
    </xf>
    <xf numFmtId="0" fontId="0" fillId="0" borderId="0" xfId="0"/>
    <xf numFmtId="0" fontId="53" fillId="0" borderId="125" xfId="0" applyFont="1" applyBorder="1" applyAlignment="1">
      <alignment horizontal="left" wrapText="1"/>
    </xf>
    <xf numFmtId="0" fontId="53" fillId="0" borderId="0" xfId="0" applyFont="1" applyAlignment="1">
      <alignment horizontal="left" wrapText="1"/>
    </xf>
    <xf numFmtId="0" fontId="7" fillId="0" borderId="88" xfId="0" applyFont="1" applyBorder="1" applyAlignment="1">
      <alignment horizontal="center"/>
    </xf>
    <xf numFmtId="0" fontId="7" fillId="0" borderId="112" xfId="0" applyFont="1" applyBorder="1" applyAlignment="1">
      <alignment horizontal="center"/>
    </xf>
    <xf numFmtId="0" fontId="7" fillId="0" borderId="113" xfId="0" applyFont="1" applyBorder="1" applyAlignment="1">
      <alignment horizontal="center"/>
    </xf>
    <xf numFmtId="0" fontId="0" fillId="0" borderId="69" xfId="0" applyBorder="1" applyAlignment="1">
      <alignment horizontal="center"/>
    </xf>
    <xf numFmtId="0" fontId="7" fillId="0" borderId="63" xfId="0" applyFont="1" applyBorder="1" applyAlignment="1">
      <alignment horizontal="center"/>
    </xf>
    <xf numFmtId="0" fontId="40" fillId="0" borderId="0" xfId="0" applyFont="1" applyAlignment="1">
      <alignment horizontal="left" vertical="center" wrapText="1"/>
    </xf>
    <xf numFmtId="0" fontId="0" fillId="0" borderId="65" xfId="0" applyBorder="1"/>
    <xf numFmtId="0" fontId="0" fillId="0" borderId="65" xfId="0" applyBorder="1" applyAlignment="1">
      <alignment horizontal="right"/>
    </xf>
    <xf numFmtId="0" fontId="0" fillId="8" borderId="63" xfId="0" applyFill="1" applyBorder="1" applyAlignment="1">
      <alignment horizontal="right"/>
    </xf>
    <xf numFmtId="0" fontId="0" fillId="0" borderId="0" xfId="0" applyAlignment="1">
      <alignment horizontal="left" vertical="center"/>
    </xf>
    <xf numFmtId="0" fontId="0" fillId="0" borderId="0" xfId="0" applyAlignment="1">
      <alignment horizontal="right" vertical="center"/>
    </xf>
    <xf numFmtId="0" fontId="10" fillId="8" borderId="54" xfId="3" applyFont="1" applyFill="1" applyBorder="1"/>
    <xf numFmtId="0" fontId="10" fillId="8" borderId="92" xfId="3" applyFont="1" applyFill="1" applyBorder="1"/>
    <xf numFmtId="0" fontId="16" fillId="0" borderId="0" xfId="0" applyFont="1" applyAlignment="1">
      <alignment horizontal="left" vertical="center" wrapText="1"/>
    </xf>
    <xf numFmtId="174" fontId="0" fillId="0" borderId="63" xfId="0" applyNumberFormat="1" applyBorder="1" applyAlignment="1">
      <alignment horizontal="center"/>
    </xf>
    <xf numFmtId="0" fontId="0" fillId="8" borderId="63" xfId="0" applyFill="1" applyBorder="1" applyAlignment="1">
      <alignment horizontal="center"/>
    </xf>
    <xf numFmtId="2" fontId="0" fillId="0" borderId="63" xfId="0" applyNumberFormat="1" applyBorder="1" applyAlignment="1">
      <alignment horizontal="center"/>
    </xf>
    <xf numFmtId="173" fontId="0" fillId="0" borderId="63" xfId="0" applyNumberFormat="1" applyBorder="1" applyAlignment="1">
      <alignment horizontal="center"/>
    </xf>
    <xf numFmtId="0" fontId="58" fillId="0" borderId="63" xfId="0" applyFont="1" applyBorder="1" applyAlignment="1">
      <alignment horizontal="center"/>
    </xf>
    <xf numFmtId="3" fontId="10" fillId="8" borderId="54" xfId="3" applyNumberFormat="1" applyFont="1" applyFill="1" applyBorder="1" applyAlignment="1">
      <alignment horizontal="right" wrapText="1"/>
    </xf>
    <xf numFmtId="3" fontId="10" fillId="8" borderId="92" xfId="3" applyNumberFormat="1" applyFont="1" applyFill="1" applyBorder="1" applyAlignment="1">
      <alignment horizontal="right" wrapText="1"/>
    </xf>
    <xf numFmtId="0" fontId="16" fillId="0" borderId="0" xfId="0" applyFont="1" applyAlignment="1">
      <alignment horizontal="right"/>
    </xf>
    <xf numFmtId="0" fontId="40" fillId="0" borderId="63" xfId="0" applyFont="1" applyBorder="1" applyAlignment="1">
      <alignment horizontal="right"/>
    </xf>
    <xf numFmtId="0" fontId="40" fillId="0" borderId="54" xfId="0" applyFont="1" applyBorder="1" applyAlignment="1">
      <alignment horizontal="center"/>
    </xf>
    <xf numFmtId="0" fontId="40" fillId="0" borderId="92" xfId="0" applyFont="1" applyBorder="1" applyAlignment="1">
      <alignment horizontal="center"/>
    </xf>
    <xf numFmtId="173" fontId="40" fillId="0" borderId="63" xfId="0" applyNumberFormat="1" applyFont="1" applyBorder="1"/>
    <xf numFmtId="0" fontId="40" fillId="0" borderId="63" xfId="0" applyFont="1" applyBorder="1"/>
    <xf numFmtId="0" fontId="40" fillId="0" borderId="0" xfId="0" applyFont="1" applyAlignment="1">
      <alignment horizontal="left" wrapText="1"/>
    </xf>
    <xf numFmtId="0" fontId="40" fillId="0" borderId="63" xfId="0" applyFont="1" applyBorder="1" applyAlignment="1">
      <alignment horizontal="center"/>
    </xf>
    <xf numFmtId="0" fontId="0" fillId="0" borderId="91" xfId="0" applyBorder="1"/>
    <xf numFmtId="0" fontId="0" fillId="0" borderId="91" xfId="0" applyBorder="1" applyAlignment="1">
      <alignment horizontal="left"/>
    </xf>
  </cellXfs>
  <cellStyles count="77">
    <cellStyle name="Besøgt link" xfId="6" builtinId="9" hidden="1"/>
    <cellStyle name="Besøgt link" xfId="8" builtinId="9" hidden="1"/>
    <cellStyle name="Besøgt link" xfId="9" builtinId="9" hidden="1"/>
    <cellStyle name="Besøgt link" xfId="10" builtinId="9" hidden="1"/>
    <cellStyle name="Besøgt link" xfId="11" builtinId="9" hidden="1"/>
    <cellStyle name="Besøgt link" xfId="12" builtinId="9" hidden="1"/>
    <cellStyle name="Besøgt link" xfId="13" builtinId="9" hidden="1"/>
    <cellStyle name="Besøgt link" xfId="14" builtinId="9" hidden="1"/>
    <cellStyle name="Besøgt link" xfId="15" builtinId="9" hidden="1"/>
    <cellStyle name="Besøgt link" xfId="16" builtinId="9" hidden="1"/>
    <cellStyle name="Besøgt link" xfId="17" builtinId="9" hidden="1"/>
    <cellStyle name="Besøgt link" xfId="18" builtinId="9" hidden="1"/>
    <cellStyle name="Besøgt link" xfId="19" builtinId="9" hidden="1"/>
    <cellStyle name="Besøgt link" xfId="20" builtinId="9" hidden="1"/>
    <cellStyle name="Besøgt link" xfId="21" builtinId="9" hidden="1"/>
    <cellStyle name="Besøgt link" xfId="23" builtinId="9" hidden="1"/>
    <cellStyle name="Besøgt link" xfId="24" builtinId="9" hidden="1"/>
    <cellStyle name="Besøgt link" xfId="25" builtinId="9" hidden="1"/>
    <cellStyle name="Besøgt link" xfId="26" builtinId="9" hidden="1"/>
    <cellStyle name="Besøgt link" xfId="27" builtinId="9" hidden="1"/>
    <cellStyle name="Besøgt link" xfId="28" builtinId="9" hidden="1"/>
    <cellStyle name="Besøgt link" xfId="29" builtinId="9" hidden="1"/>
    <cellStyle name="Besøgt link" xfId="30" builtinId="9" hidden="1"/>
    <cellStyle name="Besøgt link" xfId="31" builtinId="9" hidden="1"/>
    <cellStyle name="Besøgt link" xfId="32" builtinId="9" hidden="1"/>
    <cellStyle name="Besøgt link" xfId="33" builtinId="9" hidden="1"/>
    <cellStyle name="Besøgt link" xfId="34" builtinId="9" hidden="1"/>
    <cellStyle name="Besøgt link" xfId="35" builtinId="9" hidden="1"/>
    <cellStyle name="Besøgt link" xfId="36" builtinId="9" hidden="1"/>
    <cellStyle name="Besøgt link" xfId="37" builtinId="9" hidden="1"/>
    <cellStyle name="Besøgt link" xfId="38" builtinId="9" hidden="1"/>
    <cellStyle name="Besøgt link" xfId="39" builtinId="9" hidden="1"/>
    <cellStyle name="Besøgt link" xfId="40" builtinId="9" hidden="1"/>
    <cellStyle name="Besøgt link" xfId="41" builtinId="9" hidden="1"/>
    <cellStyle name="Besøgt link" xfId="42" builtinId="9" hidden="1"/>
    <cellStyle name="Besøgt link" xfId="43" builtinId="9" hidden="1"/>
    <cellStyle name="Besøgt link" xfId="45" builtinId="9" hidden="1"/>
    <cellStyle name="Besøgt link" xfId="46" builtinId="9" hidden="1"/>
    <cellStyle name="Besøgt link" xfId="47" builtinId="9" hidden="1"/>
    <cellStyle name="Besøgt link" xfId="48" builtinId="9" hidden="1"/>
    <cellStyle name="Besøgt link" xfId="49" builtinId="9" hidden="1"/>
    <cellStyle name="Besøgt link" xfId="50" builtinId="9" hidden="1"/>
    <cellStyle name="Besøgt link" xfId="51" builtinId="9" hidden="1"/>
    <cellStyle name="Besøgt link" xfId="52" builtinId="9" hidden="1"/>
    <cellStyle name="Besøgt link" xfId="53" builtinId="9" hidden="1"/>
    <cellStyle name="Besøgt link" xfId="54" builtinId="9" hidden="1"/>
    <cellStyle name="Besøgt link" xfId="55" builtinId="9" hidden="1"/>
    <cellStyle name="Besøgt link" xfId="56" builtinId="9" hidden="1"/>
    <cellStyle name="Besøgt link" xfId="57" builtinId="9" hidden="1"/>
    <cellStyle name="Besøgt link" xfId="58" builtinId="9" hidden="1"/>
    <cellStyle name="Besøgt link" xfId="59" builtinId="9" hidden="1"/>
    <cellStyle name="Besøgt link" xfId="60" builtinId="9" hidden="1"/>
    <cellStyle name="Besøgt link" xfId="61" builtinId="9" hidden="1"/>
    <cellStyle name="Besøgt link" xfId="62" builtinId="9" hidden="1"/>
    <cellStyle name="Besøgt link" xfId="63" builtinId="9" hidden="1"/>
    <cellStyle name="Besøgt link" xfId="64" builtinId="9" hidden="1"/>
    <cellStyle name="Besøgt link" xfId="65" builtinId="9" hidden="1"/>
    <cellStyle name="Besøgt link" xfId="66" builtinId="9" hidden="1"/>
    <cellStyle name="Besøgt link" xfId="67" builtinId="9" hidden="1"/>
    <cellStyle name="Besøgt link" xfId="68" builtinId="9" hidden="1"/>
    <cellStyle name="Besøgt link" xfId="69" builtinId="9" hidden="1"/>
    <cellStyle name="Besøgt link" xfId="70" builtinId="9" hidden="1"/>
    <cellStyle name="Besøgt link" xfId="71" builtinId="9" hidden="1"/>
    <cellStyle name="Besøgt link" xfId="72" builtinId="9" hidden="1"/>
    <cellStyle name="Besøgt link" xfId="73" builtinId="9" hidden="1"/>
    <cellStyle name="Besøgt link" xfId="74" builtinId="9" hidden="1"/>
    <cellStyle name="Besøgt link" xfId="75" builtinId="9" hidden="1"/>
    <cellStyle name="Besøgt link" xfId="76" builtinId="9" hidden="1"/>
    <cellStyle name="Komma" xfId="4" builtinId="3"/>
    <cellStyle name="Link" xfId="5" builtinId="8" hidden="1"/>
    <cellStyle name="Link" xfId="7" builtinId="8"/>
    <cellStyle name="Normal" xfId="0" builtinId="0"/>
    <cellStyle name="Normal 2" xfId="3" xr:uid="{00000000-0005-0000-0000-000048000000}"/>
    <cellStyle name="Percent 5" xfId="2" xr:uid="{00000000-0005-0000-0000-000049000000}"/>
    <cellStyle name="Procent" xfId="1" builtinId="5"/>
    <cellStyle name="Procent 2 3" xfId="22" xr:uid="{00000000-0005-0000-0000-00004B000000}"/>
    <cellStyle name="Valuta" xfId="44" builtinId="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'Investeringer - Kalkyler'!$B$71</c:f>
              <c:strCache>
                <c:ptCount val="1"/>
                <c:pt idx="0">
                  <c:v>Anlæg A</c:v>
                </c:pt>
              </c:strCache>
            </c:strRef>
          </c:tx>
          <c:spPr>
            <a:ln w="28575" cap="rnd">
              <a:solidFill>
                <a:schemeClr val="accent1"/>
              </a:solidFill>
              <a:round/>
            </a:ln>
            <a:effectLst/>
          </c:spPr>
          <c:marker>
            <c:symbol val="none"/>
          </c:marker>
          <c:cat>
            <c:numRef>
              <c:f>'Investeringer - Kalkyler'!$A$72:$A$87</c:f>
              <c:numCache>
                <c:formatCode>0%</c:formatCode>
                <c:ptCount val="16"/>
                <c:pt idx="0">
                  <c:v>0.05</c:v>
                </c:pt>
                <c:pt idx="1">
                  <c:v>0.06</c:v>
                </c:pt>
                <c:pt idx="2">
                  <c:v>7.0000000000000007E-2</c:v>
                </c:pt>
                <c:pt idx="3">
                  <c:v>0.08</c:v>
                </c:pt>
                <c:pt idx="4">
                  <c:v>0.09</c:v>
                </c:pt>
                <c:pt idx="5">
                  <c:v>0.1</c:v>
                </c:pt>
                <c:pt idx="6">
                  <c:v>0.11</c:v>
                </c:pt>
                <c:pt idx="7">
                  <c:v>0.12</c:v>
                </c:pt>
                <c:pt idx="8">
                  <c:v>0.13</c:v>
                </c:pt>
                <c:pt idx="9">
                  <c:v>0.14000000000000001</c:v>
                </c:pt>
                <c:pt idx="10">
                  <c:v>0.15</c:v>
                </c:pt>
                <c:pt idx="11">
                  <c:v>0.16</c:v>
                </c:pt>
                <c:pt idx="12">
                  <c:v>0.17</c:v>
                </c:pt>
                <c:pt idx="13">
                  <c:v>0.18</c:v>
                </c:pt>
                <c:pt idx="14">
                  <c:v>0.19</c:v>
                </c:pt>
                <c:pt idx="15">
                  <c:v>0.2</c:v>
                </c:pt>
              </c:numCache>
            </c:numRef>
          </c:cat>
          <c:val>
            <c:numRef>
              <c:f>'Investeringer - Kalkyler'!$B$72:$B$87</c:f>
              <c:numCache>
                <c:formatCode>#,##0</c:formatCode>
                <c:ptCount val="16"/>
                <c:pt idx="0">
                  <c:v>18287987.438262586</c:v>
                </c:pt>
                <c:pt idx="1">
                  <c:v>17191940.109627109</c:v>
                </c:pt>
                <c:pt idx="2">
                  <c:v>16172414.481224746</c:v>
                </c:pt>
                <c:pt idx="3">
                  <c:v>15222882.894441262</c:v>
                </c:pt>
                <c:pt idx="4">
                  <c:v>14337455.26485616</c:v>
                </c:pt>
                <c:pt idx="5">
                  <c:v>13510809.974999946</c:v>
                </c:pt>
                <c:pt idx="6">
                  <c:v>12738132.929178514</c:v>
                </c:pt>
                <c:pt idx="7">
                  <c:v>12015063.732550725</c:v>
                </c:pt>
                <c:pt idx="8">
                  <c:v>11337648.097483885</c:v>
                </c:pt>
                <c:pt idx="9">
                  <c:v>10702295.700784516</c:v>
                </c:pt>
                <c:pt idx="10">
                  <c:v>10105742.818787061</c:v>
                </c:pt>
                <c:pt idx="11">
                  <c:v>9545019.1560617816</c:v>
                </c:pt>
                <c:pt idx="12">
                  <c:v>9017418.359857576</c:v>
                </c:pt>
                <c:pt idx="13">
                  <c:v>8520471.7781559583</c:v>
                </c:pt>
                <c:pt idx="14">
                  <c:v>8051925.0759343952</c:v>
                </c:pt>
                <c:pt idx="15">
                  <c:v>7609717.3732302841</c:v>
                </c:pt>
              </c:numCache>
            </c:numRef>
          </c:val>
          <c:smooth val="0"/>
          <c:extLst>
            <c:ext xmlns:c16="http://schemas.microsoft.com/office/drawing/2014/chart" uri="{C3380CC4-5D6E-409C-BE32-E72D297353CC}">
              <c16:uniqueId val="{00000000-6F3B-4B49-9AA9-46AE6ADA7D86}"/>
            </c:ext>
          </c:extLst>
        </c:ser>
        <c:ser>
          <c:idx val="1"/>
          <c:order val="1"/>
          <c:tx>
            <c:strRef>
              <c:f>'Investeringer - Kalkyler'!$C$71</c:f>
              <c:strCache>
                <c:ptCount val="1"/>
                <c:pt idx="0">
                  <c:v>Anlæg B</c:v>
                </c:pt>
              </c:strCache>
            </c:strRef>
          </c:tx>
          <c:spPr>
            <a:ln w="28575" cap="rnd">
              <a:solidFill>
                <a:schemeClr val="accent2"/>
              </a:solidFill>
              <a:round/>
            </a:ln>
            <a:effectLst/>
          </c:spPr>
          <c:marker>
            <c:symbol val="none"/>
          </c:marker>
          <c:cat>
            <c:numRef>
              <c:f>'Investeringer - Kalkyler'!$A$72:$A$87</c:f>
              <c:numCache>
                <c:formatCode>0%</c:formatCode>
                <c:ptCount val="16"/>
                <c:pt idx="0">
                  <c:v>0.05</c:v>
                </c:pt>
                <c:pt idx="1">
                  <c:v>0.06</c:v>
                </c:pt>
                <c:pt idx="2">
                  <c:v>7.0000000000000007E-2</c:v>
                </c:pt>
                <c:pt idx="3">
                  <c:v>0.08</c:v>
                </c:pt>
                <c:pt idx="4">
                  <c:v>0.09</c:v>
                </c:pt>
                <c:pt idx="5">
                  <c:v>0.1</c:v>
                </c:pt>
                <c:pt idx="6">
                  <c:v>0.11</c:v>
                </c:pt>
                <c:pt idx="7">
                  <c:v>0.12</c:v>
                </c:pt>
                <c:pt idx="8">
                  <c:v>0.13</c:v>
                </c:pt>
                <c:pt idx="9">
                  <c:v>0.14000000000000001</c:v>
                </c:pt>
                <c:pt idx="10">
                  <c:v>0.15</c:v>
                </c:pt>
                <c:pt idx="11">
                  <c:v>0.16</c:v>
                </c:pt>
                <c:pt idx="12">
                  <c:v>0.17</c:v>
                </c:pt>
                <c:pt idx="13">
                  <c:v>0.18</c:v>
                </c:pt>
                <c:pt idx="14">
                  <c:v>0.19</c:v>
                </c:pt>
                <c:pt idx="15">
                  <c:v>0.2</c:v>
                </c:pt>
              </c:numCache>
            </c:numRef>
          </c:cat>
          <c:val>
            <c:numRef>
              <c:f>'Investeringer - Kalkyler'!$C$72:$C$87</c:f>
              <c:numCache>
                <c:formatCode>#,##0</c:formatCode>
                <c:ptCount val="16"/>
                <c:pt idx="0">
                  <c:v>17257291.775585547</c:v>
                </c:pt>
                <c:pt idx="1">
                  <c:v>16164020.370781355</c:v>
                </c:pt>
                <c:pt idx="2">
                  <c:v>15146997.016618006</c:v>
                </c:pt>
                <c:pt idx="3">
                  <c:v>14199723.220037028</c:v>
                </c:pt>
                <c:pt idx="4">
                  <c:v>13316334.724511374</c:v>
                </c:pt>
                <c:pt idx="5">
                  <c:v>12491532.810528468</c:v>
                </c:pt>
                <c:pt idx="6">
                  <c:v>11720523.705239788</c:v>
                </c:pt>
                <c:pt idx="7">
                  <c:v>10998965.07072119</c:v>
                </c:pt>
                <c:pt idx="8">
                  <c:v>10322918.680077579</c:v>
                </c:pt>
                <c:pt idx="9">
                  <c:v>9688808.5103085712</c:v>
                </c:pt>
                <c:pt idx="10">
                  <c:v>9093383.5834809691</c:v>
                </c:pt>
                <c:pt idx="11">
                  <c:v>8533684.9758894425</c:v>
                </c:pt>
                <c:pt idx="12">
                  <c:v>8007016.4906933121</c:v>
                </c:pt>
                <c:pt idx="13">
                  <c:v>7510918.5548102781</c:v>
                </c:pt>
                <c:pt idx="14">
                  <c:v>7043144.9571705107</c:v>
                </c:pt>
                <c:pt idx="15">
                  <c:v>6601642.0940857921</c:v>
                </c:pt>
              </c:numCache>
            </c:numRef>
          </c:val>
          <c:smooth val="0"/>
          <c:extLst>
            <c:ext xmlns:c16="http://schemas.microsoft.com/office/drawing/2014/chart" uri="{C3380CC4-5D6E-409C-BE32-E72D297353CC}">
              <c16:uniqueId val="{00000001-6F3B-4B49-9AA9-46AE6ADA7D86}"/>
            </c:ext>
          </c:extLst>
        </c:ser>
        <c:dLbls>
          <c:showLegendKey val="0"/>
          <c:showVal val="0"/>
          <c:showCatName val="0"/>
          <c:showSerName val="0"/>
          <c:showPercent val="0"/>
          <c:showBubbleSize val="0"/>
        </c:dLbls>
        <c:smooth val="0"/>
        <c:axId val="1493521744"/>
        <c:axId val="1493802976"/>
      </c:lineChart>
      <c:catAx>
        <c:axId val="149352174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93802976"/>
        <c:crossesAt val="0"/>
        <c:auto val="1"/>
        <c:lblAlgn val="ctr"/>
        <c:lblOffset val="100"/>
        <c:noMultiLvlLbl val="0"/>
      </c:catAx>
      <c:valAx>
        <c:axId val="1493802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93521744"/>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'Strategi - Produktionoptimering'!$H$88</c:f>
              <c:strCache>
                <c:ptCount val="1"/>
                <c:pt idx="0">
                  <c:v>AC</c:v>
                </c:pt>
              </c:strCache>
            </c:strRef>
          </c:tx>
          <c:spPr>
            <a:ln w="28575" cap="rnd">
              <a:solidFill>
                <a:schemeClr val="accent1"/>
              </a:solidFill>
              <a:round/>
            </a:ln>
            <a:effectLst/>
          </c:spPr>
          <c:marker>
            <c:symbol val="none"/>
          </c:marker>
          <c:cat>
            <c:numRef>
              <c:f>'Strategi - Produktionoptimering'!$A$89:$A$104</c:f>
              <c:numCache>
                <c:formatCode>_-* #,##0\ _k_r_._-;\-* #,##0\ _k_r_._-;_-* "-"??\ _k_r_._-;_-@_-</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'Strategi - Produktionoptimering'!$H$89:$H$104</c:f>
              <c:numCache>
                <c:formatCode>0.00</c:formatCode>
                <c:ptCount val="16"/>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8676-CF49-807A-40A648A4B961}"/>
            </c:ext>
          </c:extLst>
        </c:ser>
        <c:ser>
          <c:idx val="1"/>
          <c:order val="1"/>
          <c:tx>
            <c:strRef>
              <c:f>'Strategi - Produktionoptimering'!$I$88</c:f>
              <c:strCache>
                <c:ptCount val="1"/>
                <c:pt idx="0">
                  <c:v>MC</c:v>
                </c:pt>
              </c:strCache>
            </c:strRef>
          </c:tx>
          <c:spPr>
            <a:ln w="28575" cap="rnd">
              <a:solidFill>
                <a:schemeClr val="accent2"/>
              </a:solidFill>
              <a:round/>
            </a:ln>
            <a:effectLst/>
          </c:spPr>
          <c:marker>
            <c:symbol val="none"/>
          </c:marker>
          <c:cat>
            <c:numRef>
              <c:f>'Strategi - Produktionoptimering'!$A$89:$A$104</c:f>
              <c:numCache>
                <c:formatCode>_-* #,##0\ _k_r_._-;\-* #,##0\ _k_r_._-;_-* "-"??\ _k_r_._-;_-@_-</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'Strategi - Produktionoptimering'!$I$89:$I$104</c:f>
              <c:numCache>
                <c:formatCode>_-* #,##0\ _k_r_._-;\-* #,##0\ _k_r_._-;_-* "-"??\ _k_r_._-;_-@_-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8676-CF49-807A-40A648A4B961}"/>
            </c:ext>
          </c:extLst>
        </c:ser>
        <c:dLbls>
          <c:showLegendKey val="0"/>
          <c:showVal val="0"/>
          <c:showCatName val="0"/>
          <c:showSerName val="0"/>
          <c:showPercent val="0"/>
          <c:showBubbleSize val="0"/>
        </c:dLbls>
        <c:smooth val="0"/>
        <c:axId val="1498197360"/>
        <c:axId val="1498199408"/>
      </c:lineChart>
      <c:catAx>
        <c:axId val="1498197360"/>
        <c:scaling>
          <c:orientation val="minMax"/>
        </c:scaling>
        <c:delete val="0"/>
        <c:axPos val="b"/>
        <c:numFmt formatCode="_-* #,##0\ _k_r_._-;\-* #,##0\ _k_r_._-;_-* &quot;-&quot;??\ _k_r_._-;_-@_-"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a-DK"/>
          </a:p>
        </c:txPr>
        <c:crossAx val="1498199408"/>
        <c:crosses val="autoZero"/>
        <c:auto val="1"/>
        <c:lblAlgn val="ctr"/>
        <c:lblOffset val="100"/>
        <c:noMultiLvlLbl val="0"/>
      </c:catAx>
      <c:valAx>
        <c:axId val="149819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98197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177182697978"/>
          <c:y val="3.4722222222222203E-2"/>
          <c:w val="0.84664435117416503"/>
          <c:h val="0.69140579302587202"/>
        </c:manualLayout>
      </c:layout>
      <c:lineChart>
        <c:grouping val="standard"/>
        <c:varyColors val="0"/>
        <c:ser>
          <c:idx val="3"/>
          <c:order val="0"/>
          <c:tx>
            <c:strRef>
              <c:f>'Strategi - Produktionoptimering'!$E$88</c:f>
              <c:strCache>
                <c:ptCount val="1"/>
                <c:pt idx="0">
                  <c:v>MR</c:v>
                </c:pt>
              </c:strCache>
            </c:strRef>
          </c:tx>
          <c:spPr>
            <a:ln w="28575" cap="rnd">
              <a:solidFill>
                <a:schemeClr val="accent4"/>
              </a:solidFill>
              <a:round/>
            </a:ln>
            <a:effectLst/>
          </c:spPr>
          <c:marker>
            <c:symbol val="none"/>
          </c:marker>
          <c:cat>
            <c:numRef>
              <c:f>'Strategi - Produktionoptimering'!$A$89:$A$104</c:f>
              <c:numCache>
                <c:formatCode>_-* #,##0\ _k_r_._-;\-* #,##0\ _k_r_._-;_-* "-"??\ _k_r_._-;_-@_-</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'Strategi - Produktionoptimering'!$E$89:$E$104</c:f>
              <c:numCache>
                <c:formatCode>_-* #,##0\ _k_r_._-;\-* #,##0\ _k_r_._-;_-* "-"??\ _k_r_._-;_-@_-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1135-314C-8D02-6DBE5A1BDC82}"/>
            </c:ext>
          </c:extLst>
        </c:ser>
        <c:ser>
          <c:idx val="5"/>
          <c:order val="1"/>
          <c:tx>
            <c:strRef>
              <c:f>'Strategi - Produktionoptimering'!$I$88</c:f>
              <c:strCache>
                <c:ptCount val="1"/>
                <c:pt idx="0">
                  <c:v>MC</c:v>
                </c:pt>
              </c:strCache>
            </c:strRef>
          </c:tx>
          <c:spPr>
            <a:ln w="28575" cap="rnd">
              <a:solidFill>
                <a:schemeClr val="accent6"/>
              </a:solidFill>
              <a:round/>
            </a:ln>
            <a:effectLst/>
          </c:spPr>
          <c:marker>
            <c:symbol val="none"/>
          </c:marker>
          <c:cat>
            <c:numRef>
              <c:f>'Strategi - Produktionoptimering'!$A$89:$A$104</c:f>
              <c:numCache>
                <c:formatCode>_-* #,##0\ _k_r_._-;\-* #,##0\ _k_r_._-;_-* "-"??\ _k_r_._-;_-@_-</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'Strategi - Produktionoptimering'!$I$89:$I$104</c:f>
              <c:numCache>
                <c:formatCode>_-* #,##0\ _k_r_._-;\-* #,##0\ _k_r_._-;_-* "-"??\ _k_r_._-;_-@_-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1135-314C-8D02-6DBE5A1BDC82}"/>
            </c:ext>
          </c:extLst>
        </c:ser>
        <c:ser>
          <c:idx val="0"/>
          <c:order val="2"/>
          <c:tx>
            <c:strRef>
              <c:f>'Strategi - Produktionoptimering'!$B$88</c:f>
              <c:strCache>
                <c:ptCount val="1"/>
                <c:pt idx="0">
                  <c:v>P(Q)</c:v>
                </c:pt>
              </c:strCache>
            </c:strRef>
          </c:tx>
          <c:spPr>
            <a:ln w="28575" cap="rnd">
              <a:solidFill>
                <a:schemeClr val="accent1"/>
              </a:solidFill>
              <a:round/>
            </a:ln>
            <a:effectLst/>
          </c:spPr>
          <c:marker>
            <c:symbol val="none"/>
          </c:marker>
          <c:val>
            <c:numRef>
              <c:f>'Strategi - Produktionoptimering'!$B$89:$B$104</c:f>
              <c:numCache>
                <c:formatCode>_-* #,##0\ _k_r_._-;\-* #,##0\ _k_r_._-;_-* "-"??\ _k_r_._-;_-@_-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2-1135-314C-8D02-6DBE5A1BDC82}"/>
            </c:ext>
          </c:extLst>
        </c:ser>
        <c:dLbls>
          <c:showLegendKey val="0"/>
          <c:showVal val="0"/>
          <c:showCatName val="0"/>
          <c:showSerName val="0"/>
          <c:showPercent val="0"/>
          <c:showBubbleSize val="0"/>
        </c:dLbls>
        <c:smooth val="0"/>
        <c:axId val="1498061936"/>
        <c:axId val="1498064256"/>
      </c:lineChart>
      <c:catAx>
        <c:axId val="1498061936"/>
        <c:scaling>
          <c:orientation val="minMax"/>
        </c:scaling>
        <c:delete val="0"/>
        <c:axPos val="b"/>
        <c:numFmt formatCode="_-* #,##0\ _k_r_._-;\-* #,##0\ _k_r_._-;_-* &quot;-&quot;??\ _k_r_.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a-DK"/>
          </a:p>
        </c:txPr>
        <c:crossAx val="1498064256"/>
        <c:crosses val="autoZero"/>
        <c:auto val="1"/>
        <c:lblAlgn val="ctr"/>
        <c:lblOffset val="100"/>
        <c:noMultiLvlLbl val="0"/>
      </c:catAx>
      <c:valAx>
        <c:axId val="1498064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_-* #,##0\ _k_r_._-;\-* #,##0\ _k_r_._-;_-* &quot;-&quot;??\ _k_r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98061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'Strategi - Produktionoptimering'!$K$88</c:f>
              <c:strCache>
                <c:ptCount val="1"/>
                <c:pt idx="0">
                  <c:v>Priselasticiteten i Q</c:v>
                </c:pt>
              </c:strCache>
            </c:strRef>
          </c:tx>
          <c:spPr>
            <a:ln w="28575" cap="rnd">
              <a:solidFill>
                <a:schemeClr val="accent1"/>
              </a:solidFill>
              <a:round/>
            </a:ln>
            <a:effectLst/>
          </c:spPr>
          <c:marker>
            <c:symbol val="none"/>
          </c:marker>
          <c:cat>
            <c:numRef>
              <c:f>'Strategi - Produktionoptimering'!$A$90:$A$104</c:f>
              <c:numCache>
                <c:formatCode>_-* #,##0\ _k_r_._-;\-* #,##0\ _k_r_._-;_-* "-"??\ _k_r_._-;_-@_-</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'Strategi - Produktionoptimering'!$K$90:$K$104</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03B1-0043-9B4E-37258E4416C5}"/>
            </c:ext>
          </c:extLst>
        </c:ser>
        <c:dLbls>
          <c:showLegendKey val="0"/>
          <c:showVal val="0"/>
          <c:showCatName val="0"/>
          <c:showSerName val="0"/>
          <c:showPercent val="0"/>
          <c:showBubbleSize val="0"/>
        </c:dLbls>
        <c:smooth val="0"/>
        <c:axId val="1498085344"/>
        <c:axId val="1498087664"/>
      </c:lineChart>
      <c:catAx>
        <c:axId val="1498085344"/>
        <c:scaling>
          <c:orientation val="minMax"/>
        </c:scaling>
        <c:delete val="0"/>
        <c:axPos val="b"/>
        <c:numFmt formatCode="_-* #,##0\ _k_r_._-;\-* #,##0\ _k_r_._-;_-* &quot;-&quot;??\ _k_r_.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a-DK"/>
          </a:p>
        </c:txPr>
        <c:crossAx val="1498087664"/>
        <c:crosses val="autoZero"/>
        <c:auto val="1"/>
        <c:lblAlgn val="ctr"/>
        <c:lblOffset val="100"/>
        <c:noMultiLvlLbl val="0"/>
      </c:catAx>
      <c:valAx>
        <c:axId val="149808766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9808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'Investeringer - Kalkyler'!$E$71</c:f>
              <c:strCache>
                <c:ptCount val="1"/>
                <c:pt idx="0">
                  <c:v>Anlæg C</c:v>
                </c:pt>
              </c:strCache>
            </c:strRef>
          </c:tx>
          <c:spPr>
            <a:ln w="28575" cap="rnd">
              <a:solidFill>
                <a:schemeClr val="accent3"/>
              </a:solidFill>
              <a:round/>
            </a:ln>
            <a:effectLst/>
          </c:spPr>
          <c:marker>
            <c:symbol val="none"/>
          </c:marker>
          <c:cat>
            <c:numRef>
              <c:f>'Investeringer - Kalkyler'!$A$72:$A$87</c:f>
              <c:numCache>
                <c:formatCode>0%</c:formatCode>
                <c:ptCount val="16"/>
                <c:pt idx="0">
                  <c:v>0.05</c:v>
                </c:pt>
                <c:pt idx="1">
                  <c:v>0.06</c:v>
                </c:pt>
                <c:pt idx="2">
                  <c:v>7.0000000000000007E-2</c:v>
                </c:pt>
                <c:pt idx="3">
                  <c:v>0.08</c:v>
                </c:pt>
                <c:pt idx="4">
                  <c:v>0.09</c:v>
                </c:pt>
                <c:pt idx="5">
                  <c:v>0.1</c:v>
                </c:pt>
                <c:pt idx="6">
                  <c:v>0.11</c:v>
                </c:pt>
                <c:pt idx="7">
                  <c:v>0.12</c:v>
                </c:pt>
                <c:pt idx="8">
                  <c:v>0.13</c:v>
                </c:pt>
                <c:pt idx="9">
                  <c:v>0.14000000000000001</c:v>
                </c:pt>
                <c:pt idx="10">
                  <c:v>0.15</c:v>
                </c:pt>
                <c:pt idx="11">
                  <c:v>0.16</c:v>
                </c:pt>
                <c:pt idx="12">
                  <c:v>0.17</c:v>
                </c:pt>
                <c:pt idx="13">
                  <c:v>0.18</c:v>
                </c:pt>
                <c:pt idx="14">
                  <c:v>0.19</c:v>
                </c:pt>
                <c:pt idx="15">
                  <c:v>0.2</c:v>
                </c:pt>
              </c:numCache>
            </c:numRef>
          </c:cat>
          <c:val>
            <c:numRef>
              <c:f>'Investeringer - Kalkyler'!$E$72:$E$87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455F-9241-96BC-8B54225C43B8}"/>
            </c:ext>
          </c:extLst>
        </c:ser>
        <c:ser>
          <c:idx val="0"/>
          <c:order val="1"/>
          <c:tx>
            <c:strRef>
              <c:f>'Investeringer - Kalkyler'!$F$71</c:f>
              <c:strCache>
                <c:ptCount val="1"/>
                <c:pt idx="0">
                  <c:v>Anlæg D</c:v>
                </c:pt>
              </c:strCache>
            </c:strRef>
          </c:tx>
          <c:spPr>
            <a:ln w="28575" cap="rnd">
              <a:solidFill>
                <a:schemeClr val="accent1"/>
              </a:solidFill>
              <a:round/>
            </a:ln>
            <a:effectLst/>
          </c:spPr>
          <c:marker>
            <c:symbol val="none"/>
          </c:marker>
          <c:cat>
            <c:numRef>
              <c:f>'Investeringer - Kalkyler'!$A$72:$A$87</c:f>
              <c:numCache>
                <c:formatCode>0%</c:formatCode>
                <c:ptCount val="16"/>
                <c:pt idx="0">
                  <c:v>0.05</c:v>
                </c:pt>
                <c:pt idx="1">
                  <c:v>0.06</c:v>
                </c:pt>
                <c:pt idx="2">
                  <c:v>7.0000000000000007E-2</c:v>
                </c:pt>
                <c:pt idx="3">
                  <c:v>0.08</c:v>
                </c:pt>
                <c:pt idx="4">
                  <c:v>0.09</c:v>
                </c:pt>
                <c:pt idx="5">
                  <c:v>0.1</c:v>
                </c:pt>
                <c:pt idx="6">
                  <c:v>0.11</c:v>
                </c:pt>
                <c:pt idx="7">
                  <c:v>0.12</c:v>
                </c:pt>
                <c:pt idx="8">
                  <c:v>0.13</c:v>
                </c:pt>
                <c:pt idx="9">
                  <c:v>0.14000000000000001</c:v>
                </c:pt>
                <c:pt idx="10">
                  <c:v>0.15</c:v>
                </c:pt>
                <c:pt idx="11">
                  <c:v>0.16</c:v>
                </c:pt>
                <c:pt idx="12">
                  <c:v>0.17</c:v>
                </c:pt>
                <c:pt idx="13">
                  <c:v>0.18</c:v>
                </c:pt>
                <c:pt idx="14">
                  <c:v>0.19</c:v>
                </c:pt>
                <c:pt idx="15">
                  <c:v>0.2</c:v>
                </c:pt>
              </c:numCache>
            </c:numRef>
          </c:cat>
          <c:val>
            <c:numRef>
              <c:f>'Investeringer - Kalkyler'!$F$72:$F$87</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31EE-4FAB-9180-1B4A786557F5}"/>
            </c:ext>
          </c:extLst>
        </c:ser>
        <c:dLbls>
          <c:showLegendKey val="0"/>
          <c:showVal val="0"/>
          <c:showCatName val="0"/>
          <c:showSerName val="0"/>
          <c:showPercent val="0"/>
          <c:showBubbleSize val="0"/>
        </c:dLbls>
        <c:smooth val="0"/>
        <c:axId val="1493749376"/>
        <c:axId val="1493793104"/>
      </c:lineChart>
      <c:catAx>
        <c:axId val="149374937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93793104"/>
        <c:crosses val="autoZero"/>
        <c:auto val="1"/>
        <c:lblAlgn val="ctr"/>
        <c:lblOffset val="100"/>
        <c:noMultiLvlLbl val="0"/>
      </c:catAx>
      <c:valAx>
        <c:axId val="1493793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93749376"/>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'Investeringer - Kalkyler'!$C$167</c:f>
              <c:strCache>
                <c:ptCount val="1"/>
                <c:pt idx="0">
                  <c:v>Nutidsværdi</c:v>
                </c:pt>
              </c:strCache>
            </c:strRef>
          </c:tx>
          <c:spPr>
            <a:ln w="28575" cap="rnd">
              <a:solidFill>
                <a:schemeClr val="accent1"/>
              </a:solidFill>
              <a:round/>
            </a:ln>
            <a:effectLst/>
          </c:spPr>
          <c:marker>
            <c:symbol val="none"/>
          </c:marker>
          <c:cat>
            <c:numRef>
              <c:f>'Investeringer - Kalkyler'!$B$168:$B$178</c:f>
              <c:numCache>
                <c:formatCode>General</c:formatCode>
                <c:ptCount val="11"/>
                <c:pt idx="0">
                  <c:v>150</c:v>
                </c:pt>
                <c:pt idx="1">
                  <c:v>200</c:v>
                </c:pt>
                <c:pt idx="2">
                  <c:v>250</c:v>
                </c:pt>
                <c:pt idx="3">
                  <c:v>300</c:v>
                </c:pt>
                <c:pt idx="4">
                  <c:v>350</c:v>
                </c:pt>
                <c:pt idx="5">
                  <c:v>400</c:v>
                </c:pt>
                <c:pt idx="6">
                  <c:v>450</c:v>
                </c:pt>
                <c:pt idx="7">
                  <c:v>500</c:v>
                </c:pt>
                <c:pt idx="8">
                  <c:v>550</c:v>
                </c:pt>
                <c:pt idx="9">
                  <c:v>600</c:v>
                </c:pt>
                <c:pt idx="10">
                  <c:v>650</c:v>
                </c:pt>
              </c:numCache>
            </c:numRef>
          </c:cat>
          <c:val>
            <c:numRef>
              <c:f>'Investeringer - Kalkyler'!$C$168:$C$178</c:f>
              <c:numCache>
                <c:formatCode>"kr."#,##0.00_);[Red]\("kr."#,##0.00\)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C71C-8D40-A60B-5A742EC3FD59}"/>
            </c:ext>
          </c:extLst>
        </c:ser>
        <c:ser>
          <c:idx val="1"/>
          <c:order val="1"/>
          <c:spPr>
            <a:ln w="28575" cap="rnd">
              <a:solidFill>
                <a:schemeClr val="accent2"/>
              </a:solidFill>
              <a:round/>
            </a:ln>
            <a:effectLst/>
          </c:spPr>
          <c:marker>
            <c:symbol val="none"/>
          </c:marker>
          <c:cat>
            <c:numRef>
              <c:f>'Investeringer - Kalkyler'!$B$168:$B$178</c:f>
              <c:numCache>
                <c:formatCode>General</c:formatCode>
                <c:ptCount val="11"/>
                <c:pt idx="0">
                  <c:v>150</c:v>
                </c:pt>
                <c:pt idx="1">
                  <c:v>200</c:v>
                </c:pt>
                <c:pt idx="2">
                  <c:v>250</c:v>
                </c:pt>
                <c:pt idx="3">
                  <c:v>300</c:v>
                </c:pt>
                <c:pt idx="4">
                  <c:v>350</c:v>
                </c:pt>
                <c:pt idx="5">
                  <c:v>400</c:v>
                </c:pt>
                <c:pt idx="6">
                  <c:v>450</c:v>
                </c:pt>
                <c:pt idx="7">
                  <c:v>500</c:v>
                </c:pt>
                <c:pt idx="8">
                  <c:v>550</c:v>
                </c:pt>
                <c:pt idx="9">
                  <c:v>600</c:v>
                </c:pt>
                <c:pt idx="10">
                  <c:v>650</c:v>
                </c:pt>
              </c:numCache>
            </c:numRef>
          </c:cat>
          <c:val>
            <c:numRef>
              <c:f>'Investeringer - Kalkyler'!$B$163</c:f>
              <c:numCache>
                <c:formatCode>#,##0</c:formatCode>
                <c:ptCount val="1"/>
                <c:pt idx="0">
                  <c:v>0</c:v>
                </c:pt>
              </c:numCache>
            </c:numRef>
          </c:val>
          <c:smooth val="0"/>
          <c:extLst>
            <c:ext xmlns:c16="http://schemas.microsoft.com/office/drawing/2014/chart" uri="{C3380CC4-5D6E-409C-BE32-E72D297353CC}">
              <c16:uniqueId val="{00000000-E6A6-A049-96F6-3DCF2624E95F}"/>
            </c:ext>
          </c:extLst>
        </c:ser>
        <c:dLbls>
          <c:showLegendKey val="0"/>
          <c:showVal val="0"/>
          <c:showCatName val="0"/>
          <c:showSerName val="0"/>
          <c:showPercent val="0"/>
          <c:showBubbleSize val="0"/>
        </c:dLbls>
        <c:smooth val="0"/>
        <c:axId val="1677262016"/>
        <c:axId val="1673900512"/>
      </c:lineChart>
      <c:catAx>
        <c:axId val="1677262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3900512"/>
        <c:crosses val="autoZero"/>
        <c:auto val="1"/>
        <c:lblAlgn val="ctr"/>
        <c:lblOffset val="100"/>
        <c:noMultiLvlLbl val="0"/>
      </c:catAx>
      <c:valAx>
        <c:axId val="1673900512"/>
        <c:scaling>
          <c:orientation val="minMax"/>
        </c:scaling>
        <c:delete val="0"/>
        <c:axPos val="l"/>
        <c:majorGridlines>
          <c:spPr>
            <a:ln w="9525" cap="flat" cmpd="sng" algn="ctr">
              <a:solidFill>
                <a:schemeClr val="tx1">
                  <a:lumMod val="15000"/>
                  <a:lumOff val="85000"/>
                </a:schemeClr>
              </a:solidFill>
              <a:round/>
            </a:ln>
            <a:effectLst/>
          </c:spPr>
        </c:majorGridlines>
        <c:numFmt formatCode="&quot;kr.&quot;#,##0.00_);[Red]\(&quot;kr.&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72620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lineChart>
        <c:grouping val="standard"/>
        <c:varyColors val="0"/>
        <c:ser>
          <c:idx val="0"/>
          <c:order val="0"/>
          <c:tx>
            <c:strRef>
              <c:f>'Investeringer - Kalkyler'!$R$168</c:f>
              <c:strCache>
                <c:ptCount val="1"/>
                <c:pt idx="0">
                  <c:v>Nutidsværdi</c:v>
                </c:pt>
              </c:strCache>
            </c:strRef>
          </c:tx>
          <c:spPr>
            <a:ln w="28575" cap="rnd">
              <a:solidFill>
                <a:schemeClr val="accent1"/>
              </a:solidFill>
              <a:round/>
            </a:ln>
            <a:effectLst/>
          </c:spPr>
          <c:marker>
            <c:symbol val="none"/>
          </c:marker>
          <c:cat>
            <c:numRef>
              <c:f>'Investeringer - Kalkyler'!$Q$169:$Q$179</c:f>
              <c:numCache>
                <c:formatCode>General</c:formatCode>
                <c:ptCount val="11"/>
                <c:pt idx="0">
                  <c:v>150</c:v>
                </c:pt>
                <c:pt idx="1">
                  <c:v>200</c:v>
                </c:pt>
                <c:pt idx="2">
                  <c:v>250</c:v>
                </c:pt>
                <c:pt idx="3">
                  <c:v>300</c:v>
                </c:pt>
                <c:pt idx="4">
                  <c:v>350</c:v>
                </c:pt>
                <c:pt idx="5">
                  <c:v>400</c:v>
                </c:pt>
                <c:pt idx="6">
                  <c:v>450</c:v>
                </c:pt>
                <c:pt idx="7">
                  <c:v>500</c:v>
                </c:pt>
                <c:pt idx="8">
                  <c:v>550</c:v>
                </c:pt>
                <c:pt idx="9">
                  <c:v>600</c:v>
                </c:pt>
                <c:pt idx="10">
                  <c:v>650</c:v>
                </c:pt>
              </c:numCache>
            </c:numRef>
          </c:cat>
          <c:val>
            <c:numRef>
              <c:f>'Investeringer - Kalkyler'!$R$169:$R$179</c:f>
              <c:numCache>
                <c:formatCode>"kr."#,##0.00_);[Red]\("kr."#,##0.00\)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5CEE-A14D-B0CB-9BEEEC34CD4C}"/>
            </c:ext>
          </c:extLst>
        </c:ser>
        <c:dLbls>
          <c:showLegendKey val="0"/>
          <c:showVal val="0"/>
          <c:showCatName val="0"/>
          <c:showSerName val="0"/>
          <c:showPercent val="0"/>
          <c:showBubbleSize val="0"/>
        </c:dLbls>
        <c:smooth val="0"/>
        <c:axId val="1677262016"/>
        <c:axId val="1673900512"/>
      </c:lineChart>
      <c:catAx>
        <c:axId val="1677262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3900512"/>
        <c:crosses val="autoZero"/>
        <c:auto val="1"/>
        <c:lblAlgn val="ctr"/>
        <c:lblOffset val="100"/>
        <c:noMultiLvlLbl val="0"/>
      </c:catAx>
      <c:valAx>
        <c:axId val="1673900512"/>
        <c:scaling>
          <c:orientation val="minMax"/>
        </c:scaling>
        <c:delete val="0"/>
        <c:axPos val="l"/>
        <c:majorGridlines>
          <c:spPr>
            <a:ln w="9525" cap="flat" cmpd="sng" algn="ctr">
              <a:solidFill>
                <a:schemeClr val="tx1">
                  <a:lumMod val="15000"/>
                  <a:lumOff val="85000"/>
                </a:schemeClr>
              </a:solidFill>
              <a:round/>
            </a:ln>
            <a:effectLst/>
          </c:spPr>
        </c:majorGridlines>
        <c:numFmt formatCode="&quot;kr.&quot;#,##0.00_);[Red]\(&quot;kr.&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72620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Værdipapirmarkedslinjen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lineChart>
        <c:grouping val="standard"/>
        <c:varyColors val="0"/>
        <c:ser>
          <c:idx val="0"/>
          <c:order val="0"/>
          <c:tx>
            <c:strRef>
              <c:f>'Finansiering - CAPM'!$C$87</c:f>
              <c:strCache>
                <c:ptCount val="1"/>
                <c:pt idx="0">
                  <c:v>Krævet afkast</c:v>
                </c:pt>
              </c:strCache>
            </c:strRef>
          </c:tx>
          <c:spPr>
            <a:ln w="28575" cap="rnd">
              <a:solidFill>
                <a:schemeClr val="accent1"/>
              </a:solidFill>
              <a:round/>
            </a:ln>
            <a:effectLst/>
          </c:spPr>
          <c:marker>
            <c:symbol val="none"/>
          </c:marker>
          <c:cat>
            <c:numRef>
              <c:f>'Finansiering - CAPM'!$B$88:$B$102</c:f>
              <c:numCache>
                <c:formatCode>General</c:formatCode>
                <c:ptCount val="15"/>
                <c:pt idx="0">
                  <c:v>0</c:v>
                </c:pt>
                <c:pt idx="1">
                  <c:v>0.2</c:v>
                </c:pt>
                <c:pt idx="2">
                  <c:v>0.3</c:v>
                </c:pt>
                <c:pt idx="3">
                  <c:v>0.4</c:v>
                </c:pt>
                <c:pt idx="4">
                  <c:v>0.5</c:v>
                </c:pt>
                <c:pt idx="5">
                  <c:v>0.6</c:v>
                </c:pt>
                <c:pt idx="6">
                  <c:v>0.7</c:v>
                </c:pt>
                <c:pt idx="7">
                  <c:v>0.8</c:v>
                </c:pt>
                <c:pt idx="8">
                  <c:v>0.9</c:v>
                </c:pt>
                <c:pt idx="9">
                  <c:v>1</c:v>
                </c:pt>
                <c:pt idx="10">
                  <c:v>1.1000000000000001</c:v>
                </c:pt>
                <c:pt idx="11">
                  <c:v>1.2</c:v>
                </c:pt>
                <c:pt idx="12">
                  <c:v>1.3</c:v>
                </c:pt>
                <c:pt idx="13">
                  <c:v>1.4</c:v>
                </c:pt>
                <c:pt idx="14">
                  <c:v>1.5</c:v>
                </c:pt>
              </c:numCache>
            </c:numRef>
          </c:cat>
          <c:val>
            <c:numRef>
              <c:f>'Finansiering - CAPM'!$C$88:$C$102</c:f>
              <c:numCache>
                <c:formatCode>0.000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BF74-F84C-9050-DB6BD93DC4A6}"/>
            </c:ext>
          </c:extLst>
        </c:ser>
        <c:dLbls>
          <c:showLegendKey val="0"/>
          <c:showVal val="0"/>
          <c:showCatName val="0"/>
          <c:showSerName val="0"/>
          <c:showPercent val="0"/>
          <c:showBubbleSize val="0"/>
        </c:dLbls>
        <c:smooth val="0"/>
        <c:axId val="177185903"/>
        <c:axId val="177187599"/>
      </c:lineChart>
      <c:catAx>
        <c:axId val="177185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7187599"/>
        <c:crosses val="autoZero"/>
        <c:auto val="1"/>
        <c:lblAlgn val="ctr"/>
        <c:lblOffset val="100"/>
        <c:noMultiLvlLbl val="0"/>
      </c:catAx>
      <c:valAx>
        <c:axId val="177187599"/>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7185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Kapitalmarkedslinjen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lineChart>
        <c:grouping val="standard"/>
        <c:varyColors val="0"/>
        <c:ser>
          <c:idx val="0"/>
          <c:order val="0"/>
          <c:tx>
            <c:strRef>
              <c:f>'Finansiering - CAPM'!$C$53</c:f>
              <c:strCache>
                <c:ptCount val="1"/>
                <c:pt idx="0">
                  <c:v>Forventet afkast</c:v>
                </c:pt>
              </c:strCache>
            </c:strRef>
          </c:tx>
          <c:spPr>
            <a:ln w="28575" cap="rnd">
              <a:solidFill>
                <a:schemeClr val="accent1"/>
              </a:solidFill>
              <a:round/>
            </a:ln>
            <a:effectLst/>
          </c:spPr>
          <c:marker>
            <c:symbol val="none"/>
          </c:marker>
          <c:cat>
            <c:numRef>
              <c:f>'Finansiering - CAPM'!$B$54:$B$63</c:f>
              <c:numCache>
                <c:formatCode>General</c:formatCode>
                <c:ptCount val="10"/>
                <c:pt idx="0">
                  <c:v>0</c:v>
                </c:pt>
                <c:pt idx="1">
                  <c:v>0.01</c:v>
                </c:pt>
                <c:pt idx="2">
                  <c:v>0.02</c:v>
                </c:pt>
                <c:pt idx="3">
                  <c:v>0.03</c:v>
                </c:pt>
                <c:pt idx="4">
                  <c:v>0.04</c:v>
                </c:pt>
                <c:pt idx="5">
                  <c:v>0.05</c:v>
                </c:pt>
                <c:pt idx="6">
                  <c:v>0.06</c:v>
                </c:pt>
                <c:pt idx="7">
                  <c:v>7.0000000000000007E-2</c:v>
                </c:pt>
                <c:pt idx="8">
                  <c:v>0.08</c:v>
                </c:pt>
                <c:pt idx="9">
                  <c:v>0.09</c:v>
                </c:pt>
              </c:numCache>
            </c:numRef>
          </c:cat>
          <c:val>
            <c:numRef>
              <c:f>'Finansiering - CAPM'!$C$54:$C$63</c:f>
              <c:numCache>
                <c:formatCode>0.000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280-7B48-8B20-930033F6A2EC}"/>
            </c:ext>
          </c:extLst>
        </c:ser>
        <c:dLbls>
          <c:showLegendKey val="0"/>
          <c:showVal val="0"/>
          <c:showCatName val="0"/>
          <c:showSerName val="0"/>
          <c:showPercent val="0"/>
          <c:showBubbleSize val="0"/>
        </c:dLbls>
        <c:smooth val="0"/>
        <c:axId val="179562911"/>
        <c:axId val="177064271"/>
      </c:lineChart>
      <c:catAx>
        <c:axId val="179562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7064271"/>
        <c:crosses val="autoZero"/>
        <c:auto val="1"/>
        <c:lblAlgn val="ctr"/>
        <c:lblOffset val="100"/>
        <c:noMultiLvlLbl val="0"/>
      </c:catAx>
      <c:valAx>
        <c:axId val="177064271"/>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562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'Strategi - Produktionoptimering'!$D$88</c:f>
              <c:strCache>
                <c:ptCount val="1"/>
                <c:pt idx="0">
                  <c:v>TR</c:v>
                </c:pt>
              </c:strCache>
            </c:strRef>
          </c:tx>
          <c:spPr>
            <a:ln w="28575" cap="rnd">
              <a:solidFill>
                <a:schemeClr val="accent2"/>
              </a:solidFill>
              <a:round/>
            </a:ln>
            <a:effectLst/>
          </c:spPr>
          <c:marker>
            <c:symbol val="none"/>
          </c:marker>
          <c:cat>
            <c:numRef>
              <c:f>'Strategi - Produktionoptimering'!$A$89:$A$104</c:f>
              <c:numCache>
                <c:formatCode>_-* #,##0\ _k_r_._-;\-* #,##0\ _k_r_._-;_-* "-"??\ _k_r_._-;_-@_-</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'Strategi - Produktionoptimering'!$D$89:$D$104</c:f>
              <c:numCache>
                <c:formatCode>_-* #,##0\ _k_r_._-;\-* #,##0\ _k_r_._-;_-* "-"??\ _k_r_._-;_-@_-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2831-C547-AF21-DAE7E5CC4353}"/>
            </c:ext>
          </c:extLst>
        </c:ser>
        <c:ser>
          <c:idx val="5"/>
          <c:order val="1"/>
          <c:tx>
            <c:strRef>
              <c:f>'Strategi - Produktionoptimering'!$J$88</c:f>
              <c:strCache>
                <c:ptCount val="1"/>
                <c:pt idx="0">
                  <c:v>Profit</c:v>
                </c:pt>
              </c:strCache>
            </c:strRef>
          </c:tx>
          <c:spPr>
            <a:ln w="28575" cap="rnd">
              <a:solidFill>
                <a:schemeClr val="accent6"/>
              </a:solidFill>
              <a:round/>
            </a:ln>
            <a:effectLst/>
          </c:spPr>
          <c:marker>
            <c:symbol val="none"/>
          </c:marker>
          <c:cat>
            <c:numRef>
              <c:f>'Strategi - Produktionoptimering'!$A$89:$A$104</c:f>
              <c:numCache>
                <c:formatCode>_-* #,##0\ _k_r_._-;\-* #,##0\ _k_r_._-;_-* "-"??\ _k_r_._-;_-@_-</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'Strategi - Produktionoptimering'!$J$89:$J$104</c:f>
              <c:numCache>
                <c:formatCode>_-* #,##0\ _k_r_._-;\-* #,##0\ _k_r_._-;_-* "-"??\ _k_r_._-;_-@_-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2831-C547-AF21-DAE7E5CC4353}"/>
            </c:ext>
          </c:extLst>
        </c:ser>
        <c:dLbls>
          <c:showLegendKey val="0"/>
          <c:showVal val="0"/>
          <c:showCatName val="0"/>
          <c:showSerName val="0"/>
          <c:showPercent val="0"/>
          <c:showBubbleSize val="0"/>
        </c:dLbls>
        <c:smooth val="0"/>
        <c:axId val="1493773504"/>
        <c:axId val="1493775824"/>
      </c:lineChart>
      <c:catAx>
        <c:axId val="1493773504"/>
        <c:scaling>
          <c:orientation val="minMax"/>
        </c:scaling>
        <c:delete val="0"/>
        <c:axPos val="b"/>
        <c:numFmt formatCode="_-* #,##0\ _k_r_._-;\-* #,##0\ _k_r_._-;_-* &quot;-&quot;??\ _k_r_.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a-DK"/>
          </a:p>
        </c:txPr>
        <c:crossAx val="1493775824"/>
        <c:crosses val="autoZero"/>
        <c:auto val="1"/>
        <c:lblAlgn val="ctr"/>
        <c:lblOffset val="100"/>
        <c:noMultiLvlLbl val="0"/>
      </c:catAx>
      <c:valAx>
        <c:axId val="1493775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_-* #,##0\ _k_r_._-;\-* #,##0\ _k_r_._-;_-* &quot;-&quot;??\ _k_r_.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9377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26069761641799"/>
          <c:y val="4.5373250605158399E-2"/>
          <c:w val="0.84671541057367805"/>
          <c:h val="0.80396200643535398"/>
        </c:manualLayout>
      </c:layout>
      <c:lineChart>
        <c:grouping val="standard"/>
        <c:varyColors val="0"/>
        <c:ser>
          <c:idx val="3"/>
          <c:order val="0"/>
          <c:tx>
            <c:strRef>
              <c:f>'Strategi - Produktionoptimering'!$E$88</c:f>
              <c:strCache>
                <c:ptCount val="1"/>
                <c:pt idx="0">
                  <c:v>MR</c:v>
                </c:pt>
              </c:strCache>
            </c:strRef>
          </c:tx>
          <c:spPr>
            <a:ln w="28575" cap="rnd">
              <a:solidFill>
                <a:schemeClr val="accent4"/>
              </a:solidFill>
              <a:round/>
            </a:ln>
            <a:effectLst/>
          </c:spPr>
          <c:marker>
            <c:symbol val="none"/>
          </c:marker>
          <c:cat>
            <c:numRef>
              <c:f>'Strategi - Produktionoptimering'!$A$89:$A$104</c:f>
              <c:numCache>
                <c:formatCode>_-* #,##0\ _k_r_._-;\-* #,##0\ _k_r_._-;_-* "-"??\ _k_r_._-;_-@_-</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'Strategi - Produktionoptimering'!$E$89:$E$104</c:f>
              <c:numCache>
                <c:formatCode>_-* #,##0\ _k_r_._-;\-* #,##0\ _k_r_._-;_-* "-"??\ _k_r_._-;_-@_-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42AF-DE4A-A27B-82BCF853720E}"/>
            </c:ext>
          </c:extLst>
        </c:ser>
        <c:ser>
          <c:idx val="5"/>
          <c:order val="1"/>
          <c:tx>
            <c:strRef>
              <c:f>'Strategi - Produktionoptimering'!$I$88</c:f>
              <c:strCache>
                <c:ptCount val="1"/>
                <c:pt idx="0">
                  <c:v>MC</c:v>
                </c:pt>
              </c:strCache>
            </c:strRef>
          </c:tx>
          <c:spPr>
            <a:ln w="28575" cap="rnd">
              <a:solidFill>
                <a:schemeClr val="accent6"/>
              </a:solidFill>
              <a:round/>
            </a:ln>
            <a:effectLst/>
          </c:spPr>
          <c:marker>
            <c:symbol val="none"/>
          </c:marker>
          <c:cat>
            <c:numRef>
              <c:f>'Strategi - Produktionoptimering'!$A$89:$A$104</c:f>
              <c:numCache>
                <c:formatCode>_-* #,##0\ _k_r_._-;\-* #,##0\ _k_r_._-;_-* "-"??\ _k_r_._-;_-@_-</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'Strategi - Produktionoptimering'!$I$89:$I$104</c:f>
              <c:numCache>
                <c:formatCode>_-* #,##0\ _k_r_._-;\-* #,##0\ _k_r_._-;_-* "-"??\ _k_r_._-;_-@_-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42AF-DE4A-A27B-82BCF853720E}"/>
            </c:ext>
          </c:extLst>
        </c:ser>
        <c:dLbls>
          <c:showLegendKey val="0"/>
          <c:showVal val="0"/>
          <c:showCatName val="0"/>
          <c:showSerName val="0"/>
          <c:showPercent val="0"/>
          <c:showBubbleSize val="0"/>
        </c:dLbls>
        <c:smooth val="0"/>
        <c:axId val="1493889248"/>
        <c:axId val="1493844784"/>
      </c:lineChart>
      <c:catAx>
        <c:axId val="1493889248"/>
        <c:scaling>
          <c:orientation val="minMax"/>
        </c:scaling>
        <c:delete val="0"/>
        <c:axPos val="b"/>
        <c:numFmt formatCode="_-* #,##0\ _k_r_._-;\-* #,##0\ _k_r_._-;_-* &quot;-&quot;??\ _k_r_.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a-DK"/>
          </a:p>
        </c:txPr>
        <c:crossAx val="1493844784"/>
        <c:crosses val="autoZero"/>
        <c:auto val="1"/>
        <c:lblAlgn val="ctr"/>
        <c:lblOffset val="100"/>
        <c:noMultiLvlLbl val="0"/>
      </c:catAx>
      <c:valAx>
        <c:axId val="149384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sz="1100" b="0" i="0" baseline="0">
                    <a:effectLst/>
                  </a:rPr>
                  <a:t>P</a:t>
                </a:r>
                <a:endParaRPr lang="da-DK" sz="6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_-* #,##0\ _k_r_._-;\-* #,##0\ _k_r_._-;_-* &quot;-&quot;??\ _k_r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93889248"/>
        <c:crosses val="autoZero"/>
        <c:crossBetween val="between"/>
      </c:valAx>
      <c:spPr>
        <a:noFill/>
        <a:ln>
          <a:noFill/>
        </a:ln>
        <a:effectLst/>
      </c:spPr>
    </c:plotArea>
    <c:legend>
      <c:legendPos val="b"/>
      <c:layout>
        <c:manualLayout>
          <c:xMode val="edge"/>
          <c:yMode val="edge"/>
          <c:x val="0.398974563663413"/>
          <c:y val="0.91859388572869705"/>
          <c:w val="0.20205069124423999"/>
          <c:h val="6.717123882646340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467993584135"/>
          <c:y val="4.6762589928057499E-2"/>
          <c:w val="0.83843941382327203"/>
          <c:h val="0.79740196805100605"/>
        </c:manualLayout>
      </c:layout>
      <c:lineChart>
        <c:grouping val="standard"/>
        <c:varyColors val="0"/>
        <c:ser>
          <c:idx val="0"/>
          <c:order val="0"/>
          <c:tx>
            <c:strRef>
              <c:f>'Strategi - Produktionoptimering'!$B$88</c:f>
              <c:strCache>
                <c:ptCount val="1"/>
                <c:pt idx="0">
                  <c:v>P(Q)</c:v>
                </c:pt>
              </c:strCache>
            </c:strRef>
          </c:tx>
          <c:spPr>
            <a:ln w="28575" cap="rnd">
              <a:solidFill>
                <a:schemeClr val="accent1"/>
              </a:solidFill>
              <a:round/>
            </a:ln>
            <a:effectLst/>
          </c:spPr>
          <c:marker>
            <c:symbol val="none"/>
          </c:marker>
          <c:cat>
            <c:numRef>
              <c:f>'Strategi - Produktionoptimering'!$A$89:$A$104</c:f>
              <c:numCache>
                <c:formatCode>_-* #,##0\ _k_r_._-;\-* #,##0\ _k_r_._-;_-* "-"??\ _k_r_._-;_-@_-</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'Strategi - Produktionoptimering'!$B$89:$B$104</c:f>
              <c:numCache>
                <c:formatCode>_-* #,##0\ _k_r_._-;\-* #,##0\ _k_r_._-;_-* "-"??\ _k_r_._-;_-@_-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CA6D-FF4D-AC7C-A0D414034F73}"/>
            </c:ext>
          </c:extLst>
        </c:ser>
        <c:ser>
          <c:idx val="1"/>
          <c:order val="1"/>
          <c:tx>
            <c:strRef>
              <c:f>'Strategi - Produktionoptimering'!$E$88</c:f>
              <c:strCache>
                <c:ptCount val="1"/>
                <c:pt idx="0">
                  <c:v>MR</c:v>
                </c:pt>
              </c:strCache>
            </c:strRef>
          </c:tx>
          <c:spPr>
            <a:ln w="28575" cap="rnd">
              <a:solidFill>
                <a:schemeClr val="accent2"/>
              </a:solidFill>
              <a:round/>
            </a:ln>
            <a:effectLst/>
          </c:spPr>
          <c:marker>
            <c:symbol val="none"/>
          </c:marker>
          <c:cat>
            <c:numRef>
              <c:f>'Strategi - Produktionoptimering'!$A$89:$A$104</c:f>
              <c:numCache>
                <c:formatCode>_-* #,##0\ _k_r_._-;\-* #,##0\ _k_r_._-;_-* "-"??\ _k_r_._-;_-@_-</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'Strategi - Produktionoptimering'!$E$89:$E$104</c:f>
              <c:numCache>
                <c:formatCode>_-* #,##0\ _k_r_._-;\-* #,##0\ _k_r_._-;_-* "-"??\ _k_r_._-;_-@_-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CA6D-FF4D-AC7C-A0D414034F73}"/>
            </c:ext>
          </c:extLst>
        </c:ser>
        <c:dLbls>
          <c:showLegendKey val="0"/>
          <c:showVal val="0"/>
          <c:showCatName val="0"/>
          <c:showSerName val="0"/>
          <c:showPercent val="0"/>
          <c:showBubbleSize val="0"/>
        </c:dLbls>
        <c:smooth val="0"/>
        <c:axId val="1468277392"/>
        <c:axId val="1468273920"/>
      </c:lineChart>
      <c:catAx>
        <c:axId val="1468277392"/>
        <c:scaling>
          <c:orientation val="minMax"/>
        </c:scaling>
        <c:delete val="0"/>
        <c:axPos val="b"/>
        <c:numFmt formatCode="_-* #,##0\ _k_r_._-;\-* #,##0\ _k_r_._-;_-* &quot;-&quot;??\ _k_r_.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a-DK"/>
          </a:p>
        </c:txPr>
        <c:crossAx val="1468273920"/>
        <c:crosses val="autoZero"/>
        <c:auto val="1"/>
        <c:lblAlgn val="ctr"/>
        <c:lblOffset val="100"/>
        <c:noMultiLvlLbl val="0"/>
      </c:catAx>
      <c:valAx>
        <c:axId val="1468273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_-* #,##0\ _k_r_._-;\-* #,##0\ _k_r_._-;_-* &quot;-&quot;??\ _k_r_.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68277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7</xdr:col>
      <xdr:colOff>63500</xdr:colOff>
      <xdr:row>71</xdr:row>
      <xdr:rowOff>50800</xdr:rowOff>
    </xdr:from>
    <xdr:to>
      <xdr:col>15</xdr:col>
      <xdr:colOff>558800</xdr:colOff>
      <xdr:row>85</xdr:row>
      <xdr:rowOff>63500</xdr:rowOff>
    </xdr:to>
    <xdr:graphicFrame macro="">
      <xdr:nvGraphicFramePr>
        <xdr:cNvPr id="2" name="Diagram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1505594</xdr:colOff>
      <xdr:row>71</xdr:row>
      <xdr:rowOff>63500</xdr:rowOff>
    </xdr:from>
    <xdr:to>
      <xdr:col>21</xdr:col>
      <xdr:colOff>527694</xdr:colOff>
      <xdr:row>85</xdr:row>
      <xdr:rowOff>76200</xdr:rowOff>
    </xdr:to>
    <xdr:graphicFrame macro="">
      <xdr:nvGraphicFramePr>
        <xdr:cNvPr id="3" name="Diagram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1989666</xdr:colOff>
      <xdr:row>179</xdr:row>
      <xdr:rowOff>12700</xdr:rowOff>
    </xdr:from>
    <xdr:to>
      <xdr:col>4</xdr:col>
      <xdr:colOff>643466</xdr:colOff>
      <xdr:row>192</xdr:row>
      <xdr:rowOff>114300</xdr:rowOff>
    </xdr:to>
    <xdr:graphicFrame macro="">
      <xdr:nvGraphicFramePr>
        <xdr:cNvPr id="5" name="Diagram 4">
          <a:extLst>
            <a:ext uri="{FF2B5EF4-FFF2-40B4-BE49-F238E27FC236}">
              <a16:creationId xmlns:a16="http://schemas.microsoft.com/office/drawing/2014/main" id="{BB7D60D5-243D-1043-9304-99889051AD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180</xdr:row>
      <xdr:rowOff>0</xdr:rowOff>
    </xdr:from>
    <xdr:to>
      <xdr:col>19</xdr:col>
      <xdr:colOff>736600</xdr:colOff>
      <xdr:row>193</xdr:row>
      <xdr:rowOff>101600</xdr:rowOff>
    </xdr:to>
    <xdr:graphicFrame macro="">
      <xdr:nvGraphicFramePr>
        <xdr:cNvPr id="6" name="Diagram 5">
          <a:extLst>
            <a:ext uri="{FF2B5EF4-FFF2-40B4-BE49-F238E27FC236}">
              <a16:creationId xmlns:a16="http://schemas.microsoft.com/office/drawing/2014/main" id="{D70C4C3E-B1E5-9140-B49E-2F9605AEA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6350</xdr:colOff>
      <xdr:row>87</xdr:row>
      <xdr:rowOff>50800</xdr:rowOff>
    </xdr:from>
    <xdr:to>
      <xdr:col>9</xdr:col>
      <xdr:colOff>450850</xdr:colOff>
      <xdr:row>100</xdr:row>
      <xdr:rowOff>152400</xdr:rowOff>
    </xdr:to>
    <xdr:graphicFrame macro="">
      <xdr:nvGraphicFramePr>
        <xdr:cNvPr id="3" name="Diagram 2">
          <a:extLst>
            <a:ext uri="{FF2B5EF4-FFF2-40B4-BE49-F238E27FC236}">
              <a16:creationId xmlns:a16="http://schemas.microsoft.com/office/drawing/2014/main" id="{531967F4-FECF-9843-BABC-9E1FCA1CB8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336550</xdr:colOff>
      <xdr:row>50</xdr:row>
      <xdr:rowOff>127000</xdr:rowOff>
    </xdr:from>
    <xdr:to>
      <xdr:col>10</xdr:col>
      <xdr:colOff>781050</xdr:colOff>
      <xdr:row>64</xdr:row>
      <xdr:rowOff>0</xdr:rowOff>
    </xdr:to>
    <xdr:graphicFrame macro="">
      <xdr:nvGraphicFramePr>
        <xdr:cNvPr id="4" name="Diagram 3">
          <a:extLst>
            <a:ext uri="{FF2B5EF4-FFF2-40B4-BE49-F238E27FC236}">
              <a16:creationId xmlns:a16="http://schemas.microsoft.com/office/drawing/2014/main" id="{43CE2CE3-BFED-A34A-A219-19BFD6E22B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703093</xdr:colOff>
      <xdr:row>143</xdr:row>
      <xdr:rowOff>2161</xdr:rowOff>
    </xdr:from>
    <xdr:to>
      <xdr:col>5</xdr:col>
      <xdr:colOff>635000</xdr:colOff>
      <xdr:row>160</xdr:row>
      <xdr:rowOff>0</xdr:rowOff>
    </xdr:to>
    <xdr:graphicFrame macro="">
      <xdr:nvGraphicFramePr>
        <xdr:cNvPr id="2" name="Diagram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382351</xdr:colOff>
      <xdr:row>104</xdr:row>
      <xdr:rowOff>201039</xdr:rowOff>
    </xdr:from>
    <xdr:to>
      <xdr:col>12</xdr:col>
      <xdr:colOff>662022</xdr:colOff>
      <xdr:row>122</xdr:row>
      <xdr:rowOff>148617</xdr:rowOff>
    </xdr:to>
    <xdr:graphicFrame macro="">
      <xdr:nvGraphicFramePr>
        <xdr:cNvPr id="3" name="Diagram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698500</xdr:colOff>
      <xdr:row>104</xdr:row>
      <xdr:rowOff>201037</xdr:rowOff>
    </xdr:from>
    <xdr:to>
      <xdr:col>5</xdr:col>
      <xdr:colOff>594468</xdr:colOff>
      <xdr:row>122</xdr:row>
      <xdr:rowOff>189147</xdr:rowOff>
    </xdr:to>
    <xdr:graphicFrame macro="">
      <xdr:nvGraphicFramePr>
        <xdr:cNvPr id="5" name="Diagram 4">
          <a:extLst>
            <a:ext uri="{FF2B5EF4-FFF2-40B4-BE49-F238E27FC236}">
              <a16:creationId xmlns:a16="http://schemas.microsoft.com/office/drawing/2014/main" id="{00000000-0008-0000-0E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405319</xdr:colOff>
      <xdr:row>124</xdr:row>
      <xdr:rowOff>0</xdr:rowOff>
    </xdr:from>
    <xdr:to>
      <xdr:col>12</xdr:col>
      <xdr:colOff>675533</xdr:colOff>
      <xdr:row>141</xdr:row>
      <xdr:rowOff>63500</xdr:rowOff>
    </xdr:to>
    <xdr:graphicFrame macro="">
      <xdr:nvGraphicFramePr>
        <xdr:cNvPr id="4" name="Diagram 3">
          <a:extLst>
            <a:ext uri="{FF2B5EF4-FFF2-40B4-BE49-F238E27FC236}">
              <a16:creationId xmlns:a16="http://schemas.microsoft.com/office/drawing/2014/main" id="{00000000-0008-0000-0E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688772</xdr:colOff>
      <xdr:row>123</xdr:row>
      <xdr:rowOff>201849</xdr:rowOff>
    </xdr:from>
    <xdr:to>
      <xdr:col>5</xdr:col>
      <xdr:colOff>608519</xdr:colOff>
      <xdr:row>141</xdr:row>
      <xdr:rowOff>100789</xdr:rowOff>
    </xdr:to>
    <xdr:graphicFrame macro="">
      <xdr:nvGraphicFramePr>
        <xdr:cNvPr id="6" name="Diagram 5">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459363</xdr:colOff>
      <xdr:row>143</xdr:row>
      <xdr:rowOff>4593</xdr:rowOff>
    </xdr:from>
    <xdr:to>
      <xdr:col>12</xdr:col>
      <xdr:colOff>689044</xdr:colOff>
      <xdr:row>160</xdr:row>
      <xdr:rowOff>0</xdr:rowOff>
    </xdr:to>
    <xdr:graphicFrame macro="">
      <xdr:nvGraphicFramePr>
        <xdr:cNvPr id="7" name="Diagram 6">
          <a:extLst>
            <a:ext uri="{FF2B5EF4-FFF2-40B4-BE49-F238E27FC236}">
              <a16:creationId xmlns:a16="http://schemas.microsoft.com/office/drawing/2014/main" id="{00000000-0008-0000-0E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ontor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87E60-BB7C-4768-BC06-22B5985469BF}">
  <dimension ref="A4:U86"/>
  <sheetViews>
    <sheetView topLeftCell="A9" zoomScale="70" zoomScaleNormal="70" workbookViewId="0">
      <selection activeCell="T8" sqref="T8"/>
    </sheetView>
  </sheetViews>
  <sheetFormatPr baseColWidth="10" defaultColWidth="8.83203125" defaultRowHeight="16" x14ac:dyDescent="0.2"/>
  <cols>
    <col min="1" max="1" width="23.33203125" customWidth="1"/>
    <col min="2" max="5" width="15.83203125"/>
    <col min="6" max="6" width="12.83203125" customWidth="1"/>
    <col min="7" max="7" width="15.83203125"/>
    <col min="8" max="8" width="19.5" customWidth="1"/>
    <col min="9" max="12" width="15.83203125"/>
    <col min="13" max="13" width="12.83203125" bestFit="1" customWidth="1"/>
    <col min="14" max="14" width="10.83203125" bestFit="1" customWidth="1"/>
    <col min="15" max="15" width="19.6640625" customWidth="1"/>
    <col min="16" max="16" width="12" customWidth="1"/>
    <col min="17" max="17" width="10.5" customWidth="1"/>
    <col min="18" max="18" width="12.6640625" customWidth="1"/>
    <col min="19" max="19" width="12.1640625" customWidth="1"/>
    <col min="20" max="20" width="12.83203125" bestFit="1" customWidth="1"/>
  </cols>
  <sheetData>
    <row r="4" spans="1:21" x14ac:dyDescent="0.2">
      <c r="A4" s="290"/>
      <c r="B4" s="290"/>
      <c r="C4" s="498"/>
      <c r="D4" s="290"/>
      <c r="E4" s="290"/>
      <c r="F4" s="290"/>
      <c r="G4" s="290"/>
      <c r="H4" s="290"/>
      <c r="I4" s="290"/>
      <c r="J4" s="290"/>
      <c r="K4" s="290"/>
      <c r="L4" s="290"/>
      <c r="M4" s="290"/>
      <c r="N4" s="290"/>
      <c r="O4" s="503" t="s">
        <v>741</v>
      </c>
      <c r="P4" s="290"/>
      <c r="Q4" s="290"/>
      <c r="R4" s="290"/>
      <c r="S4" s="290"/>
    </row>
    <row r="5" spans="1:21" x14ac:dyDescent="0.2">
      <c r="A5" s="499" t="s">
        <v>735</v>
      </c>
      <c r="B5" s="500" t="s">
        <v>736</v>
      </c>
      <c r="C5" s="498"/>
      <c r="D5" s="432" t="s">
        <v>767</v>
      </c>
      <c r="E5" s="531">
        <f>-PMT((B7/B9),B8*B9,B6)</f>
        <v>142050.97407951098</v>
      </c>
      <c r="F5" s="290"/>
      <c r="G5" s="290"/>
      <c r="H5" s="499" t="s">
        <v>735</v>
      </c>
      <c r="I5" s="500" t="s">
        <v>737</v>
      </c>
      <c r="J5" s="498"/>
      <c r="K5" s="290"/>
      <c r="L5" s="290"/>
      <c r="M5" s="290"/>
      <c r="N5" s="290"/>
      <c r="O5" s="499" t="s">
        <v>735</v>
      </c>
      <c r="P5" s="500" t="s">
        <v>738</v>
      </c>
      <c r="Q5" s="498"/>
      <c r="R5" s="290"/>
      <c r="S5" s="290"/>
    </row>
    <row r="6" spans="1:21" x14ac:dyDescent="0.2">
      <c r="A6" s="499" t="s">
        <v>113</v>
      </c>
      <c r="B6" s="208">
        <v>2500000</v>
      </c>
      <c r="C6" s="290" t="s">
        <v>769</v>
      </c>
      <c r="D6" s="130" t="s">
        <v>766</v>
      </c>
      <c r="E6" s="532">
        <f>IRR(F13:F33)</f>
        <v>1.2500000000000178E-2</v>
      </c>
      <c r="F6" s="290"/>
      <c r="G6" s="290"/>
      <c r="H6" s="499" t="s">
        <v>113</v>
      </c>
      <c r="I6" s="208">
        <v>3500000</v>
      </c>
      <c r="J6" s="290" t="s">
        <v>770</v>
      </c>
      <c r="K6" s="432" t="s">
        <v>768</v>
      </c>
      <c r="L6" s="531">
        <f>I6/(I8*I9)</f>
        <v>175000</v>
      </c>
      <c r="M6" s="290"/>
      <c r="N6" s="290"/>
      <c r="O6" s="499" t="s">
        <v>113</v>
      </c>
      <c r="P6" s="208">
        <v>2500000</v>
      </c>
      <c r="Q6" s="290" t="s">
        <v>114</v>
      </c>
      <c r="R6" s="290"/>
      <c r="S6" s="432"/>
      <c r="T6" s="531"/>
    </row>
    <row r="7" spans="1:21" x14ac:dyDescent="0.2">
      <c r="A7" s="499" t="s">
        <v>115</v>
      </c>
      <c r="B7" s="433">
        <v>0.05</v>
      </c>
      <c r="C7" s="290"/>
      <c r="F7" s="290"/>
      <c r="G7" s="290"/>
      <c r="H7" s="499" t="s">
        <v>115</v>
      </c>
      <c r="I7" s="433">
        <v>0.06</v>
      </c>
      <c r="J7" s="290"/>
      <c r="K7" s="130" t="s">
        <v>766</v>
      </c>
      <c r="L7" s="532">
        <f>IRR(M13:M33)</f>
        <v>1.5000000000000124E-2</v>
      </c>
      <c r="M7" s="290"/>
      <c r="N7" s="290"/>
      <c r="O7" s="499" t="s">
        <v>115</v>
      </c>
      <c r="P7" s="433">
        <v>7.0000000000000007E-2</v>
      </c>
      <c r="Q7" s="290"/>
      <c r="R7" s="290"/>
      <c r="S7" s="130" t="s">
        <v>766</v>
      </c>
      <c r="T7" s="532">
        <f>IRR(T13:T33)</f>
        <v>1.7500000000000071E-2</v>
      </c>
    </row>
    <row r="8" spans="1:21" x14ac:dyDescent="0.2">
      <c r="A8" s="499" t="s">
        <v>116</v>
      </c>
      <c r="B8" s="432">
        <v>5</v>
      </c>
      <c r="C8" s="290"/>
      <c r="F8" s="290"/>
      <c r="G8" s="290"/>
      <c r="H8" s="499" t="s">
        <v>116</v>
      </c>
      <c r="I8" s="432">
        <v>5</v>
      </c>
      <c r="J8" s="290"/>
      <c r="K8" t="s">
        <v>771</v>
      </c>
      <c r="L8" s="282">
        <f>L7*4</f>
        <v>6.0000000000000497E-2</v>
      </c>
      <c r="M8" s="290"/>
      <c r="N8" s="290"/>
      <c r="O8" s="499" t="s">
        <v>116</v>
      </c>
      <c r="P8" s="432">
        <v>5</v>
      </c>
      <c r="Q8" s="290"/>
      <c r="R8" s="290"/>
      <c r="S8" t="s">
        <v>771</v>
      </c>
      <c r="T8" s="282">
        <f>T7*4</f>
        <v>7.0000000000000284E-2</v>
      </c>
    </row>
    <row r="9" spans="1:21" x14ac:dyDescent="0.2">
      <c r="A9" s="499" t="s">
        <v>117</v>
      </c>
      <c r="B9" s="432">
        <v>4</v>
      </c>
      <c r="C9" s="290"/>
      <c r="D9" s="290"/>
      <c r="E9" s="290"/>
      <c r="F9" s="290"/>
      <c r="G9" s="290"/>
      <c r="H9" s="499" t="s">
        <v>117</v>
      </c>
      <c r="I9" s="432">
        <v>4</v>
      </c>
      <c r="J9" s="290"/>
      <c r="K9" s="290"/>
      <c r="L9" s="290"/>
      <c r="M9" s="290"/>
      <c r="N9" s="290"/>
      <c r="O9" s="499" t="s">
        <v>117</v>
      </c>
      <c r="P9" s="432">
        <v>4</v>
      </c>
      <c r="Q9" s="290"/>
      <c r="R9" s="290"/>
      <c r="S9" s="290"/>
    </row>
    <row r="10" spans="1:21" x14ac:dyDescent="0.2">
      <c r="A10" s="290"/>
      <c r="B10" s="290"/>
      <c r="C10" s="290"/>
      <c r="D10" s="290"/>
      <c r="E10" s="290"/>
      <c r="F10" s="290"/>
      <c r="G10" s="290"/>
      <c r="H10" s="290"/>
      <c r="I10" s="290"/>
      <c r="J10" s="290"/>
      <c r="K10" s="290"/>
      <c r="L10" s="290"/>
      <c r="M10" s="290"/>
      <c r="N10" s="290"/>
      <c r="O10" s="290"/>
      <c r="P10" s="290"/>
      <c r="Q10" s="290"/>
      <c r="R10" s="290"/>
      <c r="S10" s="290"/>
    </row>
    <row r="11" spans="1:21" x14ac:dyDescent="0.2">
      <c r="A11" s="290" t="s">
        <v>734</v>
      </c>
      <c r="B11" s="290"/>
      <c r="C11" s="290"/>
      <c r="D11" s="290"/>
      <c r="E11" s="290"/>
      <c r="F11" s="290"/>
      <c r="G11" s="290"/>
      <c r="H11" s="290" t="s">
        <v>739</v>
      </c>
      <c r="I11" s="290"/>
      <c r="J11" s="290"/>
      <c r="K11" s="290"/>
      <c r="L11" s="290"/>
      <c r="M11" s="290"/>
      <c r="N11" s="290"/>
      <c r="O11" s="290" t="s">
        <v>740</v>
      </c>
      <c r="P11" s="290"/>
      <c r="Q11" s="290"/>
      <c r="R11" s="290"/>
      <c r="S11" s="290"/>
    </row>
    <row r="12" spans="1:21" x14ac:dyDescent="0.2">
      <c r="A12" s="494" t="s">
        <v>118</v>
      </c>
      <c r="B12" s="494" t="s">
        <v>119</v>
      </c>
      <c r="C12" s="494" t="s">
        <v>120</v>
      </c>
      <c r="D12" s="494" t="s">
        <v>121</v>
      </c>
      <c r="E12" s="494" t="s">
        <v>122</v>
      </c>
      <c r="F12" s="494" t="s">
        <v>765</v>
      </c>
      <c r="H12" s="494" t="s">
        <v>118</v>
      </c>
      <c r="I12" s="494" t="s">
        <v>119</v>
      </c>
      <c r="J12" s="494" t="s">
        <v>120</v>
      </c>
      <c r="K12" s="494" t="s">
        <v>121</v>
      </c>
      <c r="L12" s="494" t="s">
        <v>122</v>
      </c>
      <c r="M12" s="494" t="s">
        <v>765</v>
      </c>
      <c r="N12" s="290"/>
      <c r="O12" s="494" t="s">
        <v>118</v>
      </c>
      <c r="P12" s="494" t="s">
        <v>119</v>
      </c>
      <c r="Q12" s="494" t="s">
        <v>120</v>
      </c>
      <c r="R12" s="494" t="s">
        <v>121</v>
      </c>
      <c r="S12" s="494" t="s">
        <v>122</v>
      </c>
      <c r="T12" s="494" t="s">
        <v>765</v>
      </c>
    </row>
    <row r="13" spans="1:21" x14ac:dyDescent="0.2">
      <c r="A13" s="165">
        <v>0</v>
      </c>
      <c r="B13" s="495">
        <f>B6</f>
        <v>2500000</v>
      </c>
      <c r="C13" s="496"/>
      <c r="D13" s="496"/>
      <c r="E13" s="497"/>
      <c r="F13" s="208">
        <f>B13</f>
        <v>2500000</v>
      </c>
      <c r="G13" t="s">
        <v>772</v>
      </c>
      <c r="H13" s="165">
        <v>0</v>
      </c>
      <c r="I13" s="495">
        <f>I6</f>
        <v>3500000</v>
      </c>
      <c r="J13" s="496"/>
      <c r="K13" s="496"/>
      <c r="L13" s="497"/>
      <c r="M13" s="533">
        <f>I13</f>
        <v>3500000</v>
      </c>
      <c r="N13" t="s">
        <v>772</v>
      </c>
      <c r="O13" s="165">
        <v>0</v>
      </c>
      <c r="P13" s="495">
        <f>P6</f>
        <v>2500000</v>
      </c>
      <c r="Q13" s="496"/>
      <c r="R13" s="496"/>
      <c r="S13" s="497"/>
      <c r="T13" s="533">
        <f>P13</f>
        <v>2500000</v>
      </c>
      <c r="U13" t="s">
        <v>772</v>
      </c>
    </row>
    <row r="14" spans="1:21" x14ac:dyDescent="0.2">
      <c r="A14" s="165">
        <v>1</v>
      </c>
      <c r="B14" s="495">
        <f>B13-D14</f>
        <v>2389199.0259204889</v>
      </c>
      <c r="C14" s="495">
        <f>B13*($B$7/$B$9)</f>
        <v>31250</v>
      </c>
      <c r="D14" s="495">
        <f>E14-C14</f>
        <v>110800.97407951098</v>
      </c>
      <c r="E14" s="495">
        <f t="shared" ref="E14:E33" si="0">$E$5</f>
        <v>142050.97407951098</v>
      </c>
      <c r="F14" s="530">
        <f t="shared" ref="F14:F33" si="1">-E14</f>
        <v>-142050.97407951098</v>
      </c>
      <c r="H14" s="165">
        <v>1</v>
      </c>
      <c r="I14" s="495">
        <f>I13-K14</f>
        <v>3325000</v>
      </c>
      <c r="J14" s="495">
        <f>I13*($I$7/$I$9)</f>
        <v>52500</v>
      </c>
      <c r="K14" s="495">
        <f>$I$6/(I8*I9)</f>
        <v>175000</v>
      </c>
      <c r="L14" s="495">
        <f t="shared" ref="L14:L33" si="2">J14+K14</f>
        <v>227500</v>
      </c>
      <c r="M14" s="495">
        <f>-L14</f>
        <v>-227500</v>
      </c>
      <c r="N14" s="290"/>
      <c r="O14" s="165">
        <v>1</v>
      </c>
      <c r="P14" s="495">
        <f>P13</f>
        <v>2500000</v>
      </c>
      <c r="Q14" s="495">
        <f>P13*($P$7/$P$9)</f>
        <v>43750.000000000007</v>
      </c>
      <c r="R14" s="502">
        <v>0</v>
      </c>
      <c r="S14" s="495">
        <f>Q14</f>
        <v>43750.000000000007</v>
      </c>
      <c r="T14" s="495">
        <f>-S14</f>
        <v>-43750.000000000007</v>
      </c>
    </row>
    <row r="15" spans="1:21" x14ac:dyDescent="0.2">
      <c r="A15" s="165">
        <v>2</v>
      </c>
      <c r="B15" s="495">
        <f>B14-D15</f>
        <v>2277013.0396649842</v>
      </c>
      <c r="C15" s="495">
        <f t="shared" ref="C15:C33" si="3">B14*($B$7/$B$9)</f>
        <v>29864.987824006112</v>
      </c>
      <c r="D15" s="495">
        <f t="shared" ref="D15:D33" si="4">E15-C15</f>
        <v>112185.98625550487</v>
      </c>
      <c r="E15" s="495">
        <f t="shared" si="0"/>
        <v>142050.97407951098</v>
      </c>
      <c r="F15" s="530">
        <f t="shared" si="1"/>
        <v>-142050.97407951098</v>
      </c>
      <c r="H15" s="165">
        <v>2</v>
      </c>
      <c r="I15" s="495">
        <f t="shared" ref="I15:I33" si="5">I14-K15</f>
        <v>3150000</v>
      </c>
      <c r="J15" s="495">
        <f t="shared" ref="J15:J33" si="6">I14*($I$7/$I$9)</f>
        <v>49875</v>
      </c>
      <c r="K15" s="495">
        <f>K14</f>
        <v>175000</v>
      </c>
      <c r="L15" s="495">
        <f t="shared" si="2"/>
        <v>224875</v>
      </c>
      <c r="M15" s="495">
        <f t="shared" ref="M15:M33" si="7">-L15</f>
        <v>-224875</v>
      </c>
      <c r="N15" s="290"/>
      <c r="O15" s="165">
        <v>2</v>
      </c>
      <c r="P15" s="495">
        <f t="shared" ref="P15:P32" si="8">P14</f>
        <v>2500000</v>
      </c>
      <c r="Q15" s="495">
        <f t="shared" ref="Q15:Q33" si="9">P14*($P$7/$P$9)</f>
        <v>43750.000000000007</v>
      </c>
      <c r="R15" s="502">
        <v>0</v>
      </c>
      <c r="S15" s="495">
        <f t="shared" ref="S15:S32" si="10">Q15</f>
        <v>43750.000000000007</v>
      </c>
      <c r="T15" s="495">
        <f t="shared" ref="T15:T33" si="11">-S15</f>
        <v>-43750.000000000007</v>
      </c>
    </row>
    <row r="16" spans="1:21" x14ac:dyDescent="0.2">
      <c r="A16" s="165">
        <v>3</v>
      </c>
      <c r="B16" s="495">
        <f t="shared" ref="B16:B33" si="12">B15-D16</f>
        <v>2163424.7285812856</v>
      </c>
      <c r="C16" s="495">
        <f t="shared" si="3"/>
        <v>28462.662995812305</v>
      </c>
      <c r="D16" s="495">
        <f t="shared" si="4"/>
        <v>113588.31108369867</v>
      </c>
      <c r="E16" s="495">
        <f t="shared" si="0"/>
        <v>142050.97407951098</v>
      </c>
      <c r="F16" s="530">
        <f t="shared" si="1"/>
        <v>-142050.97407951098</v>
      </c>
      <c r="H16" s="165">
        <v>3</v>
      </c>
      <c r="I16" s="495">
        <f t="shared" si="5"/>
        <v>2975000</v>
      </c>
      <c r="J16" s="495">
        <f t="shared" si="6"/>
        <v>47250</v>
      </c>
      <c r="K16" s="495">
        <f t="shared" ref="K16:K33" si="13">K15</f>
        <v>175000</v>
      </c>
      <c r="L16" s="495">
        <f t="shared" si="2"/>
        <v>222250</v>
      </c>
      <c r="M16" s="495">
        <f t="shared" si="7"/>
        <v>-222250</v>
      </c>
      <c r="N16" s="290"/>
      <c r="O16" s="165">
        <v>3</v>
      </c>
      <c r="P16" s="495">
        <f t="shared" si="8"/>
        <v>2500000</v>
      </c>
      <c r="Q16" s="495">
        <f t="shared" si="9"/>
        <v>43750.000000000007</v>
      </c>
      <c r="R16" s="502">
        <v>0</v>
      </c>
      <c r="S16" s="495">
        <f t="shared" si="10"/>
        <v>43750.000000000007</v>
      </c>
      <c r="T16" s="495">
        <f t="shared" si="11"/>
        <v>-43750.000000000007</v>
      </c>
    </row>
    <row r="17" spans="1:20" x14ac:dyDescent="0.2">
      <c r="A17" s="165">
        <v>4</v>
      </c>
      <c r="B17" s="495">
        <f t="shared" si="12"/>
        <v>2048416.5636090406</v>
      </c>
      <c r="C17" s="495">
        <f t="shared" si="3"/>
        <v>27042.809107266072</v>
      </c>
      <c r="D17" s="495">
        <f t="shared" si="4"/>
        <v>115008.16497224491</v>
      </c>
      <c r="E17" s="495">
        <f t="shared" si="0"/>
        <v>142050.97407951098</v>
      </c>
      <c r="F17" s="530">
        <f t="shared" si="1"/>
        <v>-142050.97407951098</v>
      </c>
      <c r="H17" s="165">
        <v>4</v>
      </c>
      <c r="I17" s="495">
        <f t="shared" si="5"/>
        <v>2800000</v>
      </c>
      <c r="J17" s="495">
        <f t="shared" si="6"/>
        <v>44625</v>
      </c>
      <c r="K17" s="495">
        <f t="shared" si="13"/>
        <v>175000</v>
      </c>
      <c r="L17" s="495">
        <f t="shared" si="2"/>
        <v>219625</v>
      </c>
      <c r="M17" s="495">
        <f t="shared" si="7"/>
        <v>-219625</v>
      </c>
      <c r="N17" s="290"/>
      <c r="O17" s="165">
        <v>4</v>
      </c>
      <c r="P17" s="495">
        <f t="shared" si="8"/>
        <v>2500000</v>
      </c>
      <c r="Q17" s="495">
        <f t="shared" si="9"/>
        <v>43750.000000000007</v>
      </c>
      <c r="R17" s="502">
        <v>0</v>
      </c>
      <c r="S17" s="495">
        <f t="shared" si="10"/>
        <v>43750.000000000007</v>
      </c>
      <c r="T17" s="495">
        <f t="shared" si="11"/>
        <v>-43750.000000000007</v>
      </c>
    </row>
    <row r="18" spans="1:20" x14ac:dyDescent="0.2">
      <c r="A18" s="165">
        <v>5</v>
      </c>
      <c r="B18" s="495">
        <f t="shared" si="12"/>
        <v>1931970.7965746426</v>
      </c>
      <c r="C18" s="495">
        <f t="shared" si="3"/>
        <v>25605.207045113009</v>
      </c>
      <c r="D18" s="495">
        <f t="shared" si="4"/>
        <v>116445.76703439797</v>
      </c>
      <c r="E18" s="495">
        <f t="shared" si="0"/>
        <v>142050.97407951098</v>
      </c>
      <c r="F18" s="530">
        <f t="shared" si="1"/>
        <v>-142050.97407951098</v>
      </c>
      <c r="H18" s="165">
        <v>5</v>
      </c>
      <c r="I18" s="495">
        <f t="shared" si="5"/>
        <v>2625000</v>
      </c>
      <c r="J18" s="495">
        <f t="shared" si="6"/>
        <v>42000</v>
      </c>
      <c r="K18" s="495">
        <f t="shared" si="13"/>
        <v>175000</v>
      </c>
      <c r="L18" s="495">
        <f t="shared" si="2"/>
        <v>217000</v>
      </c>
      <c r="M18" s="495">
        <f t="shared" si="7"/>
        <v>-217000</v>
      </c>
      <c r="N18" s="290"/>
      <c r="O18" s="165">
        <v>5</v>
      </c>
      <c r="P18" s="495">
        <f t="shared" si="8"/>
        <v>2500000</v>
      </c>
      <c r="Q18" s="495">
        <f t="shared" si="9"/>
        <v>43750.000000000007</v>
      </c>
      <c r="R18" s="502">
        <v>0</v>
      </c>
      <c r="S18" s="495">
        <f t="shared" si="10"/>
        <v>43750.000000000007</v>
      </c>
      <c r="T18" s="495">
        <f t="shared" si="11"/>
        <v>-43750.000000000007</v>
      </c>
    </row>
    <row r="19" spans="1:20" x14ac:dyDescent="0.2">
      <c r="A19" s="165">
        <v>6</v>
      </c>
      <c r="B19" s="495">
        <f t="shared" si="12"/>
        <v>1814069.4574523147</v>
      </c>
      <c r="C19" s="495">
        <f t="shared" si="3"/>
        <v>24149.634957183036</v>
      </c>
      <c r="D19" s="495">
        <f t="shared" si="4"/>
        <v>117901.33912232795</v>
      </c>
      <c r="E19" s="495">
        <f t="shared" si="0"/>
        <v>142050.97407951098</v>
      </c>
      <c r="F19" s="530">
        <f t="shared" si="1"/>
        <v>-142050.97407951098</v>
      </c>
      <c r="H19" s="165">
        <v>6</v>
      </c>
      <c r="I19" s="495">
        <f t="shared" si="5"/>
        <v>2450000</v>
      </c>
      <c r="J19" s="495">
        <f t="shared" si="6"/>
        <v>39375</v>
      </c>
      <c r="K19" s="495">
        <f t="shared" si="13"/>
        <v>175000</v>
      </c>
      <c r="L19" s="495">
        <f t="shared" si="2"/>
        <v>214375</v>
      </c>
      <c r="M19" s="495">
        <f t="shared" si="7"/>
        <v>-214375</v>
      </c>
      <c r="N19" s="290"/>
      <c r="O19" s="165">
        <v>6</v>
      </c>
      <c r="P19" s="495">
        <f t="shared" si="8"/>
        <v>2500000</v>
      </c>
      <c r="Q19" s="495">
        <f t="shared" si="9"/>
        <v>43750.000000000007</v>
      </c>
      <c r="R19" s="502">
        <v>0</v>
      </c>
      <c r="S19" s="495">
        <f t="shared" si="10"/>
        <v>43750.000000000007</v>
      </c>
      <c r="T19" s="495">
        <f t="shared" si="11"/>
        <v>-43750.000000000007</v>
      </c>
    </row>
    <row r="20" spans="1:20" x14ac:dyDescent="0.2">
      <c r="A20" s="165">
        <v>7</v>
      </c>
      <c r="B20" s="495">
        <f t="shared" si="12"/>
        <v>1694694.3515909577</v>
      </c>
      <c r="C20" s="495">
        <f t="shared" si="3"/>
        <v>22675.868218153933</v>
      </c>
      <c r="D20" s="495">
        <f t="shared" si="4"/>
        <v>119375.10586135705</v>
      </c>
      <c r="E20" s="495">
        <f t="shared" si="0"/>
        <v>142050.97407951098</v>
      </c>
      <c r="F20" s="530">
        <f t="shared" si="1"/>
        <v>-142050.97407951098</v>
      </c>
      <c r="H20" s="165">
        <v>7</v>
      </c>
      <c r="I20" s="495">
        <f t="shared" si="5"/>
        <v>2275000</v>
      </c>
      <c r="J20" s="495">
        <f t="shared" si="6"/>
        <v>36750</v>
      </c>
      <c r="K20" s="495">
        <f t="shared" si="13"/>
        <v>175000</v>
      </c>
      <c r="L20" s="495">
        <f t="shared" si="2"/>
        <v>211750</v>
      </c>
      <c r="M20" s="495">
        <f t="shared" si="7"/>
        <v>-211750</v>
      </c>
      <c r="N20" s="290"/>
      <c r="O20" s="165">
        <v>7</v>
      </c>
      <c r="P20" s="495">
        <f t="shared" si="8"/>
        <v>2500000</v>
      </c>
      <c r="Q20" s="495">
        <f t="shared" si="9"/>
        <v>43750.000000000007</v>
      </c>
      <c r="R20" s="502">
        <v>0</v>
      </c>
      <c r="S20" s="495">
        <f t="shared" si="10"/>
        <v>43750.000000000007</v>
      </c>
      <c r="T20" s="495">
        <f t="shared" si="11"/>
        <v>-43750.000000000007</v>
      </c>
    </row>
    <row r="21" spans="1:20" x14ac:dyDescent="0.2">
      <c r="A21" s="165">
        <v>8</v>
      </c>
      <c r="B21" s="495">
        <f t="shared" si="12"/>
        <v>1573827.0569063337</v>
      </c>
      <c r="C21" s="495">
        <f t="shared" si="3"/>
        <v>21183.679394886974</v>
      </c>
      <c r="D21" s="495">
        <f t="shared" si="4"/>
        <v>120867.29468462401</v>
      </c>
      <c r="E21" s="495">
        <f t="shared" si="0"/>
        <v>142050.97407951098</v>
      </c>
      <c r="F21" s="530">
        <f t="shared" si="1"/>
        <v>-142050.97407951098</v>
      </c>
      <c r="H21" s="165">
        <v>8</v>
      </c>
      <c r="I21" s="495">
        <f t="shared" si="5"/>
        <v>2100000</v>
      </c>
      <c r="J21" s="495">
        <f t="shared" si="6"/>
        <v>34125</v>
      </c>
      <c r="K21" s="495">
        <f t="shared" si="13"/>
        <v>175000</v>
      </c>
      <c r="L21" s="495">
        <f t="shared" si="2"/>
        <v>209125</v>
      </c>
      <c r="M21" s="495">
        <f t="shared" si="7"/>
        <v>-209125</v>
      </c>
      <c r="N21" s="290"/>
      <c r="O21" s="165">
        <v>8</v>
      </c>
      <c r="P21" s="495">
        <f t="shared" si="8"/>
        <v>2500000</v>
      </c>
      <c r="Q21" s="495">
        <f t="shared" si="9"/>
        <v>43750.000000000007</v>
      </c>
      <c r="R21" s="502">
        <v>0</v>
      </c>
      <c r="S21" s="495">
        <f t="shared" si="10"/>
        <v>43750.000000000007</v>
      </c>
      <c r="T21" s="495">
        <f t="shared" si="11"/>
        <v>-43750.000000000007</v>
      </c>
    </row>
    <row r="22" spans="1:20" x14ac:dyDescent="0.2">
      <c r="A22" s="165">
        <v>9</v>
      </c>
      <c r="B22" s="495">
        <f t="shared" si="12"/>
        <v>1451448.921038152</v>
      </c>
      <c r="C22" s="495">
        <f t="shared" si="3"/>
        <v>19672.838211329174</v>
      </c>
      <c r="D22" s="495">
        <f t="shared" si="4"/>
        <v>122378.13586818181</v>
      </c>
      <c r="E22" s="495">
        <f t="shared" si="0"/>
        <v>142050.97407951098</v>
      </c>
      <c r="F22" s="530">
        <f t="shared" si="1"/>
        <v>-142050.97407951098</v>
      </c>
      <c r="H22" s="165">
        <v>9</v>
      </c>
      <c r="I22" s="495">
        <f t="shared" si="5"/>
        <v>1925000</v>
      </c>
      <c r="J22" s="495">
        <f t="shared" si="6"/>
        <v>31500</v>
      </c>
      <c r="K22" s="495">
        <f t="shared" si="13"/>
        <v>175000</v>
      </c>
      <c r="L22" s="495">
        <f t="shared" si="2"/>
        <v>206500</v>
      </c>
      <c r="M22" s="495">
        <f t="shared" si="7"/>
        <v>-206500</v>
      </c>
      <c r="N22" s="290"/>
      <c r="O22" s="165">
        <v>9</v>
      </c>
      <c r="P22" s="495">
        <f t="shared" si="8"/>
        <v>2500000</v>
      </c>
      <c r="Q22" s="495">
        <f t="shared" si="9"/>
        <v>43750.000000000007</v>
      </c>
      <c r="R22" s="502">
        <v>0</v>
      </c>
      <c r="S22" s="495">
        <f t="shared" si="10"/>
        <v>43750.000000000007</v>
      </c>
      <c r="T22" s="495">
        <f t="shared" si="11"/>
        <v>-43750.000000000007</v>
      </c>
    </row>
    <row r="23" spans="1:20" x14ac:dyDescent="0.2">
      <c r="A23" s="165">
        <v>10</v>
      </c>
      <c r="B23" s="495">
        <f t="shared" si="12"/>
        <v>1327541.0584716178</v>
      </c>
      <c r="C23" s="495">
        <f t="shared" si="3"/>
        <v>18143.111512976899</v>
      </c>
      <c r="D23" s="495">
        <f t="shared" si="4"/>
        <v>123907.86256653408</v>
      </c>
      <c r="E23" s="495">
        <f t="shared" si="0"/>
        <v>142050.97407951098</v>
      </c>
      <c r="F23" s="530">
        <f t="shared" si="1"/>
        <v>-142050.97407951098</v>
      </c>
      <c r="H23" s="165">
        <v>10</v>
      </c>
      <c r="I23" s="495">
        <f t="shared" si="5"/>
        <v>1750000</v>
      </c>
      <c r="J23" s="495">
        <f t="shared" si="6"/>
        <v>28875</v>
      </c>
      <c r="K23" s="495">
        <f t="shared" si="13"/>
        <v>175000</v>
      </c>
      <c r="L23" s="495">
        <f t="shared" si="2"/>
        <v>203875</v>
      </c>
      <c r="M23" s="495">
        <f t="shared" si="7"/>
        <v>-203875</v>
      </c>
      <c r="N23" s="290"/>
      <c r="O23" s="165">
        <v>10</v>
      </c>
      <c r="P23" s="495">
        <f t="shared" si="8"/>
        <v>2500000</v>
      </c>
      <c r="Q23" s="495">
        <f t="shared" si="9"/>
        <v>43750.000000000007</v>
      </c>
      <c r="R23" s="502">
        <v>0</v>
      </c>
      <c r="S23" s="495">
        <f t="shared" si="10"/>
        <v>43750.000000000007</v>
      </c>
      <c r="T23" s="495">
        <f t="shared" si="11"/>
        <v>-43750.000000000007</v>
      </c>
    </row>
    <row r="24" spans="1:20" x14ac:dyDescent="0.2">
      <c r="A24" s="165">
        <v>11</v>
      </c>
      <c r="B24" s="495">
        <f t="shared" si="12"/>
        <v>1202084.347623002</v>
      </c>
      <c r="C24" s="495">
        <f t="shared" si="3"/>
        <v>16594.263230895223</v>
      </c>
      <c r="D24" s="495">
        <f t="shared" si="4"/>
        <v>125456.71084861577</v>
      </c>
      <c r="E24" s="495">
        <f t="shared" si="0"/>
        <v>142050.97407951098</v>
      </c>
      <c r="F24" s="530">
        <f t="shared" si="1"/>
        <v>-142050.97407951098</v>
      </c>
      <c r="H24" s="165">
        <v>11</v>
      </c>
      <c r="I24" s="495">
        <f t="shared" si="5"/>
        <v>1575000</v>
      </c>
      <c r="J24" s="495">
        <f t="shared" si="6"/>
        <v>26250</v>
      </c>
      <c r="K24" s="495">
        <f t="shared" si="13"/>
        <v>175000</v>
      </c>
      <c r="L24" s="495">
        <f t="shared" si="2"/>
        <v>201250</v>
      </c>
      <c r="M24" s="495">
        <f t="shared" si="7"/>
        <v>-201250</v>
      </c>
      <c r="N24" s="290"/>
      <c r="O24" s="165">
        <v>11</v>
      </c>
      <c r="P24" s="495">
        <f t="shared" si="8"/>
        <v>2500000</v>
      </c>
      <c r="Q24" s="495">
        <f t="shared" si="9"/>
        <v>43750.000000000007</v>
      </c>
      <c r="R24" s="502">
        <v>0</v>
      </c>
      <c r="S24" s="495">
        <f t="shared" si="10"/>
        <v>43750.000000000007</v>
      </c>
      <c r="T24" s="495">
        <f t="shared" si="11"/>
        <v>-43750.000000000007</v>
      </c>
    </row>
    <row r="25" spans="1:20" x14ac:dyDescent="0.2">
      <c r="A25" s="165">
        <v>12</v>
      </c>
      <c r="B25" s="495">
        <f t="shared" si="12"/>
        <v>1075059.4278887785</v>
      </c>
      <c r="C25" s="495">
        <f t="shared" si="3"/>
        <v>15026.054345287526</v>
      </c>
      <c r="D25" s="495">
        <f t="shared" si="4"/>
        <v>127024.91973422345</v>
      </c>
      <c r="E25" s="495">
        <f t="shared" si="0"/>
        <v>142050.97407951098</v>
      </c>
      <c r="F25" s="530">
        <f t="shared" si="1"/>
        <v>-142050.97407951098</v>
      </c>
      <c r="H25" s="165">
        <v>12</v>
      </c>
      <c r="I25" s="495">
        <f t="shared" si="5"/>
        <v>1400000</v>
      </c>
      <c r="J25" s="495">
        <f t="shared" si="6"/>
        <v>23625</v>
      </c>
      <c r="K25" s="495">
        <f t="shared" si="13"/>
        <v>175000</v>
      </c>
      <c r="L25" s="495">
        <f t="shared" si="2"/>
        <v>198625</v>
      </c>
      <c r="M25" s="495">
        <f t="shared" si="7"/>
        <v>-198625</v>
      </c>
      <c r="N25" s="290"/>
      <c r="O25" s="165">
        <v>12</v>
      </c>
      <c r="P25" s="495">
        <f t="shared" si="8"/>
        <v>2500000</v>
      </c>
      <c r="Q25" s="495">
        <f t="shared" si="9"/>
        <v>43750.000000000007</v>
      </c>
      <c r="R25" s="502">
        <v>0</v>
      </c>
      <c r="S25" s="495">
        <f t="shared" si="10"/>
        <v>43750.000000000007</v>
      </c>
      <c r="T25" s="495">
        <f t="shared" si="11"/>
        <v>-43750.000000000007</v>
      </c>
    </row>
    <row r="26" spans="1:20" x14ac:dyDescent="0.2">
      <c r="A26" s="165">
        <v>13</v>
      </c>
      <c r="B26" s="495">
        <f t="shared" si="12"/>
        <v>946446.6966578773</v>
      </c>
      <c r="C26" s="495">
        <f t="shared" si="3"/>
        <v>13438.242848609732</v>
      </c>
      <c r="D26" s="495">
        <f t="shared" si="4"/>
        <v>128612.73123090125</v>
      </c>
      <c r="E26" s="495">
        <f t="shared" si="0"/>
        <v>142050.97407951098</v>
      </c>
      <c r="F26" s="530">
        <f t="shared" si="1"/>
        <v>-142050.97407951098</v>
      </c>
      <c r="H26" s="165">
        <v>13</v>
      </c>
      <c r="I26" s="495">
        <f t="shared" si="5"/>
        <v>1225000</v>
      </c>
      <c r="J26" s="495">
        <f t="shared" si="6"/>
        <v>21000</v>
      </c>
      <c r="K26" s="495">
        <f t="shared" si="13"/>
        <v>175000</v>
      </c>
      <c r="L26" s="495">
        <f t="shared" si="2"/>
        <v>196000</v>
      </c>
      <c r="M26" s="495">
        <f t="shared" si="7"/>
        <v>-196000</v>
      </c>
      <c r="N26" s="290"/>
      <c r="O26" s="165">
        <v>13</v>
      </c>
      <c r="P26" s="495">
        <f t="shared" si="8"/>
        <v>2500000</v>
      </c>
      <c r="Q26" s="495">
        <f t="shared" si="9"/>
        <v>43750.000000000007</v>
      </c>
      <c r="R26" s="502">
        <v>0</v>
      </c>
      <c r="S26" s="495">
        <f t="shared" si="10"/>
        <v>43750.000000000007</v>
      </c>
      <c r="T26" s="495">
        <f t="shared" si="11"/>
        <v>-43750.000000000007</v>
      </c>
    </row>
    <row r="27" spans="1:20" x14ac:dyDescent="0.2">
      <c r="A27" s="165">
        <v>14</v>
      </c>
      <c r="B27" s="495">
        <f t="shared" si="12"/>
        <v>816226.30628658982</v>
      </c>
      <c r="C27" s="495">
        <f t="shared" si="3"/>
        <v>11830.583708223467</v>
      </c>
      <c r="D27" s="495">
        <f t="shared" si="4"/>
        <v>130220.39037128752</v>
      </c>
      <c r="E27" s="495">
        <f t="shared" si="0"/>
        <v>142050.97407951098</v>
      </c>
      <c r="F27" s="530">
        <f t="shared" si="1"/>
        <v>-142050.97407951098</v>
      </c>
      <c r="H27" s="165">
        <v>14</v>
      </c>
      <c r="I27" s="495">
        <f t="shared" si="5"/>
        <v>1050000</v>
      </c>
      <c r="J27" s="495">
        <f t="shared" si="6"/>
        <v>18375</v>
      </c>
      <c r="K27" s="495">
        <f t="shared" si="13"/>
        <v>175000</v>
      </c>
      <c r="L27" s="495">
        <f t="shared" si="2"/>
        <v>193375</v>
      </c>
      <c r="M27" s="495">
        <f t="shared" si="7"/>
        <v>-193375</v>
      </c>
      <c r="N27" s="290"/>
      <c r="O27" s="165">
        <v>14</v>
      </c>
      <c r="P27" s="495">
        <f t="shared" si="8"/>
        <v>2500000</v>
      </c>
      <c r="Q27" s="495">
        <f t="shared" si="9"/>
        <v>43750.000000000007</v>
      </c>
      <c r="R27" s="502">
        <v>0</v>
      </c>
      <c r="S27" s="495">
        <f t="shared" si="10"/>
        <v>43750.000000000007</v>
      </c>
      <c r="T27" s="495">
        <f t="shared" si="11"/>
        <v>-43750.000000000007</v>
      </c>
    </row>
    <row r="28" spans="1:20" x14ac:dyDescent="0.2">
      <c r="A28" s="165">
        <v>15</v>
      </c>
      <c r="B28" s="495">
        <f t="shared" si="12"/>
        <v>684378.16103566124</v>
      </c>
      <c r="C28" s="495">
        <f t="shared" si="3"/>
        <v>10202.828828582373</v>
      </c>
      <c r="D28" s="495">
        <f t="shared" si="4"/>
        <v>131848.14525092862</v>
      </c>
      <c r="E28" s="495">
        <f t="shared" si="0"/>
        <v>142050.97407951098</v>
      </c>
      <c r="F28" s="530">
        <f t="shared" si="1"/>
        <v>-142050.97407951098</v>
      </c>
      <c r="H28" s="165">
        <v>15</v>
      </c>
      <c r="I28" s="495">
        <f t="shared" si="5"/>
        <v>875000</v>
      </c>
      <c r="J28" s="495">
        <f t="shared" si="6"/>
        <v>15750</v>
      </c>
      <c r="K28" s="495">
        <f t="shared" si="13"/>
        <v>175000</v>
      </c>
      <c r="L28" s="495">
        <f t="shared" si="2"/>
        <v>190750</v>
      </c>
      <c r="M28" s="495">
        <f t="shared" si="7"/>
        <v>-190750</v>
      </c>
      <c r="N28" s="290"/>
      <c r="O28" s="165">
        <v>15</v>
      </c>
      <c r="P28" s="495">
        <f t="shared" si="8"/>
        <v>2500000</v>
      </c>
      <c r="Q28" s="495">
        <f t="shared" si="9"/>
        <v>43750.000000000007</v>
      </c>
      <c r="R28" s="502">
        <v>0</v>
      </c>
      <c r="S28" s="495">
        <f t="shared" si="10"/>
        <v>43750.000000000007</v>
      </c>
      <c r="T28" s="495">
        <f t="shared" si="11"/>
        <v>-43750.000000000007</v>
      </c>
    </row>
    <row r="29" spans="1:20" x14ac:dyDescent="0.2">
      <c r="A29" s="165">
        <v>16</v>
      </c>
      <c r="B29" s="495">
        <f t="shared" si="12"/>
        <v>550881.91396909603</v>
      </c>
      <c r="C29" s="495">
        <f t="shared" si="3"/>
        <v>8554.7270129457665</v>
      </c>
      <c r="D29" s="495">
        <f t="shared" si="4"/>
        <v>133496.24706656521</v>
      </c>
      <c r="E29" s="495">
        <f t="shared" si="0"/>
        <v>142050.97407951098</v>
      </c>
      <c r="F29" s="530">
        <f t="shared" si="1"/>
        <v>-142050.97407951098</v>
      </c>
      <c r="H29" s="165">
        <v>16</v>
      </c>
      <c r="I29" s="495">
        <f t="shared" si="5"/>
        <v>700000</v>
      </c>
      <c r="J29" s="495">
        <f t="shared" si="6"/>
        <v>13125</v>
      </c>
      <c r="K29" s="495">
        <f t="shared" si="13"/>
        <v>175000</v>
      </c>
      <c r="L29" s="495">
        <f t="shared" si="2"/>
        <v>188125</v>
      </c>
      <c r="M29" s="495">
        <f t="shared" si="7"/>
        <v>-188125</v>
      </c>
      <c r="N29" s="290"/>
      <c r="O29" s="165">
        <v>16</v>
      </c>
      <c r="P29" s="495">
        <f t="shared" si="8"/>
        <v>2500000</v>
      </c>
      <c r="Q29" s="495">
        <f t="shared" si="9"/>
        <v>43750.000000000007</v>
      </c>
      <c r="R29" s="502">
        <v>0</v>
      </c>
      <c r="S29" s="495">
        <f t="shared" si="10"/>
        <v>43750.000000000007</v>
      </c>
      <c r="T29" s="495">
        <f t="shared" si="11"/>
        <v>-43750.000000000007</v>
      </c>
    </row>
    <row r="30" spans="1:20" x14ac:dyDescent="0.2">
      <c r="A30" s="165">
        <v>17</v>
      </c>
      <c r="B30" s="495">
        <f t="shared" si="12"/>
        <v>415716.96381419874</v>
      </c>
      <c r="C30" s="495">
        <f t="shared" si="3"/>
        <v>6886.0239246137007</v>
      </c>
      <c r="D30" s="495">
        <f t="shared" si="4"/>
        <v>135164.95015489729</v>
      </c>
      <c r="E30" s="495">
        <f t="shared" si="0"/>
        <v>142050.97407951098</v>
      </c>
      <c r="F30" s="530">
        <f t="shared" si="1"/>
        <v>-142050.97407951098</v>
      </c>
      <c r="H30" s="165">
        <v>17</v>
      </c>
      <c r="I30" s="495">
        <f t="shared" si="5"/>
        <v>525000</v>
      </c>
      <c r="J30" s="495">
        <f t="shared" si="6"/>
        <v>10500</v>
      </c>
      <c r="K30" s="495">
        <f t="shared" si="13"/>
        <v>175000</v>
      </c>
      <c r="L30" s="495">
        <f t="shared" si="2"/>
        <v>185500</v>
      </c>
      <c r="M30" s="495">
        <f t="shared" si="7"/>
        <v>-185500</v>
      </c>
      <c r="N30" s="290"/>
      <c r="O30" s="165">
        <v>17</v>
      </c>
      <c r="P30" s="495">
        <f t="shared" si="8"/>
        <v>2500000</v>
      </c>
      <c r="Q30" s="495">
        <f t="shared" si="9"/>
        <v>43750.000000000007</v>
      </c>
      <c r="R30" s="502">
        <v>0</v>
      </c>
      <c r="S30" s="495">
        <f t="shared" si="10"/>
        <v>43750.000000000007</v>
      </c>
      <c r="T30" s="495">
        <f t="shared" si="11"/>
        <v>-43750.000000000007</v>
      </c>
    </row>
    <row r="31" spans="1:20" x14ac:dyDescent="0.2">
      <c r="A31" s="165">
        <v>18</v>
      </c>
      <c r="B31" s="495">
        <f t="shared" si="12"/>
        <v>278862.45178236521</v>
      </c>
      <c r="C31" s="495">
        <f t="shared" si="3"/>
        <v>5196.4620476774844</v>
      </c>
      <c r="D31" s="495">
        <f t="shared" si="4"/>
        <v>136854.5120318335</v>
      </c>
      <c r="E31" s="495">
        <f t="shared" si="0"/>
        <v>142050.97407951098</v>
      </c>
      <c r="F31" s="530">
        <f t="shared" si="1"/>
        <v>-142050.97407951098</v>
      </c>
      <c r="H31" s="165">
        <v>18</v>
      </c>
      <c r="I31" s="495">
        <f t="shared" si="5"/>
        <v>350000</v>
      </c>
      <c r="J31" s="495">
        <f t="shared" si="6"/>
        <v>7875</v>
      </c>
      <c r="K31" s="495">
        <f t="shared" si="13"/>
        <v>175000</v>
      </c>
      <c r="L31" s="495">
        <f t="shared" si="2"/>
        <v>182875</v>
      </c>
      <c r="M31" s="495">
        <f t="shared" si="7"/>
        <v>-182875</v>
      </c>
      <c r="N31" s="290"/>
      <c r="O31" s="165">
        <v>18</v>
      </c>
      <c r="P31" s="495">
        <f t="shared" si="8"/>
        <v>2500000</v>
      </c>
      <c r="Q31" s="495">
        <f t="shared" si="9"/>
        <v>43750.000000000007</v>
      </c>
      <c r="R31" s="502">
        <v>0</v>
      </c>
      <c r="S31" s="495">
        <f t="shared" si="10"/>
        <v>43750.000000000007</v>
      </c>
      <c r="T31" s="495">
        <f t="shared" si="11"/>
        <v>-43750.000000000007</v>
      </c>
    </row>
    <row r="32" spans="1:20" x14ac:dyDescent="0.2">
      <c r="A32" s="165">
        <v>19</v>
      </c>
      <c r="B32" s="495">
        <f t="shared" si="12"/>
        <v>140297.25835013381</v>
      </c>
      <c r="C32" s="495">
        <f t="shared" si="3"/>
        <v>3485.7806472795655</v>
      </c>
      <c r="D32" s="495">
        <f t="shared" si="4"/>
        <v>138565.1934322314</v>
      </c>
      <c r="E32" s="495">
        <f t="shared" si="0"/>
        <v>142050.97407951098</v>
      </c>
      <c r="F32" s="530">
        <f t="shared" si="1"/>
        <v>-142050.97407951098</v>
      </c>
      <c r="H32" s="165">
        <v>19</v>
      </c>
      <c r="I32" s="495">
        <f t="shared" si="5"/>
        <v>175000</v>
      </c>
      <c r="J32" s="495">
        <f t="shared" si="6"/>
        <v>5250</v>
      </c>
      <c r="K32" s="495">
        <f t="shared" si="13"/>
        <v>175000</v>
      </c>
      <c r="L32" s="495">
        <f t="shared" si="2"/>
        <v>180250</v>
      </c>
      <c r="M32" s="495">
        <f t="shared" si="7"/>
        <v>-180250</v>
      </c>
      <c r="N32" s="290"/>
      <c r="O32" s="165">
        <v>19</v>
      </c>
      <c r="P32" s="495">
        <f t="shared" si="8"/>
        <v>2500000</v>
      </c>
      <c r="Q32" s="495">
        <f t="shared" si="9"/>
        <v>43750.000000000007</v>
      </c>
      <c r="R32" s="502">
        <v>0</v>
      </c>
      <c r="S32" s="495">
        <f t="shared" si="10"/>
        <v>43750.000000000007</v>
      </c>
      <c r="T32" s="495">
        <f t="shared" si="11"/>
        <v>-43750.000000000007</v>
      </c>
    </row>
    <row r="33" spans="1:20" x14ac:dyDescent="0.2">
      <c r="A33" s="165">
        <v>20</v>
      </c>
      <c r="B33" s="495">
        <f t="shared" si="12"/>
        <v>-4.9476511776447296E-10</v>
      </c>
      <c r="C33" s="495">
        <f t="shared" si="3"/>
        <v>1753.7157293766727</v>
      </c>
      <c r="D33" s="495">
        <f t="shared" si="4"/>
        <v>140297.2583501343</v>
      </c>
      <c r="E33" s="495">
        <f t="shared" si="0"/>
        <v>142050.97407951098</v>
      </c>
      <c r="F33" s="530">
        <f t="shared" si="1"/>
        <v>-142050.97407951098</v>
      </c>
      <c r="H33" s="165">
        <v>20</v>
      </c>
      <c r="I33" s="495">
        <f t="shared" si="5"/>
        <v>0</v>
      </c>
      <c r="J33" s="495">
        <f t="shared" si="6"/>
        <v>2625</v>
      </c>
      <c r="K33" s="495">
        <f t="shared" si="13"/>
        <v>175000</v>
      </c>
      <c r="L33" s="495">
        <f t="shared" si="2"/>
        <v>177625</v>
      </c>
      <c r="M33" s="495">
        <f t="shared" si="7"/>
        <v>-177625</v>
      </c>
      <c r="N33" s="290"/>
      <c r="O33" s="165">
        <v>20</v>
      </c>
      <c r="P33" s="495">
        <v>0</v>
      </c>
      <c r="Q33" s="495">
        <f t="shared" si="9"/>
        <v>43750.000000000007</v>
      </c>
      <c r="R33" s="495">
        <v>2500000</v>
      </c>
      <c r="S33" s="495">
        <f>Q33+R33</f>
        <v>2543750</v>
      </c>
      <c r="T33" s="495">
        <f t="shared" si="11"/>
        <v>-2543750</v>
      </c>
    </row>
    <row r="42" spans="1:20" x14ac:dyDescent="0.2">
      <c r="A42" s="507" t="s">
        <v>749</v>
      </c>
      <c r="B42" s="518">
        <v>1</v>
      </c>
      <c r="C42" s="518">
        <v>2</v>
      </c>
      <c r="D42" s="518">
        <v>3</v>
      </c>
      <c r="E42" s="518">
        <v>4</v>
      </c>
      <c r="F42" s="518"/>
      <c r="G42" s="290"/>
    </row>
    <row r="43" spans="1:20" x14ac:dyDescent="0.2">
      <c r="A43" s="508" t="s">
        <v>742</v>
      </c>
      <c r="B43" s="509"/>
      <c r="C43" s="509"/>
      <c r="D43" s="509"/>
      <c r="E43" s="509"/>
      <c r="F43" s="527"/>
      <c r="G43" s="290"/>
    </row>
    <row r="44" spans="1:20" x14ac:dyDescent="0.2">
      <c r="A44" s="508" t="s">
        <v>363</v>
      </c>
      <c r="B44" s="509"/>
      <c r="C44" s="509"/>
      <c r="D44" s="509"/>
      <c r="E44" s="509"/>
      <c r="F44" s="527"/>
      <c r="G44" s="501"/>
    </row>
    <row r="45" spans="1:20" x14ac:dyDescent="0.2">
      <c r="A45" s="508" t="s">
        <v>364</v>
      </c>
      <c r="B45" s="509"/>
      <c r="C45" s="509"/>
      <c r="D45" s="509"/>
      <c r="E45" s="509"/>
      <c r="F45" s="527"/>
      <c r="G45" s="501"/>
    </row>
    <row r="46" spans="1:20" x14ac:dyDescent="0.2">
      <c r="A46" s="290"/>
      <c r="B46" s="290"/>
      <c r="C46" s="290"/>
      <c r="D46" s="290"/>
      <c r="E46" s="290"/>
      <c r="F46" s="290"/>
      <c r="G46" s="290"/>
    </row>
    <row r="47" spans="1:20" x14ac:dyDescent="0.2">
      <c r="A47" s="510" t="s">
        <v>743</v>
      </c>
      <c r="B47" s="290"/>
      <c r="C47" s="290"/>
      <c r="D47" s="290"/>
      <c r="E47" s="290"/>
      <c r="F47" s="290"/>
      <c r="G47" s="290"/>
    </row>
    <row r="48" spans="1:20" x14ac:dyDescent="0.2">
      <c r="A48" s="507"/>
      <c r="B48" s="290"/>
      <c r="C48" s="290"/>
      <c r="D48" s="290"/>
      <c r="E48" s="290"/>
      <c r="F48" s="290"/>
      <c r="G48" s="290"/>
    </row>
    <row r="49" spans="1:7" x14ac:dyDescent="0.2">
      <c r="A49" s="503" t="s">
        <v>744</v>
      </c>
      <c r="B49" s="290"/>
      <c r="C49" s="290"/>
      <c r="D49" s="290"/>
      <c r="E49" s="290"/>
      <c r="F49" s="290"/>
      <c r="G49" s="290"/>
    </row>
    <row r="50" spans="1:7" x14ac:dyDescent="0.2">
      <c r="A50" s="432"/>
      <c r="B50" s="519">
        <f>B42</f>
        <v>1</v>
      </c>
      <c r="C50" s="519">
        <f t="shared" ref="C50:E50" si="14">C42</f>
        <v>2</v>
      </c>
      <c r="D50" s="519">
        <f t="shared" si="14"/>
        <v>3</v>
      </c>
      <c r="E50" s="519">
        <f t="shared" si="14"/>
        <v>4</v>
      </c>
      <c r="F50" s="528"/>
      <c r="G50" s="290"/>
    </row>
    <row r="51" spans="1:7" x14ac:dyDescent="0.2">
      <c r="A51" s="520">
        <f>B50</f>
        <v>1</v>
      </c>
      <c r="B51" s="511"/>
      <c r="C51" s="511"/>
      <c r="D51" s="511"/>
      <c r="E51" s="511"/>
      <c r="F51" s="529"/>
      <c r="G51" s="290"/>
    </row>
    <row r="52" spans="1:7" x14ac:dyDescent="0.2">
      <c r="A52" s="520">
        <f>C50</f>
        <v>2</v>
      </c>
      <c r="B52" s="511">
        <f>C51</f>
        <v>0</v>
      </c>
      <c r="C52" s="511"/>
      <c r="D52" s="511"/>
      <c r="E52" s="511"/>
      <c r="F52" s="529"/>
      <c r="G52" s="290"/>
    </row>
    <row r="53" spans="1:7" x14ac:dyDescent="0.2">
      <c r="A53" s="520">
        <f>D50</f>
        <v>3</v>
      </c>
      <c r="B53" s="511">
        <f>D51</f>
        <v>0</v>
      </c>
      <c r="C53" s="511">
        <f>D52</f>
        <v>0</v>
      </c>
      <c r="D53" s="511"/>
      <c r="E53" s="511"/>
      <c r="F53" s="529"/>
      <c r="G53" s="290"/>
    </row>
    <row r="54" spans="1:7" x14ac:dyDescent="0.2">
      <c r="A54" s="520">
        <f>E50</f>
        <v>4</v>
      </c>
      <c r="B54" s="511">
        <f>E51</f>
        <v>0</v>
      </c>
      <c r="C54" s="511">
        <f>E52</f>
        <v>0</v>
      </c>
      <c r="D54" s="511">
        <f>E53</f>
        <v>0</v>
      </c>
      <c r="E54" s="511"/>
      <c r="F54" s="529"/>
      <c r="G54" s="290"/>
    </row>
    <row r="55" spans="1:7" x14ac:dyDescent="0.2">
      <c r="A55" s="290"/>
      <c r="B55" s="290"/>
      <c r="C55" s="290"/>
      <c r="D55" s="290"/>
      <c r="E55" s="290"/>
      <c r="F55" s="290"/>
      <c r="G55" s="290"/>
    </row>
    <row r="56" spans="1:7" x14ac:dyDescent="0.2">
      <c r="A56" s="510" t="s">
        <v>745</v>
      </c>
      <c r="B56" s="507"/>
      <c r="C56" s="507"/>
      <c r="D56" s="507"/>
      <c r="E56" s="507"/>
      <c r="F56" s="507"/>
      <c r="G56" s="290"/>
    </row>
    <row r="57" spans="1:7" x14ac:dyDescent="0.2">
      <c r="A57" s="507"/>
      <c r="B57" s="507"/>
      <c r="C57" s="507"/>
      <c r="D57" s="507"/>
      <c r="E57" s="507"/>
      <c r="F57" s="507"/>
      <c r="G57" s="290"/>
    </row>
    <row r="58" spans="1:7" x14ac:dyDescent="0.2">
      <c r="A58" s="290"/>
      <c r="B58" s="507"/>
      <c r="C58" s="507"/>
      <c r="D58" s="290"/>
      <c r="E58" s="290"/>
      <c r="F58" s="290"/>
      <c r="G58" s="290"/>
    </row>
    <row r="59" spans="1:7" x14ac:dyDescent="0.2">
      <c r="A59" s="432" t="s">
        <v>362</v>
      </c>
      <c r="B59" s="512"/>
      <c r="C59" s="290"/>
      <c r="D59" s="290"/>
      <c r="E59" s="290"/>
      <c r="F59" s="290"/>
      <c r="G59" s="290"/>
    </row>
    <row r="60" spans="1:7" x14ac:dyDescent="0.2">
      <c r="A60" s="432" t="s">
        <v>746</v>
      </c>
      <c r="B60" s="509"/>
      <c r="C60" s="290"/>
      <c r="D60" s="290"/>
      <c r="E60" s="290"/>
      <c r="F60" s="290"/>
      <c r="G60" s="290"/>
    </row>
    <row r="61" spans="1:7" x14ac:dyDescent="0.2">
      <c r="A61" s="432" t="s">
        <v>363</v>
      </c>
      <c r="B61" s="511"/>
      <c r="C61" s="290"/>
      <c r="D61" s="290"/>
      <c r="E61" s="290"/>
      <c r="F61" s="290"/>
      <c r="G61" s="290"/>
    </row>
    <row r="62" spans="1:7" x14ac:dyDescent="0.2">
      <c r="A62" s="432" t="s">
        <v>364</v>
      </c>
      <c r="B62" s="511"/>
      <c r="C62" s="290"/>
      <c r="D62" s="290"/>
      <c r="E62" s="290"/>
      <c r="F62" s="290"/>
      <c r="G62" s="290"/>
    </row>
    <row r="63" spans="1:7" x14ac:dyDescent="0.2">
      <c r="A63" s="290"/>
      <c r="B63" s="290"/>
      <c r="C63" s="290"/>
      <c r="D63" s="290"/>
      <c r="E63" s="290"/>
      <c r="F63" s="290"/>
      <c r="G63" s="290"/>
    </row>
    <row r="64" spans="1:7" x14ac:dyDescent="0.2">
      <c r="A64" s="503" t="s">
        <v>747</v>
      </c>
      <c r="B64" s="507"/>
      <c r="C64" s="290"/>
      <c r="D64" s="290"/>
      <c r="E64" s="290"/>
      <c r="F64" s="290"/>
      <c r="G64" s="513"/>
    </row>
    <row r="65" spans="1:6" ht="18" x14ac:dyDescent="0.25">
      <c r="A65" s="514"/>
      <c r="B65" s="515" t="s">
        <v>750</v>
      </c>
      <c r="C65" s="515" t="s">
        <v>751</v>
      </c>
      <c r="D65" s="515" t="s">
        <v>752</v>
      </c>
      <c r="E65" s="515" t="s">
        <v>753</v>
      </c>
      <c r="F65" s="516" t="s">
        <v>748</v>
      </c>
    </row>
    <row r="66" spans="1:6" x14ac:dyDescent="0.2">
      <c r="A66" s="515" t="str">
        <f>B65</f>
        <v>w1</v>
      </c>
      <c r="B66" s="514"/>
      <c r="C66" s="514"/>
      <c r="D66" s="514"/>
      <c r="E66" s="514"/>
      <c r="F66" s="514">
        <f>SUM(B66:E66)</f>
        <v>0</v>
      </c>
    </row>
    <row r="67" spans="1:6" x14ac:dyDescent="0.2">
      <c r="A67" s="515" t="str">
        <f>C65</f>
        <v>w2</v>
      </c>
      <c r="B67" s="514"/>
      <c r="C67" s="514"/>
      <c r="D67" s="514"/>
      <c r="E67" s="514"/>
      <c r="F67" s="514">
        <f>SUM(B67:E67)</f>
        <v>0</v>
      </c>
    </row>
    <row r="68" spans="1:6" x14ac:dyDescent="0.2">
      <c r="A68" s="515" t="str">
        <f>D65</f>
        <v>w3</v>
      </c>
      <c r="B68" s="514"/>
      <c r="C68" s="514"/>
      <c r="D68" s="514"/>
      <c r="E68" s="514"/>
      <c r="F68" s="514">
        <f>SUM(B68:E68)</f>
        <v>0</v>
      </c>
    </row>
    <row r="69" spans="1:6" x14ac:dyDescent="0.2">
      <c r="A69" s="515" t="str">
        <f>E65</f>
        <v>w4</v>
      </c>
      <c r="B69" s="514"/>
      <c r="C69" s="514"/>
      <c r="D69" s="514"/>
      <c r="E69" s="514"/>
      <c r="F69" s="514">
        <f>SUM(B69:E69)</f>
        <v>0</v>
      </c>
    </row>
    <row r="70" spans="1:6" x14ac:dyDescent="0.2">
      <c r="A70" s="516" t="s">
        <v>748</v>
      </c>
      <c r="B70" s="514">
        <f>SUM(B66:B69)</f>
        <v>0</v>
      </c>
      <c r="C70" s="514">
        <f t="shared" ref="C70:E70" si="15">SUM(C66:C69)</f>
        <v>0</v>
      </c>
      <c r="D70" s="514">
        <f t="shared" si="15"/>
        <v>0</v>
      </c>
      <c r="E70" s="514">
        <f t="shared" si="15"/>
        <v>0</v>
      </c>
      <c r="F70" s="517">
        <f>SUM(B70:E70)</f>
        <v>0</v>
      </c>
    </row>
    <row r="73" spans="1:6" x14ac:dyDescent="0.2">
      <c r="A73" s="510" t="s">
        <v>754</v>
      </c>
      <c r="B73" s="290"/>
    </row>
    <row r="74" spans="1:6" x14ac:dyDescent="0.2">
      <c r="A74" s="510" t="s">
        <v>755</v>
      </c>
      <c r="B74" s="290"/>
    </row>
    <row r="75" spans="1:6" x14ac:dyDescent="0.2">
      <c r="A75" s="510"/>
      <c r="B75" s="290"/>
    </row>
    <row r="76" spans="1:6" x14ac:dyDescent="0.2">
      <c r="A76" s="510" t="s">
        <v>756</v>
      </c>
      <c r="B76" s="521"/>
    </row>
    <row r="77" spans="1:6" x14ac:dyDescent="0.2">
      <c r="A77" s="510" t="s">
        <v>757</v>
      </c>
      <c r="B77" s="521"/>
    </row>
    <row r="78" spans="1:6" x14ac:dyDescent="0.2">
      <c r="A78" s="510" t="s">
        <v>758</v>
      </c>
      <c r="B78" s="290"/>
    </row>
    <row r="79" spans="1:6" x14ac:dyDescent="0.2">
      <c r="A79" s="507"/>
      <c r="B79" s="290"/>
    </row>
    <row r="80" spans="1:6" x14ac:dyDescent="0.2">
      <c r="A80" s="290"/>
      <c r="B80" s="290"/>
    </row>
    <row r="81" spans="1:2" x14ac:dyDescent="0.2">
      <c r="A81" s="522" t="s">
        <v>759</v>
      </c>
      <c r="B81" s="523"/>
    </row>
    <row r="82" spans="1:2" ht="17" x14ac:dyDescent="0.2">
      <c r="A82" s="522" t="s">
        <v>760</v>
      </c>
      <c r="B82" s="524" t="s">
        <v>761</v>
      </c>
    </row>
    <row r="83" spans="1:2" x14ac:dyDescent="0.2">
      <c r="A83" s="522" t="s">
        <v>762</v>
      </c>
      <c r="B83" s="524"/>
    </row>
    <row r="84" spans="1:2" x14ac:dyDescent="0.2">
      <c r="A84" s="522"/>
      <c r="B84" s="524"/>
    </row>
    <row r="85" spans="1:2" x14ac:dyDescent="0.2">
      <c r="A85" s="525" t="s">
        <v>763</v>
      </c>
      <c r="B85" s="526"/>
    </row>
    <row r="86" spans="1:2" x14ac:dyDescent="0.2">
      <c r="A86" s="525" t="s">
        <v>764</v>
      </c>
      <c r="B86" s="52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Z114"/>
  <sheetViews>
    <sheetView topLeftCell="A89" zoomScale="55" zoomScaleNormal="55" workbookViewId="0">
      <selection activeCell="J66" sqref="J66:K66"/>
    </sheetView>
  </sheetViews>
  <sheetFormatPr baseColWidth="10" defaultColWidth="10.5" defaultRowHeight="16" x14ac:dyDescent="0.2"/>
  <cols>
    <col min="1" max="1" width="17.5" customWidth="1"/>
    <col min="2" max="2" width="11.33203125" customWidth="1"/>
    <col min="3" max="3" width="15.33203125" bestFit="1" customWidth="1"/>
    <col min="4" max="4" width="12.33203125" customWidth="1"/>
    <col min="5" max="6" width="12" customWidth="1"/>
    <col min="7" max="7" width="13.5" bestFit="1" customWidth="1"/>
    <col min="8" max="8" width="12" customWidth="1"/>
    <col min="9" max="9" width="11" bestFit="1" customWidth="1"/>
    <col min="12" max="14" width="13.5" bestFit="1" customWidth="1"/>
    <col min="16" max="16" width="7.5" bestFit="1" customWidth="1"/>
    <col min="17" max="17" width="8" bestFit="1" customWidth="1"/>
    <col min="18" max="18" width="8.83203125" bestFit="1" customWidth="1"/>
    <col min="19" max="21" width="13.5" bestFit="1" customWidth="1"/>
  </cols>
  <sheetData>
    <row r="1" spans="1:2" x14ac:dyDescent="0.2">
      <c r="A1" s="1" t="s">
        <v>599</v>
      </c>
    </row>
    <row r="2" spans="1:2" x14ac:dyDescent="0.2">
      <c r="A2" t="s">
        <v>300</v>
      </c>
    </row>
    <row r="3" spans="1:2" x14ac:dyDescent="0.2">
      <c r="B3" t="s">
        <v>304</v>
      </c>
    </row>
    <row r="5" spans="1:2" x14ac:dyDescent="0.2">
      <c r="A5" t="s">
        <v>301</v>
      </c>
    </row>
    <row r="7" spans="1:2" x14ac:dyDescent="0.2">
      <c r="B7" t="s">
        <v>302</v>
      </c>
    </row>
    <row r="8" spans="1:2" x14ac:dyDescent="0.2">
      <c r="B8" t="s">
        <v>303</v>
      </c>
    </row>
    <row r="10" spans="1:2" x14ac:dyDescent="0.2">
      <c r="A10" s="1" t="s">
        <v>602</v>
      </c>
    </row>
    <row r="11" spans="1:2" x14ac:dyDescent="0.2">
      <c r="A11" t="s">
        <v>600</v>
      </c>
    </row>
    <row r="12" spans="1:2" x14ac:dyDescent="0.2">
      <c r="A12" t="s">
        <v>601</v>
      </c>
    </row>
    <row r="14" spans="1:2" x14ac:dyDescent="0.2">
      <c r="A14" t="s">
        <v>603</v>
      </c>
    </row>
    <row r="16" spans="1:2" s="238" customFormat="1" x14ac:dyDescent="0.2"/>
    <row r="18" spans="1:13" x14ac:dyDescent="0.2">
      <c r="A18" s="1" t="s">
        <v>604</v>
      </c>
    </row>
    <row r="19" spans="1:13" x14ac:dyDescent="0.2">
      <c r="A19" t="s">
        <v>605</v>
      </c>
    </row>
    <row r="20" spans="1:13" x14ac:dyDescent="0.2">
      <c r="A20" s="539" t="s">
        <v>305</v>
      </c>
      <c r="B20" s="539"/>
      <c r="C20" s="539"/>
      <c r="D20" s="539"/>
      <c r="E20" s="539"/>
      <c r="F20" s="539"/>
      <c r="G20" s="539"/>
      <c r="H20" s="539"/>
      <c r="I20" s="539"/>
      <c r="J20" s="539"/>
      <c r="K20" s="539"/>
      <c r="L20" s="539"/>
      <c r="M20" s="156"/>
    </row>
    <row r="21" spans="1:13" x14ac:dyDescent="0.2">
      <c r="A21" s="539"/>
      <c r="B21" s="539"/>
      <c r="C21" s="539"/>
      <c r="D21" s="539"/>
      <c r="E21" s="539"/>
      <c r="F21" s="539"/>
      <c r="G21" s="539"/>
      <c r="H21" s="539"/>
      <c r="I21" s="539"/>
      <c r="J21" s="539"/>
      <c r="K21" s="539"/>
      <c r="L21" s="539"/>
      <c r="M21" s="156"/>
    </row>
    <row r="22" spans="1:13" x14ac:dyDescent="0.2">
      <c r="A22" t="s">
        <v>306</v>
      </c>
    </row>
    <row r="24" spans="1:13" x14ac:dyDescent="0.2">
      <c r="A24" t="s">
        <v>610</v>
      </c>
    </row>
    <row r="26" spans="1:13" ht="18" x14ac:dyDescent="0.25">
      <c r="B26" s="124" t="s">
        <v>307</v>
      </c>
      <c r="C26" s="164" t="s">
        <v>309</v>
      </c>
    </row>
    <row r="27" spans="1:13" ht="18" x14ac:dyDescent="0.25">
      <c r="C27" s="97" t="s">
        <v>310</v>
      </c>
    </row>
    <row r="29" spans="1:13" x14ac:dyDescent="0.2">
      <c r="A29" t="s">
        <v>308</v>
      </c>
    </row>
    <row r="30" spans="1:13" x14ac:dyDescent="0.2">
      <c r="A30" t="s">
        <v>311</v>
      </c>
    </row>
    <row r="32" spans="1:13" x14ac:dyDescent="0.2">
      <c r="A32" t="s">
        <v>609</v>
      </c>
    </row>
    <row r="34" spans="1:26" ht="18" x14ac:dyDescent="0.25">
      <c r="B34" s="124" t="s">
        <v>312</v>
      </c>
      <c r="C34" s="164" t="s">
        <v>313</v>
      </c>
    </row>
    <row r="35" spans="1:26" x14ac:dyDescent="0.2">
      <c r="B35" s="124"/>
      <c r="C35" s="97"/>
    </row>
    <row r="36" spans="1:26" x14ac:dyDescent="0.2">
      <c r="A36" t="s">
        <v>608</v>
      </c>
    </row>
    <row r="38" spans="1:26" ht="18" x14ac:dyDescent="0.25">
      <c r="B38" t="s">
        <v>320</v>
      </c>
    </row>
    <row r="39" spans="1:26" ht="18" x14ac:dyDescent="0.25">
      <c r="C39" s="97" t="s">
        <v>310</v>
      </c>
    </row>
    <row r="40" spans="1:26" x14ac:dyDescent="0.2">
      <c r="A40" t="s">
        <v>314</v>
      </c>
    </row>
    <row r="41" spans="1:26" x14ac:dyDescent="0.2">
      <c r="A41" t="s">
        <v>315</v>
      </c>
    </row>
    <row r="43" spans="1:26" ht="18" x14ac:dyDescent="0.25">
      <c r="B43" s="124" t="s">
        <v>319</v>
      </c>
      <c r="C43" s="164" t="s">
        <v>317</v>
      </c>
      <c r="D43" s="129" t="s">
        <v>318</v>
      </c>
    </row>
    <row r="44" spans="1:26" x14ac:dyDescent="0.2">
      <c r="C44" s="97" t="s">
        <v>316</v>
      </c>
    </row>
    <row r="46" spans="1:26" x14ac:dyDescent="0.2">
      <c r="B46" s="3" t="s">
        <v>350</v>
      </c>
      <c r="I46" s="3" t="s">
        <v>351</v>
      </c>
      <c r="P46" s="3" t="s">
        <v>352</v>
      </c>
    </row>
    <row r="47" spans="1:26" ht="34" x14ac:dyDescent="0.2">
      <c r="B47" s="165" t="s">
        <v>334</v>
      </c>
      <c r="C47" s="166" t="s">
        <v>338</v>
      </c>
      <c r="D47" s="167" t="s">
        <v>337</v>
      </c>
      <c r="E47" s="166" t="s">
        <v>335</v>
      </c>
      <c r="F47" s="168" t="s">
        <v>336</v>
      </c>
      <c r="G47" s="183" t="s">
        <v>353</v>
      </c>
      <c r="I47" s="165" t="s">
        <v>334</v>
      </c>
      <c r="J47" s="166" t="s">
        <v>338</v>
      </c>
      <c r="K47" s="167" t="s">
        <v>337</v>
      </c>
      <c r="L47" s="166" t="s">
        <v>335</v>
      </c>
      <c r="M47" s="168" t="s">
        <v>336</v>
      </c>
      <c r="N47" s="183" t="s">
        <v>353</v>
      </c>
      <c r="P47" s="165" t="s">
        <v>334</v>
      </c>
      <c r="Q47" s="166" t="s">
        <v>338</v>
      </c>
      <c r="R47" s="167" t="s">
        <v>337</v>
      </c>
      <c r="S47" s="166" t="s">
        <v>335</v>
      </c>
      <c r="T47" s="168" t="s">
        <v>336</v>
      </c>
      <c r="U47" s="183" t="s">
        <v>353</v>
      </c>
      <c r="Y47" s="248"/>
      <c r="Z47" s="248"/>
    </row>
    <row r="48" spans="1:26" x14ac:dyDescent="0.2">
      <c r="B48" s="181">
        <v>2001</v>
      </c>
      <c r="C48" s="478"/>
      <c r="D48" s="182"/>
      <c r="E48" s="179"/>
      <c r="F48" s="180"/>
      <c r="G48" s="180"/>
      <c r="I48" s="181">
        <v>2001</v>
      </c>
      <c r="J48" s="478"/>
      <c r="K48" s="182"/>
      <c r="L48" s="179"/>
      <c r="M48" s="180"/>
      <c r="N48" s="180"/>
      <c r="P48" s="181">
        <v>2001</v>
      </c>
      <c r="Q48" s="478"/>
      <c r="R48" s="182"/>
      <c r="S48" s="179"/>
      <c r="T48" s="180"/>
      <c r="U48" s="180"/>
      <c r="Y48" s="248"/>
      <c r="Z48" s="248"/>
    </row>
    <row r="49" spans="2:26" x14ac:dyDescent="0.2">
      <c r="B49" s="181">
        <v>2002</v>
      </c>
      <c r="C49" s="478"/>
      <c r="D49" s="182"/>
      <c r="E49" s="169" t="e">
        <f>(D49+C49-C48)/(C48)</f>
        <v>#DIV/0!</v>
      </c>
      <c r="F49" s="170" t="e">
        <f t="shared" ref="F49:F73" si="0">E49+1</f>
        <v>#DIV/0!</v>
      </c>
      <c r="G49" s="184" t="e">
        <f>F49</f>
        <v>#DIV/0!</v>
      </c>
      <c r="I49" s="181">
        <v>2002</v>
      </c>
      <c r="J49" s="478"/>
      <c r="K49" s="182"/>
      <c r="L49" s="169" t="e">
        <f>(K49+J49-J48)/(J48)</f>
        <v>#DIV/0!</v>
      </c>
      <c r="M49" s="170" t="e">
        <f t="shared" ref="M49:M73" si="1">L49+1</f>
        <v>#DIV/0!</v>
      </c>
      <c r="N49" s="184" t="e">
        <f>M49</f>
        <v>#DIV/0!</v>
      </c>
      <c r="P49" s="181">
        <v>2002</v>
      </c>
      <c r="Q49" s="478"/>
      <c r="R49" s="182"/>
      <c r="S49" s="169" t="e">
        <f t="shared" ref="S49:S73" si="2">(R49+Q49-Q48)/(Q48)</f>
        <v>#DIV/0!</v>
      </c>
      <c r="T49" s="170" t="e">
        <f t="shared" ref="T49:T73" si="3">S49+1</f>
        <v>#DIV/0!</v>
      </c>
      <c r="U49" s="184" t="e">
        <f>T49</f>
        <v>#DIV/0!</v>
      </c>
      <c r="Y49" s="248"/>
      <c r="Z49" s="248"/>
    </row>
    <row r="50" spans="2:26" x14ac:dyDescent="0.2">
      <c r="B50" s="181">
        <v>2003</v>
      </c>
      <c r="C50" s="478"/>
      <c r="D50" s="182"/>
      <c r="E50" s="169" t="e">
        <f>(D50+C50-C49)/(C49)</f>
        <v>#DIV/0!</v>
      </c>
      <c r="F50" s="170" t="e">
        <f t="shared" si="0"/>
        <v>#DIV/0!</v>
      </c>
      <c r="G50" s="184" t="e">
        <f t="shared" ref="G50:G73" si="4">G49*F50</f>
        <v>#DIV/0!</v>
      </c>
      <c r="I50" s="181">
        <v>2003</v>
      </c>
      <c r="J50" s="478"/>
      <c r="K50" s="182"/>
      <c r="L50" s="169" t="e">
        <f>(K50+J50-J49)/(J49)</f>
        <v>#DIV/0!</v>
      </c>
      <c r="M50" s="170" t="e">
        <f t="shared" si="1"/>
        <v>#DIV/0!</v>
      </c>
      <c r="N50" s="184" t="e">
        <f t="shared" ref="N50:N73" si="5">N49*M50</f>
        <v>#DIV/0!</v>
      </c>
      <c r="P50" s="181">
        <v>2003</v>
      </c>
      <c r="Q50" s="478"/>
      <c r="R50" s="182"/>
      <c r="S50" s="169" t="e">
        <f t="shared" si="2"/>
        <v>#DIV/0!</v>
      </c>
      <c r="T50" s="170" t="e">
        <f t="shared" si="3"/>
        <v>#DIV/0!</v>
      </c>
      <c r="U50" s="184" t="e">
        <f t="shared" ref="U50:U73" si="6">U49*T50</f>
        <v>#DIV/0!</v>
      </c>
      <c r="Y50" s="248"/>
      <c r="Z50" s="248"/>
    </row>
    <row r="51" spans="2:26" x14ac:dyDescent="0.2">
      <c r="B51" s="181">
        <v>2004</v>
      </c>
      <c r="C51" s="478"/>
      <c r="D51" s="182"/>
      <c r="E51" s="169" t="e">
        <f>(D51+C51-C50)/(C50)</f>
        <v>#DIV/0!</v>
      </c>
      <c r="F51" s="170" t="e">
        <f t="shared" si="0"/>
        <v>#DIV/0!</v>
      </c>
      <c r="G51" s="184" t="e">
        <f t="shared" si="4"/>
        <v>#DIV/0!</v>
      </c>
      <c r="I51" s="181">
        <v>2004</v>
      </c>
      <c r="J51" s="478"/>
      <c r="K51" s="182"/>
      <c r="L51" s="169" t="e">
        <f>(K51+J51-J50)/(J50)</f>
        <v>#DIV/0!</v>
      </c>
      <c r="M51" s="170" t="e">
        <f t="shared" si="1"/>
        <v>#DIV/0!</v>
      </c>
      <c r="N51" s="184" t="e">
        <f t="shared" si="5"/>
        <v>#DIV/0!</v>
      </c>
      <c r="P51" s="181">
        <v>2004</v>
      </c>
      <c r="Q51" s="478"/>
      <c r="R51" s="182"/>
      <c r="S51" s="169" t="e">
        <f t="shared" si="2"/>
        <v>#DIV/0!</v>
      </c>
      <c r="T51" s="170" t="e">
        <f t="shared" si="3"/>
        <v>#DIV/0!</v>
      </c>
      <c r="U51" s="184" t="e">
        <f t="shared" si="6"/>
        <v>#DIV/0!</v>
      </c>
      <c r="Y51" s="248"/>
      <c r="Z51" s="248"/>
    </row>
    <row r="52" spans="2:26" x14ac:dyDescent="0.2">
      <c r="B52" s="181">
        <v>2005</v>
      </c>
      <c r="C52" s="478"/>
      <c r="D52" s="182"/>
      <c r="E52" s="169" t="e">
        <f>(D52+C52-C51)/(C51)</f>
        <v>#DIV/0!</v>
      </c>
      <c r="F52" s="170" t="e">
        <f t="shared" si="0"/>
        <v>#DIV/0!</v>
      </c>
      <c r="G52" s="184" t="e">
        <f t="shared" si="4"/>
        <v>#DIV/0!</v>
      </c>
      <c r="I52" s="181">
        <v>2005</v>
      </c>
      <c r="J52" s="478"/>
      <c r="K52" s="182"/>
      <c r="L52" s="169" t="e">
        <f>(K52+J52-J51)/(J51)</f>
        <v>#DIV/0!</v>
      </c>
      <c r="M52" s="170" t="e">
        <f t="shared" si="1"/>
        <v>#DIV/0!</v>
      </c>
      <c r="N52" s="184" t="e">
        <f t="shared" si="5"/>
        <v>#DIV/0!</v>
      </c>
      <c r="P52" s="181">
        <v>2005</v>
      </c>
      <c r="Q52" s="478"/>
      <c r="R52" s="182"/>
      <c r="S52" s="169" t="e">
        <f t="shared" si="2"/>
        <v>#DIV/0!</v>
      </c>
      <c r="T52" s="170" t="e">
        <f t="shared" si="3"/>
        <v>#DIV/0!</v>
      </c>
      <c r="U52" s="184" t="e">
        <f t="shared" si="6"/>
        <v>#DIV/0!</v>
      </c>
      <c r="Y52" s="248"/>
      <c r="Z52" s="248"/>
    </row>
    <row r="53" spans="2:26" x14ac:dyDescent="0.2">
      <c r="B53" s="181">
        <v>2006</v>
      </c>
      <c r="C53" s="478"/>
      <c r="D53" s="182"/>
      <c r="E53" s="169" t="e">
        <f>(D53+C53-C52)/(C52)</f>
        <v>#DIV/0!</v>
      </c>
      <c r="F53" s="170" t="e">
        <f t="shared" si="0"/>
        <v>#DIV/0!</v>
      </c>
      <c r="G53" s="184" t="e">
        <f t="shared" si="4"/>
        <v>#DIV/0!</v>
      </c>
      <c r="I53" s="181">
        <v>2006</v>
      </c>
      <c r="J53" s="478"/>
      <c r="K53" s="182"/>
      <c r="L53" s="169" t="e">
        <f>(K53+J53-J52)/(J52)</f>
        <v>#DIV/0!</v>
      </c>
      <c r="M53" s="170" t="e">
        <f t="shared" si="1"/>
        <v>#DIV/0!</v>
      </c>
      <c r="N53" s="184" t="e">
        <f t="shared" si="5"/>
        <v>#DIV/0!</v>
      </c>
      <c r="P53" s="181">
        <v>2006</v>
      </c>
      <c r="Q53" s="478"/>
      <c r="R53" s="182"/>
      <c r="S53" s="169" t="e">
        <f t="shared" si="2"/>
        <v>#DIV/0!</v>
      </c>
      <c r="T53" s="170" t="e">
        <f t="shared" si="3"/>
        <v>#DIV/0!</v>
      </c>
      <c r="U53" s="184" t="e">
        <f t="shared" si="6"/>
        <v>#DIV/0!</v>
      </c>
      <c r="Y53" s="248"/>
      <c r="Z53" s="248"/>
    </row>
    <row r="54" spans="2:26" x14ac:dyDescent="0.2">
      <c r="B54" s="181">
        <v>2007</v>
      </c>
      <c r="C54" s="478"/>
      <c r="D54" s="182"/>
      <c r="E54" s="169" t="e">
        <f t="shared" ref="E54:E64" si="7">(D54+C54-C53)/(C53)</f>
        <v>#DIV/0!</v>
      </c>
      <c r="F54" s="170" t="e">
        <f t="shared" ref="F54:F64" si="8">E54+1</f>
        <v>#DIV/0!</v>
      </c>
      <c r="G54" s="184" t="e">
        <f t="shared" ref="G54:G64" si="9">G53*F54</f>
        <v>#DIV/0!</v>
      </c>
      <c r="I54" s="181">
        <v>2007</v>
      </c>
      <c r="J54" s="478"/>
      <c r="K54" s="182"/>
      <c r="L54" s="169" t="e">
        <f t="shared" ref="L54:L64" si="10">(K54+J54-J53)/(J53)</f>
        <v>#DIV/0!</v>
      </c>
      <c r="M54" s="170" t="e">
        <f t="shared" ref="M54:M64" si="11">L54+1</f>
        <v>#DIV/0!</v>
      </c>
      <c r="N54" s="184" t="e">
        <f t="shared" ref="N54:N64" si="12">N53*M54</f>
        <v>#DIV/0!</v>
      </c>
      <c r="P54" s="181">
        <v>2007</v>
      </c>
      <c r="Q54" s="478"/>
      <c r="R54" s="182"/>
      <c r="S54" s="169" t="e">
        <f t="shared" ref="S54:S64" si="13">(R54+Q54-Q53)/(Q53)</f>
        <v>#DIV/0!</v>
      </c>
      <c r="T54" s="170" t="e">
        <f t="shared" ref="T54:T64" si="14">S54+1</f>
        <v>#DIV/0!</v>
      </c>
      <c r="U54" s="184" t="e">
        <f t="shared" ref="U54:U64" si="15">U53*T54</f>
        <v>#DIV/0!</v>
      </c>
      <c r="Y54" s="248"/>
      <c r="Z54" s="248"/>
    </row>
    <row r="55" spans="2:26" x14ac:dyDescent="0.2">
      <c r="B55" s="181">
        <v>2008</v>
      </c>
      <c r="C55" s="478"/>
      <c r="D55" s="182"/>
      <c r="E55" s="169" t="e">
        <f t="shared" si="7"/>
        <v>#DIV/0!</v>
      </c>
      <c r="F55" s="170" t="e">
        <f t="shared" si="8"/>
        <v>#DIV/0!</v>
      </c>
      <c r="G55" s="184" t="e">
        <f t="shared" si="9"/>
        <v>#DIV/0!</v>
      </c>
      <c r="I55" s="181">
        <v>2008</v>
      </c>
      <c r="J55" s="478"/>
      <c r="K55" s="182"/>
      <c r="L55" s="169" t="e">
        <f t="shared" si="10"/>
        <v>#DIV/0!</v>
      </c>
      <c r="M55" s="170" t="e">
        <f t="shared" si="11"/>
        <v>#DIV/0!</v>
      </c>
      <c r="N55" s="184" t="e">
        <f t="shared" si="12"/>
        <v>#DIV/0!</v>
      </c>
      <c r="P55" s="181">
        <v>2008</v>
      </c>
      <c r="Q55" s="478"/>
      <c r="R55" s="182"/>
      <c r="S55" s="169" t="e">
        <f t="shared" si="13"/>
        <v>#DIV/0!</v>
      </c>
      <c r="T55" s="170" t="e">
        <f t="shared" si="14"/>
        <v>#DIV/0!</v>
      </c>
      <c r="U55" s="184" t="e">
        <f t="shared" si="15"/>
        <v>#DIV/0!</v>
      </c>
      <c r="Y55" s="248"/>
      <c r="Z55" s="248"/>
    </row>
    <row r="56" spans="2:26" x14ac:dyDescent="0.2">
      <c r="B56" s="181">
        <v>2009</v>
      </c>
      <c r="C56" s="478"/>
      <c r="D56" s="182"/>
      <c r="E56" s="169" t="e">
        <f t="shared" si="7"/>
        <v>#DIV/0!</v>
      </c>
      <c r="F56" s="170" t="e">
        <f t="shared" si="8"/>
        <v>#DIV/0!</v>
      </c>
      <c r="G56" s="184" t="e">
        <f t="shared" si="9"/>
        <v>#DIV/0!</v>
      </c>
      <c r="I56" s="181">
        <v>2009</v>
      </c>
      <c r="J56" s="478"/>
      <c r="K56" s="182"/>
      <c r="L56" s="169" t="e">
        <f t="shared" si="10"/>
        <v>#DIV/0!</v>
      </c>
      <c r="M56" s="170" t="e">
        <f t="shared" si="11"/>
        <v>#DIV/0!</v>
      </c>
      <c r="N56" s="184" t="e">
        <f t="shared" si="12"/>
        <v>#DIV/0!</v>
      </c>
      <c r="P56" s="181">
        <v>2009</v>
      </c>
      <c r="Q56" s="478"/>
      <c r="R56" s="182"/>
      <c r="S56" s="169" t="e">
        <f t="shared" si="13"/>
        <v>#DIV/0!</v>
      </c>
      <c r="T56" s="170" t="e">
        <f t="shared" si="14"/>
        <v>#DIV/0!</v>
      </c>
      <c r="U56" s="184" t="e">
        <f t="shared" si="15"/>
        <v>#DIV/0!</v>
      </c>
      <c r="Y56" s="248"/>
      <c r="Z56" s="248"/>
    </row>
    <row r="57" spans="2:26" x14ac:dyDescent="0.2">
      <c r="B57" s="181">
        <v>2010</v>
      </c>
      <c r="C57" s="478"/>
      <c r="D57" s="182"/>
      <c r="E57" s="169" t="e">
        <f t="shared" si="7"/>
        <v>#DIV/0!</v>
      </c>
      <c r="F57" s="170" t="e">
        <f t="shared" si="8"/>
        <v>#DIV/0!</v>
      </c>
      <c r="G57" s="184" t="e">
        <f t="shared" si="9"/>
        <v>#DIV/0!</v>
      </c>
      <c r="I57" s="181">
        <v>2010</v>
      </c>
      <c r="J57" s="478"/>
      <c r="K57" s="182"/>
      <c r="L57" s="169" t="e">
        <f t="shared" si="10"/>
        <v>#DIV/0!</v>
      </c>
      <c r="M57" s="170" t="e">
        <f t="shared" si="11"/>
        <v>#DIV/0!</v>
      </c>
      <c r="N57" s="184" t="e">
        <f t="shared" si="12"/>
        <v>#DIV/0!</v>
      </c>
      <c r="P57" s="181">
        <v>2010</v>
      </c>
      <c r="Q57" s="478"/>
      <c r="R57" s="182"/>
      <c r="S57" s="169" t="e">
        <f t="shared" si="13"/>
        <v>#DIV/0!</v>
      </c>
      <c r="T57" s="170" t="e">
        <f t="shared" si="14"/>
        <v>#DIV/0!</v>
      </c>
      <c r="U57" s="184" t="e">
        <f t="shared" si="15"/>
        <v>#DIV/0!</v>
      </c>
      <c r="Y57" s="248"/>
      <c r="Z57" s="248"/>
    </row>
    <row r="58" spans="2:26" x14ac:dyDescent="0.2">
      <c r="B58" s="181">
        <v>2011</v>
      </c>
      <c r="C58" s="478"/>
      <c r="D58" s="182"/>
      <c r="E58" s="169" t="e">
        <f t="shared" si="7"/>
        <v>#DIV/0!</v>
      </c>
      <c r="F58" s="170" t="e">
        <f t="shared" si="8"/>
        <v>#DIV/0!</v>
      </c>
      <c r="G58" s="184" t="e">
        <f t="shared" si="9"/>
        <v>#DIV/0!</v>
      </c>
      <c r="I58" s="181">
        <v>2011</v>
      </c>
      <c r="J58" s="478"/>
      <c r="K58" s="182"/>
      <c r="L58" s="169" t="e">
        <f t="shared" si="10"/>
        <v>#DIV/0!</v>
      </c>
      <c r="M58" s="170" t="e">
        <f t="shared" si="11"/>
        <v>#DIV/0!</v>
      </c>
      <c r="N58" s="184" t="e">
        <f t="shared" si="12"/>
        <v>#DIV/0!</v>
      </c>
      <c r="P58" s="181">
        <v>2011</v>
      </c>
      <c r="Q58" s="478"/>
      <c r="R58" s="182"/>
      <c r="S58" s="169" t="e">
        <f t="shared" si="13"/>
        <v>#DIV/0!</v>
      </c>
      <c r="T58" s="170" t="e">
        <f t="shared" si="14"/>
        <v>#DIV/0!</v>
      </c>
      <c r="U58" s="184" t="e">
        <f t="shared" si="15"/>
        <v>#DIV/0!</v>
      </c>
      <c r="Y58" s="248"/>
      <c r="Z58" s="248"/>
    </row>
    <row r="59" spans="2:26" x14ac:dyDescent="0.2">
      <c r="B59" s="181">
        <v>2012</v>
      </c>
      <c r="C59" s="478"/>
      <c r="D59" s="182"/>
      <c r="E59" s="169" t="e">
        <f t="shared" si="7"/>
        <v>#DIV/0!</v>
      </c>
      <c r="F59" s="170" t="e">
        <f t="shared" si="8"/>
        <v>#DIV/0!</v>
      </c>
      <c r="G59" s="184" t="e">
        <f t="shared" si="9"/>
        <v>#DIV/0!</v>
      </c>
      <c r="I59" s="181">
        <v>2012</v>
      </c>
      <c r="J59" s="478"/>
      <c r="K59" s="182"/>
      <c r="L59" s="169" t="e">
        <f t="shared" si="10"/>
        <v>#DIV/0!</v>
      </c>
      <c r="M59" s="170" t="e">
        <f t="shared" si="11"/>
        <v>#DIV/0!</v>
      </c>
      <c r="N59" s="184" t="e">
        <f t="shared" si="12"/>
        <v>#DIV/0!</v>
      </c>
      <c r="P59" s="181">
        <v>2012</v>
      </c>
      <c r="Q59" s="478"/>
      <c r="R59" s="182"/>
      <c r="S59" s="169" t="e">
        <f t="shared" si="13"/>
        <v>#DIV/0!</v>
      </c>
      <c r="T59" s="170" t="e">
        <f t="shared" si="14"/>
        <v>#DIV/0!</v>
      </c>
      <c r="U59" s="184" t="e">
        <f t="shared" si="15"/>
        <v>#DIV/0!</v>
      </c>
      <c r="Y59" s="248"/>
      <c r="Z59" s="248"/>
    </row>
    <row r="60" spans="2:26" x14ac:dyDescent="0.2">
      <c r="B60" s="181">
        <v>2013</v>
      </c>
      <c r="C60" s="478"/>
      <c r="D60" s="182"/>
      <c r="E60" s="169" t="e">
        <f t="shared" si="7"/>
        <v>#DIV/0!</v>
      </c>
      <c r="F60" s="170" t="e">
        <f t="shared" si="8"/>
        <v>#DIV/0!</v>
      </c>
      <c r="G60" s="184" t="e">
        <f t="shared" si="9"/>
        <v>#DIV/0!</v>
      </c>
      <c r="I60" s="181">
        <v>2013</v>
      </c>
      <c r="J60" s="478"/>
      <c r="K60" s="182"/>
      <c r="L60" s="169" t="e">
        <f t="shared" si="10"/>
        <v>#DIV/0!</v>
      </c>
      <c r="M60" s="170" t="e">
        <f t="shared" si="11"/>
        <v>#DIV/0!</v>
      </c>
      <c r="N60" s="184" t="e">
        <f t="shared" si="12"/>
        <v>#DIV/0!</v>
      </c>
      <c r="P60" s="181">
        <v>2013</v>
      </c>
      <c r="Q60" s="478"/>
      <c r="R60" s="182"/>
      <c r="S60" s="169" t="e">
        <f t="shared" si="13"/>
        <v>#DIV/0!</v>
      </c>
      <c r="T60" s="170" t="e">
        <f t="shared" si="14"/>
        <v>#DIV/0!</v>
      </c>
      <c r="U60" s="184" t="e">
        <f t="shared" si="15"/>
        <v>#DIV/0!</v>
      </c>
      <c r="Y60" s="248"/>
      <c r="Z60" s="248"/>
    </row>
    <row r="61" spans="2:26" x14ac:dyDescent="0.2">
      <c r="B61" s="181">
        <v>2014</v>
      </c>
      <c r="C61" s="478"/>
      <c r="D61" s="182"/>
      <c r="E61" s="169" t="e">
        <f t="shared" si="7"/>
        <v>#DIV/0!</v>
      </c>
      <c r="F61" s="170" t="e">
        <f t="shared" si="8"/>
        <v>#DIV/0!</v>
      </c>
      <c r="G61" s="184" t="e">
        <f t="shared" si="9"/>
        <v>#DIV/0!</v>
      </c>
      <c r="I61" s="181">
        <v>2014</v>
      </c>
      <c r="J61" s="478"/>
      <c r="K61" s="182"/>
      <c r="L61" s="169" t="e">
        <f t="shared" si="10"/>
        <v>#DIV/0!</v>
      </c>
      <c r="M61" s="170" t="e">
        <f t="shared" si="11"/>
        <v>#DIV/0!</v>
      </c>
      <c r="N61" s="184" t="e">
        <f t="shared" si="12"/>
        <v>#DIV/0!</v>
      </c>
      <c r="P61" s="181">
        <v>2014</v>
      </c>
      <c r="Q61" s="478"/>
      <c r="R61" s="182"/>
      <c r="S61" s="169" t="e">
        <f t="shared" si="13"/>
        <v>#DIV/0!</v>
      </c>
      <c r="T61" s="170" t="e">
        <f t="shared" si="14"/>
        <v>#DIV/0!</v>
      </c>
      <c r="U61" s="184" t="e">
        <f t="shared" si="15"/>
        <v>#DIV/0!</v>
      </c>
      <c r="Y61" s="248"/>
      <c r="Z61" s="248"/>
    </row>
    <row r="62" spans="2:26" x14ac:dyDescent="0.2">
      <c r="B62" s="181">
        <v>2015</v>
      </c>
      <c r="C62" s="478"/>
      <c r="D62" s="182"/>
      <c r="E62" s="169" t="e">
        <f t="shared" si="7"/>
        <v>#DIV/0!</v>
      </c>
      <c r="F62" s="170" t="e">
        <f t="shared" si="8"/>
        <v>#DIV/0!</v>
      </c>
      <c r="G62" s="184" t="e">
        <f t="shared" si="9"/>
        <v>#DIV/0!</v>
      </c>
      <c r="I62" s="181">
        <v>2015</v>
      </c>
      <c r="J62" s="478"/>
      <c r="K62" s="182"/>
      <c r="L62" s="169" t="e">
        <f t="shared" si="10"/>
        <v>#DIV/0!</v>
      </c>
      <c r="M62" s="170" t="e">
        <f t="shared" si="11"/>
        <v>#DIV/0!</v>
      </c>
      <c r="N62" s="184" t="e">
        <f t="shared" si="12"/>
        <v>#DIV/0!</v>
      </c>
      <c r="P62" s="181">
        <v>2015</v>
      </c>
      <c r="Q62" s="478"/>
      <c r="R62" s="182"/>
      <c r="S62" s="169" t="e">
        <f t="shared" si="13"/>
        <v>#DIV/0!</v>
      </c>
      <c r="T62" s="170" t="e">
        <f t="shared" si="14"/>
        <v>#DIV/0!</v>
      </c>
      <c r="U62" s="184" t="e">
        <f t="shared" si="15"/>
        <v>#DIV/0!</v>
      </c>
      <c r="Y62" s="248"/>
      <c r="Z62" s="248"/>
    </row>
    <row r="63" spans="2:26" x14ac:dyDescent="0.2">
      <c r="B63" s="181">
        <v>2016</v>
      </c>
      <c r="C63" s="478"/>
      <c r="D63" s="182"/>
      <c r="E63" s="169" t="e">
        <f t="shared" si="7"/>
        <v>#DIV/0!</v>
      </c>
      <c r="F63" s="170" t="e">
        <f t="shared" si="8"/>
        <v>#DIV/0!</v>
      </c>
      <c r="G63" s="184" t="e">
        <f t="shared" si="9"/>
        <v>#DIV/0!</v>
      </c>
      <c r="I63" s="181">
        <v>2016</v>
      </c>
      <c r="J63" s="478"/>
      <c r="K63" s="182"/>
      <c r="L63" s="169" t="e">
        <f t="shared" si="10"/>
        <v>#DIV/0!</v>
      </c>
      <c r="M63" s="170" t="e">
        <f t="shared" si="11"/>
        <v>#DIV/0!</v>
      </c>
      <c r="N63" s="184" t="e">
        <f t="shared" si="12"/>
        <v>#DIV/0!</v>
      </c>
      <c r="P63" s="181">
        <v>2016</v>
      </c>
      <c r="Q63" s="478"/>
      <c r="R63" s="182"/>
      <c r="S63" s="169" t="e">
        <f t="shared" si="13"/>
        <v>#DIV/0!</v>
      </c>
      <c r="T63" s="170" t="e">
        <f t="shared" si="14"/>
        <v>#DIV/0!</v>
      </c>
      <c r="U63" s="184" t="e">
        <f t="shared" si="15"/>
        <v>#DIV/0!</v>
      </c>
      <c r="Y63" s="248"/>
      <c r="Z63" s="248"/>
    </row>
    <row r="64" spans="2:26" x14ac:dyDescent="0.2">
      <c r="B64" s="181">
        <v>2017</v>
      </c>
      <c r="C64" s="478"/>
      <c r="D64" s="182"/>
      <c r="E64" s="169" t="e">
        <f t="shared" si="7"/>
        <v>#DIV/0!</v>
      </c>
      <c r="F64" s="170" t="e">
        <f t="shared" si="8"/>
        <v>#DIV/0!</v>
      </c>
      <c r="G64" s="184" t="e">
        <f t="shared" si="9"/>
        <v>#DIV/0!</v>
      </c>
      <c r="I64" s="181">
        <v>2017</v>
      </c>
      <c r="J64" s="478"/>
      <c r="K64" s="182"/>
      <c r="L64" s="169" t="e">
        <f t="shared" si="10"/>
        <v>#DIV/0!</v>
      </c>
      <c r="M64" s="170" t="e">
        <f t="shared" si="11"/>
        <v>#DIV/0!</v>
      </c>
      <c r="N64" s="184" t="e">
        <f t="shared" si="12"/>
        <v>#DIV/0!</v>
      </c>
      <c r="P64" s="181">
        <v>2017</v>
      </c>
      <c r="Q64" s="478"/>
      <c r="R64" s="182"/>
      <c r="S64" s="169" t="e">
        <f t="shared" si="13"/>
        <v>#DIV/0!</v>
      </c>
      <c r="T64" s="170" t="e">
        <f t="shared" si="14"/>
        <v>#DIV/0!</v>
      </c>
      <c r="U64" s="184" t="e">
        <f t="shared" si="15"/>
        <v>#DIV/0!</v>
      </c>
      <c r="Y64" s="248"/>
      <c r="Z64" s="248"/>
    </row>
    <row r="65" spans="1:26" x14ac:dyDescent="0.2">
      <c r="B65" s="181">
        <v>2018</v>
      </c>
      <c r="C65" s="478"/>
      <c r="D65" s="182"/>
      <c r="E65" s="169" t="e">
        <f>(D65+C65-C53)/(C53)</f>
        <v>#DIV/0!</v>
      </c>
      <c r="F65" s="170" t="e">
        <f t="shared" si="0"/>
        <v>#DIV/0!</v>
      </c>
      <c r="G65" s="184" t="e">
        <f>G53*F65</f>
        <v>#DIV/0!</v>
      </c>
      <c r="I65" s="181">
        <v>2018</v>
      </c>
      <c r="J65" s="478"/>
      <c r="K65" s="182"/>
      <c r="L65" s="169" t="e">
        <f>(K65+J65-J53)/(J53)</f>
        <v>#DIV/0!</v>
      </c>
      <c r="M65" s="170" t="e">
        <f t="shared" si="1"/>
        <v>#DIV/0!</v>
      </c>
      <c r="N65" s="184" t="e">
        <f>N53*M65</f>
        <v>#DIV/0!</v>
      </c>
      <c r="P65" s="181">
        <v>2018</v>
      </c>
      <c r="Q65" s="478"/>
      <c r="R65" s="182"/>
      <c r="S65" s="169" t="e">
        <f>(R65+Q65-Q53)/(Q53)</f>
        <v>#DIV/0!</v>
      </c>
      <c r="T65" s="170" t="e">
        <f t="shared" si="3"/>
        <v>#DIV/0!</v>
      </c>
      <c r="U65" s="184" t="e">
        <f>U53*T65</f>
        <v>#DIV/0!</v>
      </c>
      <c r="Y65" s="248"/>
      <c r="Z65" s="248"/>
    </row>
    <row r="66" spans="1:26" x14ac:dyDescent="0.2">
      <c r="B66" s="181">
        <v>2019</v>
      </c>
      <c r="C66" s="478"/>
      <c r="D66" s="182"/>
      <c r="E66" s="169" t="e">
        <f t="shared" ref="E66:E73" si="16">(D66+C66-C65)/(C65)</f>
        <v>#DIV/0!</v>
      </c>
      <c r="F66" s="170" t="e">
        <f t="shared" si="0"/>
        <v>#DIV/0!</v>
      </c>
      <c r="G66" s="184" t="e">
        <f t="shared" si="4"/>
        <v>#DIV/0!</v>
      </c>
      <c r="I66" s="181">
        <v>2019</v>
      </c>
      <c r="J66" s="478"/>
      <c r="K66" s="182"/>
      <c r="L66" s="169" t="e">
        <f t="shared" ref="L66:L73" si="17">(K66+J66-J65)/(J65)</f>
        <v>#DIV/0!</v>
      </c>
      <c r="M66" s="170" t="e">
        <f t="shared" si="1"/>
        <v>#DIV/0!</v>
      </c>
      <c r="N66" s="184" t="e">
        <f t="shared" si="5"/>
        <v>#DIV/0!</v>
      </c>
      <c r="P66" s="181">
        <v>2019</v>
      </c>
      <c r="Q66" s="478"/>
      <c r="R66" s="182"/>
      <c r="S66" s="169" t="e">
        <f t="shared" si="2"/>
        <v>#DIV/0!</v>
      </c>
      <c r="T66" s="170" t="e">
        <f t="shared" si="3"/>
        <v>#DIV/0!</v>
      </c>
      <c r="U66" s="184" t="e">
        <f t="shared" si="6"/>
        <v>#DIV/0!</v>
      </c>
      <c r="Y66" s="248"/>
      <c r="Z66" s="248"/>
    </row>
    <row r="67" spans="1:26" x14ac:dyDescent="0.2">
      <c r="B67" s="181">
        <v>2020</v>
      </c>
      <c r="C67" s="478"/>
      <c r="D67" s="182"/>
      <c r="E67" s="169" t="e">
        <f t="shared" si="16"/>
        <v>#DIV/0!</v>
      </c>
      <c r="F67" s="170" t="e">
        <f t="shared" si="0"/>
        <v>#DIV/0!</v>
      </c>
      <c r="G67" s="184" t="e">
        <f t="shared" si="4"/>
        <v>#DIV/0!</v>
      </c>
      <c r="I67" s="181">
        <v>2020</v>
      </c>
      <c r="J67" s="478"/>
      <c r="K67" s="182"/>
      <c r="L67" s="169" t="e">
        <f t="shared" si="17"/>
        <v>#DIV/0!</v>
      </c>
      <c r="M67" s="170" t="e">
        <f t="shared" si="1"/>
        <v>#DIV/0!</v>
      </c>
      <c r="N67" s="184" t="e">
        <f t="shared" si="5"/>
        <v>#DIV/0!</v>
      </c>
      <c r="P67" s="181">
        <v>2020</v>
      </c>
      <c r="Q67" s="478"/>
      <c r="R67" s="182"/>
      <c r="S67" s="169" t="e">
        <f t="shared" si="2"/>
        <v>#DIV/0!</v>
      </c>
      <c r="T67" s="170" t="e">
        <f t="shared" si="3"/>
        <v>#DIV/0!</v>
      </c>
      <c r="U67" s="184" t="e">
        <f t="shared" si="6"/>
        <v>#DIV/0!</v>
      </c>
      <c r="Y67" s="248"/>
      <c r="Z67" s="248"/>
    </row>
    <row r="68" spans="1:26" x14ac:dyDescent="0.2">
      <c r="B68" s="181">
        <v>2021</v>
      </c>
      <c r="C68" s="478"/>
      <c r="D68" s="182"/>
      <c r="E68" s="169" t="e">
        <f t="shared" si="16"/>
        <v>#DIV/0!</v>
      </c>
      <c r="F68" s="170" t="e">
        <f t="shared" si="0"/>
        <v>#DIV/0!</v>
      </c>
      <c r="G68" s="184" t="e">
        <f t="shared" si="4"/>
        <v>#DIV/0!</v>
      </c>
      <c r="I68" s="181">
        <v>2021</v>
      </c>
      <c r="J68" s="478"/>
      <c r="K68" s="182"/>
      <c r="L68" s="169" t="e">
        <f t="shared" si="17"/>
        <v>#DIV/0!</v>
      </c>
      <c r="M68" s="170" t="e">
        <f t="shared" si="1"/>
        <v>#DIV/0!</v>
      </c>
      <c r="N68" s="184" t="e">
        <f t="shared" si="5"/>
        <v>#DIV/0!</v>
      </c>
      <c r="P68" s="181">
        <v>2021</v>
      </c>
      <c r="Q68" s="478"/>
      <c r="R68" s="182"/>
      <c r="S68" s="169" t="e">
        <f t="shared" si="2"/>
        <v>#DIV/0!</v>
      </c>
      <c r="T68" s="170" t="e">
        <f t="shared" si="3"/>
        <v>#DIV/0!</v>
      </c>
      <c r="U68" s="184" t="e">
        <f t="shared" si="6"/>
        <v>#DIV/0!</v>
      </c>
      <c r="Y68" s="248"/>
      <c r="Z68" s="248"/>
    </row>
    <row r="69" spans="1:26" x14ac:dyDescent="0.2">
      <c r="B69" s="181">
        <v>2022</v>
      </c>
      <c r="C69" s="478"/>
      <c r="D69" s="182"/>
      <c r="E69" s="169" t="e">
        <f t="shared" si="16"/>
        <v>#DIV/0!</v>
      </c>
      <c r="F69" s="170" t="e">
        <f t="shared" si="0"/>
        <v>#DIV/0!</v>
      </c>
      <c r="G69" s="184" t="e">
        <f t="shared" si="4"/>
        <v>#DIV/0!</v>
      </c>
      <c r="I69" s="181">
        <v>2022</v>
      </c>
      <c r="J69" s="478"/>
      <c r="K69" s="182"/>
      <c r="L69" s="169" t="e">
        <f t="shared" si="17"/>
        <v>#DIV/0!</v>
      </c>
      <c r="M69" s="170" t="e">
        <f t="shared" si="1"/>
        <v>#DIV/0!</v>
      </c>
      <c r="N69" s="184" t="e">
        <f t="shared" si="5"/>
        <v>#DIV/0!</v>
      </c>
      <c r="P69" s="181">
        <v>2022</v>
      </c>
      <c r="Q69" s="478"/>
      <c r="R69" s="182"/>
      <c r="S69" s="169" t="e">
        <f t="shared" si="2"/>
        <v>#DIV/0!</v>
      </c>
      <c r="T69" s="170" t="e">
        <f t="shared" si="3"/>
        <v>#DIV/0!</v>
      </c>
      <c r="U69" s="184" t="e">
        <f t="shared" si="6"/>
        <v>#DIV/0!</v>
      </c>
      <c r="Y69" s="248"/>
      <c r="Z69" s="248"/>
    </row>
    <row r="70" spans="1:26" x14ac:dyDescent="0.2">
      <c r="B70" s="181">
        <v>2023</v>
      </c>
      <c r="C70" s="478"/>
      <c r="D70" s="182"/>
      <c r="E70" s="169" t="e">
        <f t="shared" si="16"/>
        <v>#DIV/0!</v>
      </c>
      <c r="F70" s="170" t="e">
        <f t="shared" si="0"/>
        <v>#DIV/0!</v>
      </c>
      <c r="G70" s="184" t="e">
        <f t="shared" si="4"/>
        <v>#DIV/0!</v>
      </c>
      <c r="I70" s="181">
        <v>2023</v>
      </c>
      <c r="J70" s="478"/>
      <c r="K70" s="182"/>
      <c r="L70" s="169" t="e">
        <f t="shared" si="17"/>
        <v>#DIV/0!</v>
      </c>
      <c r="M70" s="170" t="e">
        <f t="shared" si="1"/>
        <v>#DIV/0!</v>
      </c>
      <c r="N70" s="184" t="e">
        <f t="shared" si="5"/>
        <v>#DIV/0!</v>
      </c>
      <c r="P70" s="181">
        <v>2023</v>
      </c>
      <c r="Q70" s="478"/>
      <c r="R70" s="182"/>
      <c r="S70" s="169" t="e">
        <f t="shared" si="2"/>
        <v>#DIV/0!</v>
      </c>
      <c r="T70" s="170" t="e">
        <f t="shared" si="3"/>
        <v>#DIV/0!</v>
      </c>
      <c r="U70" s="184" t="e">
        <f t="shared" si="6"/>
        <v>#DIV/0!</v>
      </c>
      <c r="Y70" s="248"/>
      <c r="Z70" s="248"/>
    </row>
    <row r="71" spans="1:26" x14ac:dyDescent="0.2">
      <c r="B71" s="181">
        <v>2024</v>
      </c>
      <c r="C71" s="478"/>
      <c r="D71" s="182"/>
      <c r="E71" s="169" t="e">
        <f t="shared" si="16"/>
        <v>#DIV/0!</v>
      </c>
      <c r="F71" s="170" t="e">
        <f t="shared" si="0"/>
        <v>#DIV/0!</v>
      </c>
      <c r="G71" s="184" t="e">
        <f t="shared" si="4"/>
        <v>#DIV/0!</v>
      </c>
      <c r="I71" s="181">
        <v>2024</v>
      </c>
      <c r="J71" s="478"/>
      <c r="K71" s="182"/>
      <c r="L71" s="169" t="e">
        <f t="shared" si="17"/>
        <v>#DIV/0!</v>
      </c>
      <c r="M71" s="170" t="e">
        <f t="shared" si="1"/>
        <v>#DIV/0!</v>
      </c>
      <c r="N71" s="184" t="e">
        <f t="shared" si="5"/>
        <v>#DIV/0!</v>
      </c>
      <c r="P71" s="181">
        <v>2024</v>
      </c>
      <c r="Q71" s="478"/>
      <c r="R71" s="182"/>
      <c r="S71" s="169" t="e">
        <f t="shared" si="2"/>
        <v>#DIV/0!</v>
      </c>
      <c r="T71" s="170" t="e">
        <f t="shared" si="3"/>
        <v>#DIV/0!</v>
      </c>
      <c r="U71" s="184" t="e">
        <f t="shared" si="6"/>
        <v>#DIV/0!</v>
      </c>
      <c r="Y71" s="248"/>
      <c r="Z71" s="248"/>
    </row>
    <row r="72" spans="1:26" x14ac:dyDescent="0.2">
      <c r="B72" s="181">
        <v>2025</v>
      </c>
      <c r="C72" s="478"/>
      <c r="D72" s="182"/>
      <c r="E72" s="169" t="e">
        <f t="shared" si="16"/>
        <v>#DIV/0!</v>
      </c>
      <c r="F72" s="170" t="e">
        <f t="shared" si="0"/>
        <v>#DIV/0!</v>
      </c>
      <c r="G72" s="184" t="e">
        <f t="shared" si="4"/>
        <v>#DIV/0!</v>
      </c>
      <c r="I72" s="181">
        <v>2025</v>
      </c>
      <c r="J72" s="478"/>
      <c r="K72" s="182"/>
      <c r="L72" s="169" t="e">
        <f t="shared" si="17"/>
        <v>#DIV/0!</v>
      </c>
      <c r="M72" s="170" t="e">
        <f t="shared" si="1"/>
        <v>#DIV/0!</v>
      </c>
      <c r="N72" s="184" t="e">
        <f t="shared" si="5"/>
        <v>#DIV/0!</v>
      </c>
      <c r="P72" s="181">
        <v>2025</v>
      </c>
      <c r="Q72" s="478"/>
      <c r="R72" s="182"/>
      <c r="S72" s="169" t="e">
        <f t="shared" si="2"/>
        <v>#DIV/0!</v>
      </c>
      <c r="T72" s="170" t="e">
        <f t="shared" si="3"/>
        <v>#DIV/0!</v>
      </c>
      <c r="U72" s="184" t="e">
        <f t="shared" si="6"/>
        <v>#DIV/0!</v>
      </c>
      <c r="Y72" s="248"/>
      <c r="Z72" s="248"/>
    </row>
    <row r="73" spans="1:26" x14ac:dyDescent="0.2">
      <c r="B73" s="181">
        <v>2026</v>
      </c>
      <c r="C73" s="478"/>
      <c r="D73" s="182"/>
      <c r="E73" s="169" t="e">
        <f t="shared" si="16"/>
        <v>#DIV/0!</v>
      </c>
      <c r="F73" s="170" t="e">
        <f t="shared" si="0"/>
        <v>#DIV/0!</v>
      </c>
      <c r="G73" s="184" t="e">
        <f t="shared" si="4"/>
        <v>#DIV/0!</v>
      </c>
      <c r="I73" s="181">
        <v>2026</v>
      </c>
      <c r="J73" s="478"/>
      <c r="K73" s="182"/>
      <c r="L73" s="169" t="e">
        <f t="shared" si="17"/>
        <v>#DIV/0!</v>
      </c>
      <c r="M73" s="170" t="e">
        <f t="shared" si="1"/>
        <v>#DIV/0!</v>
      </c>
      <c r="N73" s="184" t="e">
        <f t="shared" si="5"/>
        <v>#DIV/0!</v>
      </c>
      <c r="P73" s="181">
        <v>2026</v>
      </c>
      <c r="Q73" s="478"/>
      <c r="R73" s="182"/>
      <c r="S73" s="169" t="e">
        <f t="shared" si="2"/>
        <v>#DIV/0!</v>
      </c>
      <c r="T73" s="170" t="e">
        <f t="shared" si="3"/>
        <v>#DIV/0!</v>
      </c>
      <c r="U73" s="184" t="e">
        <f t="shared" si="6"/>
        <v>#DIV/0!</v>
      </c>
    </row>
    <row r="75" spans="1:26" s="238" customFormat="1" x14ac:dyDescent="0.2"/>
    <row r="77" spans="1:26" x14ac:dyDescent="0.2">
      <c r="A77" s="1" t="s">
        <v>606</v>
      </c>
    </row>
    <row r="78" spans="1:26" x14ac:dyDescent="0.2">
      <c r="A78" t="s">
        <v>607</v>
      </c>
    </row>
    <row r="80" spans="1:26" x14ac:dyDescent="0.2">
      <c r="A80" t="s">
        <v>612</v>
      </c>
    </row>
    <row r="82" spans="1:13" x14ac:dyDescent="0.2">
      <c r="B82" s="138" t="s">
        <v>322</v>
      </c>
      <c r="C82" s="1"/>
      <c r="D82" s="568" t="s">
        <v>323</v>
      </c>
      <c r="E82" s="568"/>
      <c r="F82" s="97"/>
      <c r="G82" s="97"/>
      <c r="H82" s="171"/>
    </row>
    <row r="83" spans="1:13" x14ac:dyDescent="0.2">
      <c r="D83" s="555" t="s">
        <v>324</v>
      </c>
      <c r="E83" s="555"/>
      <c r="F83" s="97"/>
    </row>
    <row r="84" spans="1:13" x14ac:dyDescent="0.2">
      <c r="A84" t="s">
        <v>611</v>
      </c>
      <c r="D84" s="97"/>
      <c r="E84" s="97"/>
      <c r="F84" s="97"/>
    </row>
    <row r="86" spans="1:13" ht="19" x14ac:dyDescent="0.2">
      <c r="B86" t="s">
        <v>325</v>
      </c>
      <c r="D86" t="s">
        <v>326</v>
      </c>
      <c r="H86" s="171"/>
    </row>
    <row r="88" spans="1:13" ht="16" customHeight="1" x14ac:dyDescent="0.2">
      <c r="G88" s="185"/>
    </row>
    <row r="89" spans="1:13" ht="16" customHeight="1" x14ac:dyDescent="0.2">
      <c r="A89" s="556"/>
      <c r="B89" s="556"/>
      <c r="C89" s="188" t="s">
        <v>354</v>
      </c>
      <c r="D89" s="188" t="s">
        <v>355</v>
      </c>
      <c r="E89" s="188" t="s">
        <v>356</v>
      </c>
      <c r="G89" s="185"/>
    </row>
    <row r="90" spans="1:13" ht="16" customHeight="1" x14ac:dyDescent="0.2">
      <c r="A90" s="617" t="s">
        <v>357</v>
      </c>
      <c r="B90" s="617"/>
      <c r="C90" s="186" t="e">
        <f>AVERAGE(E49:E73)</f>
        <v>#DIV/0!</v>
      </c>
      <c r="D90" s="186" t="e">
        <f>AVERAGE(L49:L73)</f>
        <v>#DIV/0!</v>
      </c>
      <c r="E90" s="186" t="e">
        <f>AVERAGE(S49:S73)</f>
        <v>#DIV/0!</v>
      </c>
      <c r="G90" s="185"/>
    </row>
    <row r="91" spans="1:13" ht="16" customHeight="1" x14ac:dyDescent="0.2">
      <c r="A91" s="617" t="s">
        <v>358</v>
      </c>
      <c r="B91" s="617"/>
      <c r="C91" s="181" t="e">
        <f>GEOMEAN(F49:F73)-1</f>
        <v>#DIV/0!</v>
      </c>
      <c r="D91" s="186" t="e">
        <f>GEOMEAN(M49:M73)-1</f>
        <v>#DIV/0!</v>
      </c>
      <c r="E91" s="186" t="e">
        <f>GEOMEAN(T49:T73)-1</f>
        <v>#DIV/0!</v>
      </c>
      <c r="G91" s="185"/>
    </row>
    <row r="92" spans="1:13" x14ac:dyDescent="0.2">
      <c r="G92" s="185"/>
    </row>
    <row r="93" spans="1:13" s="238" customFormat="1" x14ac:dyDescent="0.2">
      <c r="G93" s="407"/>
    </row>
    <row r="94" spans="1:13" x14ac:dyDescent="0.2">
      <c r="G94" s="185"/>
    </row>
    <row r="95" spans="1:13" x14ac:dyDescent="0.2">
      <c r="A95" s="1" t="s">
        <v>614</v>
      </c>
    </row>
    <row r="96" spans="1:13" ht="16" customHeight="1" x14ac:dyDescent="0.2">
      <c r="A96" s="539" t="s">
        <v>615</v>
      </c>
      <c r="B96" s="539"/>
      <c r="C96" s="539"/>
      <c r="D96" s="539"/>
      <c r="E96" s="539"/>
      <c r="F96" s="539"/>
      <c r="G96" s="539"/>
      <c r="H96" s="539"/>
      <c r="I96" s="539"/>
      <c r="J96" s="539"/>
      <c r="K96" s="539"/>
      <c r="L96" s="539"/>
      <c r="M96" s="156"/>
    </row>
    <row r="97" spans="1:13" x14ac:dyDescent="0.2">
      <c r="A97" s="539"/>
      <c r="B97" s="539"/>
      <c r="C97" s="539"/>
      <c r="D97" s="539"/>
      <c r="E97" s="539"/>
      <c r="F97" s="539"/>
      <c r="G97" s="539"/>
      <c r="H97" s="539"/>
      <c r="I97" s="539"/>
      <c r="J97" s="539"/>
      <c r="K97" s="539"/>
      <c r="L97" s="539"/>
      <c r="M97" s="156"/>
    </row>
    <row r="98" spans="1:13" x14ac:dyDescent="0.2">
      <c r="A98" s="539"/>
      <c r="B98" s="539"/>
      <c r="C98" s="539"/>
      <c r="D98" s="539"/>
      <c r="E98" s="539"/>
      <c r="F98" s="539"/>
      <c r="G98" s="539"/>
      <c r="H98" s="539"/>
      <c r="I98" s="539"/>
      <c r="J98" s="539"/>
      <c r="K98" s="539"/>
      <c r="L98" s="539"/>
      <c r="M98" s="156"/>
    </row>
    <row r="99" spans="1:13" ht="16" customHeight="1" x14ac:dyDescent="0.2">
      <c r="G99" s="156"/>
      <c r="H99" s="156"/>
      <c r="I99" s="156"/>
      <c r="J99" s="156"/>
      <c r="K99" s="156"/>
      <c r="L99" s="156"/>
      <c r="M99" s="156"/>
    </row>
    <row r="100" spans="1:13" ht="16" customHeight="1" x14ac:dyDescent="0.2">
      <c r="A100" t="s">
        <v>616</v>
      </c>
      <c r="G100" s="156"/>
      <c r="H100" s="156"/>
      <c r="I100" s="156"/>
      <c r="J100" s="156"/>
      <c r="K100" s="156"/>
      <c r="L100" s="156"/>
      <c r="M100" s="156"/>
    </row>
    <row r="101" spans="1:13" ht="16" customHeight="1" x14ac:dyDescent="0.2">
      <c r="G101" s="156"/>
      <c r="H101" s="156"/>
      <c r="I101" s="156"/>
      <c r="J101" s="156"/>
      <c r="K101" s="156"/>
      <c r="L101" s="156"/>
      <c r="M101" s="156"/>
    </row>
    <row r="102" spans="1:13" ht="20" x14ac:dyDescent="0.25">
      <c r="B102" t="s">
        <v>328</v>
      </c>
      <c r="C102" s="568" t="s">
        <v>329</v>
      </c>
      <c r="D102" s="568"/>
      <c r="E102" s="97" t="s">
        <v>110</v>
      </c>
      <c r="F102" s="97"/>
      <c r="G102" s="172"/>
      <c r="H102" s="156"/>
      <c r="I102" s="156"/>
      <c r="J102" s="156"/>
      <c r="K102" s="156"/>
      <c r="L102" s="156"/>
      <c r="M102" s="156"/>
    </row>
    <row r="103" spans="1:13" x14ac:dyDescent="0.2">
      <c r="C103" s="555" t="s">
        <v>330</v>
      </c>
      <c r="D103" s="555"/>
    </row>
    <row r="105" spans="1:13" x14ac:dyDescent="0.2">
      <c r="A105" t="s">
        <v>617</v>
      </c>
    </row>
    <row r="107" spans="1:13" ht="20" x14ac:dyDescent="0.25">
      <c r="B107" t="s">
        <v>331</v>
      </c>
      <c r="C107" s="619" t="s">
        <v>332</v>
      </c>
      <c r="D107" s="568" t="s">
        <v>329</v>
      </c>
      <c r="E107" s="568"/>
      <c r="F107" s="97"/>
      <c r="G107" s="618" t="s">
        <v>333</v>
      </c>
      <c r="H107" s="97"/>
      <c r="I107" s="171"/>
    </row>
    <row r="108" spans="1:13" x14ac:dyDescent="0.2">
      <c r="C108" s="619"/>
      <c r="D108" s="555" t="s">
        <v>330</v>
      </c>
      <c r="E108" s="555"/>
      <c r="F108" s="97"/>
      <c r="G108" s="618"/>
    </row>
    <row r="110" spans="1:13" ht="16" customHeight="1" x14ac:dyDescent="0.2">
      <c r="G110" s="185"/>
    </row>
    <row r="111" spans="1:13" ht="16" customHeight="1" x14ac:dyDescent="0.2">
      <c r="A111" s="556"/>
      <c r="B111" s="556"/>
      <c r="C111" s="188" t="s">
        <v>354</v>
      </c>
      <c r="D111" s="188" t="s">
        <v>355</v>
      </c>
      <c r="E111" s="188" t="s">
        <v>356</v>
      </c>
      <c r="G111" s="185"/>
    </row>
    <row r="112" spans="1:13" ht="16" customHeight="1" x14ac:dyDescent="0.2">
      <c r="A112" s="617" t="s">
        <v>359</v>
      </c>
      <c r="B112" s="617"/>
      <c r="C112" s="186" t="e">
        <f>_xlfn.VAR.S(E49:E73)</f>
        <v>#DIV/0!</v>
      </c>
      <c r="D112" s="186" t="e">
        <f>_xlfn.VAR.S(L49:L73)</f>
        <v>#DIV/0!</v>
      </c>
      <c r="E112" s="186" t="e">
        <f>_xlfn.VAR.S(S49:S73)</f>
        <v>#DIV/0!</v>
      </c>
      <c r="G112" s="185"/>
    </row>
    <row r="113" spans="1:7" ht="16" customHeight="1" x14ac:dyDescent="0.2">
      <c r="A113" s="617" t="s">
        <v>360</v>
      </c>
      <c r="B113" s="617"/>
      <c r="C113" s="186" t="e">
        <f>SQRT(C112)</f>
        <v>#DIV/0!</v>
      </c>
      <c r="D113" s="186" t="e">
        <f>SQRT(D112)</f>
        <v>#DIV/0!</v>
      </c>
      <c r="E113" s="186" t="e">
        <f>SQRT(E112)</f>
        <v>#DIV/0!</v>
      </c>
      <c r="G113" s="185"/>
    </row>
    <row r="114" spans="1:7" x14ac:dyDescent="0.2">
      <c r="G114" s="185"/>
    </row>
  </sheetData>
  <mergeCells count="16">
    <mergeCell ref="C103:D103"/>
    <mergeCell ref="A96:L98"/>
    <mergeCell ref="A20:L21"/>
    <mergeCell ref="D82:E82"/>
    <mergeCell ref="D83:E83"/>
    <mergeCell ref="C102:D102"/>
    <mergeCell ref="A89:B89"/>
    <mergeCell ref="A90:B90"/>
    <mergeCell ref="A91:B91"/>
    <mergeCell ref="A112:B112"/>
    <mergeCell ref="A113:B113"/>
    <mergeCell ref="G107:G108"/>
    <mergeCell ref="D107:E107"/>
    <mergeCell ref="D108:E108"/>
    <mergeCell ref="C107:C108"/>
    <mergeCell ref="A111:B111"/>
  </mergeCells>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T83"/>
  <sheetViews>
    <sheetView tabSelected="1" topLeftCell="A75" zoomScale="70" zoomScaleNormal="70" workbookViewId="0">
      <selection activeCell="J66" sqref="J66:K66"/>
    </sheetView>
  </sheetViews>
  <sheetFormatPr baseColWidth="10" defaultColWidth="10.5" defaultRowHeight="16" x14ac:dyDescent="0.2"/>
  <cols>
    <col min="2" max="2" width="14.33203125" customWidth="1"/>
    <col min="3" max="3" width="20" customWidth="1"/>
    <col min="4" max="4" width="20.33203125" customWidth="1"/>
    <col min="5" max="5" width="13.83203125" customWidth="1"/>
    <col min="7" max="9" width="12" bestFit="1" customWidth="1"/>
    <col min="14" max="14" width="12" bestFit="1" customWidth="1"/>
    <col min="18" max="18" width="12.83203125" customWidth="1"/>
  </cols>
  <sheetData>
    <row r="1" spans="1:10" ht="19" x14ac:dyDescent="0.25">
      <c r="A1" s="135" t="s">
        <v>618</v>
      </c>
    </row>
    <row r="2" spans="1:10" x14ac:dyDescent="0.2">
      <c r="A2" s="3" t="s">
        <v>623</v>
      </c>
    </row>
    <row r="3" spans="1:10" x14ac:dyDescent="0.2">
      <c r="A3" s="3"/>
    </row>
    <row r="4" spans="1:10" x14ac:dyDescent="0.2">
      <c r="A4" s="1" t="s">
        <v>604</v>
      </c>
    </row>
    <row r="5" spans="1:10" x14ac:dyDescent="0.2">
      <c r="A5" t="s">
        <v>457</v>
      </c>
    </row>
    <row r="7" spans="1:10" x14ac:dyDescent="0.2">
      <c r="A7" s="187"/>
      <c r="B7" s="187" t="s">
        <v>350</v>
      </c>
      <c r="C7" s="187" t="s">
        <v>351</v>
      </c>
      <c r="D7" s="187" t="s">
        <v>352</v>
      </c>
    </row>
    <row r="8" spans="1:10" x14ac:dyDescent="0.2">
      <c r="A8" s="187" t="s">
        <v>350</v>
      </c>
      <c r="B8" s="189" t="e">
        <f>'Finansiering - Afkast+Risiko'!C90</f>
        <v>#DIV/0!</v>
      </c>
      <c r="C8" s="189" t="e">
        <f>B9</f>
        <v>#DIV/0!</v>
      </c>
      <c r="D8" s="189" t="e">
        <f>B10</f>
        <v>#DIV/0!</v>
      </c>
    </row>
    <row r="9" spans="1:10" x14ac:dyDescent="0.2">
      <c r="A9" s="187" t="s">
        <v>351</v>
      </c>
      <c r="B9" s="189" t="e">
        <f>'Finansiering - Afkast+Risiko'!C90+'Finansiering - Afkast+Risiko'!D90</f>
        <v>#DIV/0!</v>
      </c>
      <c r="C9" s="189" t="e">
        <f>'Finansiering - Afkast+Risiko'!D90</f>
        <v>#DIV/0!</v>
      </c>
      <c r="D9" s="189" t="e">
        <f>C10</f>
        <v>#DIV/0!</v>
      </c>
    </row>
    <row r="10" spans="1:10" x14ac:dyDescent="0.2">
      <c r="A10" s="187" t="s">
        <v>352</v>
      </c>
      <c r="B10" s="189" t="e">
        <f>'Finansiering - Afkast+Risiko'!C90+'Finansiering - Afkast+Risiko'!E90</f>
        <v>#DIV/0!</v>
      </c>
      <c r="C10" s="189" t="e">
        <f>'Finansiering - Afkast+Risiko'!D90+'Finansiering - Afkast+Risiko'!E90</f>
        <v>#DIV/0!</v>
      </c>
      <c r="D10" s="189" t="e">
        <f>'Finansiering - Afkast+Risiko'!E91</f>
        <v>#DIV/0!</v>
      </c>
    </row>
    <row r="12" spans="1:10" x14ac:dyDescent="0.2">
      <c r="A12" s="274"/>
    </row>
    <row r="13" spans="1:10" x14ac:dyDescent="0.2">
      <c r="A13" s="1" t="s">
        <v>613</v>
      </c>
    </row>
    <row r="14" spans="1:10" x14ac:dyDescent="0.2">
      <c r="A14" s="3" t="s">
        <v>366</v>
      </c>
    </row>
    <row r="15" spans="1:10" ht="16" customHeight="1" x14ac:dyDescent="0.2">
      <c r="A15" s="539" t="s">
        <v>619</v>
      </c>
      <c r="B15" s="539"/>
      <c r="C15" s="539"/>
      <c r="D15" s="539"/>
      <c r="E15" s="539"/>
      <c r="F15" s="539"/>
      <c r="G15" s="539"/>
      <c r="H15" s="539"/>
      <c r="I15" s="539"/>
      <c r="J15" s="539"/>
    </row>
    <row r="16" spans="1:10" ht="16" customHeight="1" x14ac:dyDescent="0.2">
      <c r="A16" s="539"/>
      <c r="B16" s="539"/>
      <c r="C16" s="539"/>
      <c r="D16" s="539"/>
      <c r="E16" s="539"/>
      <c r="F16" s="539"/>
      <c r="G16" s="539"/>
      <c r="H16" s="539"/>
      <c r="I16" s="539"/>
      <c r="J16" s="539"/>
    </row>
    <row r="17" spans="1:10" ht="16" customHeight="1" x14ac:dyDescent="0.2">
      <c r="A17" s="138" t="s">
        <v>620</v>
      </c>
      <c r="B17" s="156"/>
      <c r="C17" s="156"/>
      <c r="D17" s="156"/>
      <c r="E17" s="156"/>
      <c r="F17" s="156"/>
      <c r="G17" s="156"/>
      <c r="H17" s="156"/>
      <c r="I17" s="156"/>
      <c r="J17" s="156"/>
    </row>
    <row r="19" spans="1:10" x14ac:dyDescent="0.2">
      <c r="A19" s="187"/>
      <c r="B19" s="187" t="s">
        <v>350</v>
      </c>
      <c r="C19" s="187" t="s">
        <v>351</v>
      </c>
      <c r="D19" s="187" t="s">
        <v>352</v>
      </c>
    </row>
    <row r="20" spans="1:10" x14ac:dyDescent="0.2">
      <c r="A20" s="187" t="s">
        <v>350</v>
      </c>
      <c r="B20" s="285" t="e">
        <f>'Finansiering - Afkast+Risiko'!C112</f>
        <v>#DIV/0!</v>
      </c>
      <c r="C20" s="285" t="e">
        <f>B21</f>
        <v>#DIV/0!</v>
      </c>
      <c r="D20" s="285" t="e">
        <f>B22</f>
        <v>#DIV/0!</v>
      </c>
    </row>
    <row r="21" spans="1:10" x14ac:dyDescent="0.2">
      <c r="A21" s="187" t="s">
        <v>351</v>
      </c>
      <c r="B21" s="285" t="e">
        <f>_xlfn.COVARIANCE.S('Finansiering - Afkast+Risiko'!E49:E73,'Finansiering - Afkast+Risiko'!L49:L73)</f>
        <v>#DIV/0!</v>
      </c>
      <c r="C21" s="285" t="e">
        <f>'Finansiering - Afkast+Risiko'!D112</f>
        <v>#DIV/0!</v>
      </c>
      <c r="D21" s="285" t="e">
        <f>C22</f>
        <v>#DIV/0!</v>
      </c>
    </row>
    <row r="22" spans="1:10" x14ac:dyDescent="0.2">
      <c r="A22" s="187" t="s">
        <v>352</v>
      </c>
      <c r="B22" s="285" t="e">
        <f>_xlfn.COVARIANCE.S('Finansiering - Afkast+Risiko'!E49:E73,'Finansiering - Afkast+Risiko'!S49:S73)</f>
        <v>#DIV/0!</v>
      </c>
      <c r="C22" s="285" t="e">
        <f>_xlfn.COVARIANCE.S('Finansiering - Afkast+Risiko'!L49:L73,'Finansiering - Afkast+Risiko'!S49:S73)</f>
        <v>#DIV/0!</v>
      </c>
      <c r="D22" s="285" t="e">
        <f>'Finansiering - Afkast+Risiko'!E112</f>
        <v>#DIV/0!</v>
      </c>
    </row>
    <row r="24" spans="1:10" x14ac:dyDescent="0.2">
      <c r="A24" s="3" t="s">
        <v>365</v>
      </c>
    </row>
    <row r="25" spans="1:10" ht="16" customHeight="1" x14ac:dyDescent="0.2">
      <c r="A25" t="s">
        <v>621</v>
      </c>
    </row>
    <row r="28" spans="1:10" ht="18" x14ac:dyDescent="0.25">
      <c r="B28" s="124" t="s">
        <v>629</v>
      </c>
      <c r="C28" s="164" t="s">
        <v>339</v>
      </c>
    </row>
    <row r="29" spans="1:10" ht="18" x14ac:dyDescent="0.25">
      <c r="C29" s="97" t="s">
        <v>340</v>
      </c>
    </row>
    <row r="31" spans="1:10" x14ac:dyDescent="0.2">
      <c r="A31" t="s">
        <v>341</v>
      </c>
    </row>
    <row r="32" spans="1:10" x14ac:dyDescent="0.2">
      <c r="A32" t="s">
        <v>622</v>
      </c>
    </row>
    <row r="34" spans="1:10" x14ac:dyDescent="0.2">
      <c r="A34" s="187"/>
      <c r="B34" s="187" t="s">
        <v>350</v>
      </c>
      <c r="C34" s="187" t="s">
        <v>351</v>
      </c>
      <c r="D34" s="187" t="s">
        <v>352</v>
      </c>
    </row>
    <row r="35" spans="1:10" x14ac:dyDescent="0.2">
      <c r="A35" s="187" t="s">
        <v>350</v>
      </c>
      <c r="B35" s="97">
        <v>1</v>
      </c>
      <c r="C35" s="285" t="e">
        <f>B36</f>
        <v>#DIV/0!</v>
      </c>
      <c r="D35" s="285" t="e">
        <f>B37</f>
        <v>#DIV/0!</v>
      </c>
    </row>
    <row r="36" spans="1:10" x14ac:dyDescent="0.2">
      <c r="A36" s="187" t="s">
        <v>351</v>
      </c>
      <c r="B36" s="285" t="e">
        <f>CORREL('Finansiering - Afkast+Risiko'!E49:E73,'Finansiering - Afkast+Risiko'!L49:L73)</f>
        <v>#DIV/0!</v>
      </c>
      <c r="C36" s="472">
        <v>1</v>
      </c>
      <c r="D36" s="285" t="e">
        <f>C37</f>
        <v>#DIV/0!</v>
      </c>
    </row>
    <row r="37" spans="1:10" x14ac:dyDescent="0.2">
      <c r="A37" s="187" t="s">
        <v>352</v>
      </c>
      <c r="B37" s="285" t="e">
        <f>CORREL('Finansiering - Afkast+Risiko'!E49:E73,'Finansiering - Afkast+Risiko'!S49:S73)</f>
        <v>#DIV/0!</v>
      </c>
      <c r="C37" s="285" t="e">
        <f>CORREL('Finansiering - Afkast+Risiko'!L49:L73,'Finansiering - Afkast+Risiko'!S49:S73)</f>
        <v>#DIV/0!</v>
      </c>
      <c r="D37" s="472">
        <v>1</v>
      </c>
    </row>
    <row r="38" spans="1:10" x14ac:dyDescent="0.2">
      <c r="B38" s="171"/>
      <c r="C38" s="171"/>
      <c r="D38" s="171"/>
    </row>
    <row r="39" spans="1:10" x14ac:dyDescent="0.2">
      <c r="B39" s="171"/>
      <c r="C39" s="171"/>
      <c r="D39" s="171"/>
    </row>
    <row r="40" spans="1:10" x14ac:dyDescent="0.2">
      <c r="A40" s="1" t="s">
        <v>624</v>
      </c>
    </row>
    <row r="41" spans="1:10" x14ac:dyDescent="0.2">
      <c r="A41" s="138" t="s">
        <v>625</v>
      </c>
      <c r="B41" s="156"/>
      <c r="C41" s="156"/>
      <c r="D41" s="156"/>
    </row>
    <row r="42" spans="1:10" ht="18" x14ac:dyDescent="0.25">
      <c r="A42" s="31"/>
      <c r="B42" s="31" t="s">
        <v>367</v>
      </c>
      <c r="C42" s="31"/>
      <c r="D42" s="31"/>
      <c r="E42" s="31"/>
      <c r="F42" s="31"/>
      <c r="G42" s="31"/>
      <c r="H42" s="31"/>
      <c r="I42" s="31"/>
      <c r="J42" s="31"/>
    </row>
    <row r="43" spans="1:10" x14ac:dyDescent="0.2">
      <c r="A43" s="31"/>
      <c r="B43" s="31"/>
      <c r="C43" s="31"/>
      <c r="D43" s="31"/>
      <c r="E43" s="31"/>
      <c r="F43" s="31"/>
      <c r="G43" s="31"/>
      <c r="H43" s="31"/>
      <c r="I43" s="31"/>
      <c r="J43" s="31"/>
    </row>
    <row r="44" spans="1:10" ht="16" customHeight="1" x14ac:dyDescent="0.2">
      <c r="A44" s="339" t="s">
        <v>627</v>
      </c>
      <c r="B44" s="194"/>
      <c r="C44" s="194"/>
      <c r="D44" s="194"/>
      <c r="E44" s="31"/>
      <c r="F44" s="31"/>
      <c r="G44" s="31"/>
      <c r="H44" s="31"/>
      <c r="I44" s="31"/>
      <c r="J44" s="31"/>
    </row>
    <row r="45" spans="1:10" ht="16" customHeight="1" x14ac:dyDescent="0.2">
      <c r="E45" s="194"/>
      <c r="F45" s="194"/>
      <c r="G45" s="194"/>
      <c r="H45" s="194"/>
      <c r="I45" s="194"/>
      <c r="J45" s="31"/>
    </row>
    <row r="46" spans="1:10" ht="18" x14ac:dyDescent="0.25">
      <c r="B46" s="551" t="s">
        <v>626</v>
      </c>
      <c r="C46" s="551"/>
      <c r="D46" t="s">
        <v>370</v>
      </c>
      <c r="J46" s="31"/>
    </row>
    <row r="47" spans="1:10" x14ac:dyDescent="0.2">
      <c r="A47" s="31"/>
      <c r="B47" s="31"/>
      <c r="C47" s="31"/>
      <c r="D47" s="31"/>
      <c r="J47" s="31"/>
    </row>
    <row r="48" spans="1:10" x14ac:dyDescent="0.2">
      <c r="A48" s="31" t="s">
        <v>628</v>
      </c>
      <c r="B48" s="31"/>
      <c r="C48" s="31"/>
      <c r="D48" s="31"/>
      <c r="E48" s="31"/>
      <c r="F48" s="31"/>
      <c r="G48" s="31"/>
      <c r="H48" s="31"/>
      <c r="I48" s="31"/>
      <c r="J48" s="31"/>
    </row>
    <row r="49" spans="1:20" x14ac:dyDescent="0.2">
      <c r="A49" s="31"/>
      <c r="B49" s="31"/>
      <c r="C49" s="31"/>
      <c r="D49" s="31"/>
      <c r="E49" s="31"/>
      <c r="F49" s="31"/>
      <c r="G49" s="31"/>
      <c r="H49" s="31"/>
      <c r="I49" s="31"/>
      <c r="J49" s="31"/>
      <c r="M49" s="171"/>
      <c r="N49" s="171"/>
      <c r="O49" s="171"/>
    </row>
    <row r="50" spans="1:20" ht="20" x14ac:dyDescent="0.25">
      <c r="A50" s="31"/>
      <c r="B50" s="408" t="s">
        <v>342</v>
      </c>
      <c r="C50" s="31" t="s">
        <v>368</v>
      </c>
      <c r="D50" s="31"/>
      <c r="E50" s="31"/>
      <c r="F50" s="31"/>
      <c r="G50" s="31"/>
      <c r="H50" s="31"/>
      <c r="I50" s="31"/>
      <c r="J50" s="31"/>
    </row>
    <row r="51" spans="1:20" x14ac:dyDescent="0.2">
      <c r="A51" s="31"/>
      <c r="B51" s="31"/>
      <c r="C51" s="31"/>
      <c r="D51" s="31"/>
      <c r="E51" s="31"/>
      <c r="F51" s="31"/>
      <c r="G51" s="31"/>
      <c r="H51" s="31"/>
      <c r="I51" s="31"/>
      <c r="J51" s="31"/>
    </row>
    <row r="52" spans="1:20" ht="20" x14ac:dyDescent="0.25">
      <c r="A52" s="31"/>
      <c r="B52" s="408" t="s">
        <v>110</v>
      </c>
      <c r="C52" s="339" t="s">
        <v>532</v>
      </c>
      <c r="D52" s="31"/>
      <c r="E52" s="31"/>
      <c r="F52" s="31"/>
      <c r="G52" s="31"/>
      <c r="H52" s="31"/>
      <c r="I52" s="31"/>
      <c r="J52" s="31"/>
    </row>
    <row r="53" spans="1:20" x14ac:dyDescent="0.2">
      <c r="A53" s="31"/>
      <c r="B53" s="31"/>
      <c r="C53" s="31"/>
      <c r="D53" s="31"/>
      <c r="E53" s="31"/>
      <c r="F53" s="31"/>
      <c r="G53" s="31"/>
      <c r="H53" s="31"/>
      <c r="I53" s="31"/>
      <c r="J53" s="31"/>
    </row>
    <row r="54" spans="1:20" ht="16" customHeight="1" x14ac:dyDescent="0.2">
      <c r="A54" s="622" t="s">
        <v>630</v>
      </c>
      <c r="B54" s="622"/>
      <c r="C54" s="622"/>
      <c r="D54" s="622"/>
      <c r="E54" s="622"/>
      <c r="F54" s="622"/>
      <c r="G54" s="622"/>
      <c r="H54" s="411"/>
      <c r="I54" s="31"/>
      <c r="J54" s="31"/>
    </row>
    <row r="55" spans="1:20" x14ac:dyDescent="0.2">
      <c r="A55" s="622"/>
      <c r="B55" s="622"/>
      <c r="C55" s="622"/>
      <c r="D55" s="622"/>
      <c r="E55" s="622"/>
      <c r="F55" s="622"/>
      <c r="G55" s="622"/>
      <c r="H55" s="411"/>
      <c r="I55" s="31"/>
      <c r="J55" s="31"/>
    </row>
    <row r="56" spans="1:20" x14ac:dyDescent="0.2">
      <c r="A56" s="622"/>
      <c r="B56" s="622"/>
      <c r="C56" s="622"/>
      <c r="D56" s="622"/>
      <c r="E56" s="622"/>
      <c r="F56" s="622"/>
      <c r="G56" s="622"/>
      <c r="H56" s="411"/>
      <c r="I56" s="31"/>
      <c r="J56" s="31"/>
      <c r="T56" s="171"/>
    </row>
    <row r="57" spans="1:20" x14ac:dyDescent="0.2">
      <c r="A57" s="411"/>
      <c r="B57" s="411"/>
      <c r="C57" s="411"/>
      <c r="D57" s="411"/>
      <c r="E57" s="411"/>
      <c r="F57" s="411"/>
      <c r="G57" s="411"/>
      <c r="H57" s="411"/>
      <c r="I57" s="31"/>
      <c r="J57" s="31"/>
    </row>
    <row r="58" spans="1:20" x14ac:dyDescent="0.2">
      <c r="A58" s="412" t="s">
        <v>631</v>
      </c>
      <c r="B58" s="410"/>
      <c r="C58" s="410"/>
      <c r="D58" s="410"/>
      <c r="E58" s="410"/>
      <c r="F58" s="410"/>
      <c r="G58" s="410"/>
      <c r="H58" s="410"/>
      <c r="I58" s="31"/>
      <c r="J58" s="31"/>
    </row>
    <row r="59" spans="1:20" x14ac:dyDescent="0.2">
      <c r="A59" s="412"/>
      <c r="B59" s="410"/>
      <c r="C59" s="410"/>
      <c r="D59" s="410"/>
      <c r="E59" s="410"/>
      <c r="F59" s="410"/>
      <c r="G59" s="410"/>
      <c r="H59" s="410"/>
      <c r="I59" s="31"/>
      <c r="J59" s="31"/>
    </row>
    <row r="60" spans="1:20" x14ac:dyDescent="0.2">
      <c r="A60" s="3" t="s">
        <v>633</v>
      </c>
      <c r="E60" s="410"/>
      <c r="F60" s="3" t="s">
        <v>634</v>
      </c>
      <c r="J60" s="31"/>
    </row>
    <row r="61" spans="1:20" x14ac:dyDescent="0.2">
      <c r="A61" s="187"/>
      <c r="B61" s="187">
        <v>0.5</v>
      </c>
      <c r="C61" s="187">
        <v>0.5</v>
      </c>
      <c r="D61" s="187">
        <f>1-B61-C61</f>
        <v>0</v>
      </c>
      <c r="E61" s="410"/>
      <c r="F61" s="187"/>
      <c r="G61" s="187">
        <v>0.8</v>
      </c>
      <c r="H61" s="187">
        <v>0.2</v>
      </c>
      <c r="I61" s="187">
        <f>1-G61-H61</f>
        <v>0</v>
      </c>
      <c r="J61" s="31"/>
    </row>
    <row r="62" spans="1:20" ht="16" customHeight="1" x14ac:dyDescent="0.2">
      <c r="A62" s="187">
        <f>B61</f>
        <v>0.5</v>
      </c>
      <c r="B62" s="189" t="e">
        <f>B$61*$A62*B20</f>
        <v>#DIV/0!</v>
      </c>
      <c r="C62" s="189" t="e">
        <f t="shared" ref="B62:D64" si="0">C$61*$A62*C20</f>
        <v>#DIV/0!</v>
      </c>
      <c r="D62" s="189" t="e">
        <f t="shared" si="0"/>
        <v>#DIV/0!</v>
      </c>
      <c r="F62" s="187">
        <f>G61</f>
        <v>0.8</v>
      </c>
      <c r="G62" s="189" t="e">
        <f t="shared" ref="G62:I64" si="1">G$61*$F62*B20</f>
        <v>#DIV/0!</v>
      </c>
      <c r="H62" s="189" t="e">
        <f t="shared" si="1"/>
        <v>#DIV/0!</v>
      </c>
      <c r="I62" s="189" t="e">
        <f t="shared" si="1"/>
        <v>#DIV/0!</v>
      </c>
      <c r="J62" s="31"/>
    </row>
    <row r="63" spans="1:20" ht="16" customHeight="1" x14ac:dyDescent="0.2">
      <c r="A63" s="187">
        <f>C61</f>
        <v>0.5</v>
      </c>
      <c r="B63" s="189" t="e">
        <f t="shared" si="0"/>
        <v>#DIV/0!</v>
      </c>
      <c r="C63" s="189" t="e">
        <f t="shared" si="0"/>
        <v>#DIV/0!</v>
      </c>
      <c r="D63" s="189" t="e">
        <f>D$61*$A63*D21</f>
        <v>#DIV/0!</v>
      </c>
      <c r="F63" s="187">
        <f>H61</f>
        <v>0.2</v>
      </c>
      <c r="G63" s="189" t="e">
        <f t="shared" si="1"/>
        <v>#DIV/0!</v>
      </c>
      <c r="H63" s="189" t="e">
        <f t="shared" si="1"/>
        <v>#DIV/0!</v>
      </c>
      <c r="I63" s="189" t="e">
        <f t="shared" si="1"/>
        <v>#DIV/0!</v>
      </c>
      <c r="J63" s="31"/>
    </row>
    <row r="64" spans="1:20" ht="16" customHeight="1" x14ac:dyDescent="0.2">
      <c r="A64" s="187">
        <f>D61</f>
        <v>0</v>
      </c>
      <c r="B64" s="189" t="e">
        <f t="shared" si="0"/>
        <v>#DIV/0!</v>
      </c>
      <c r="C64" s="189" t="e">
        <f t="shared" si="0"/>
        <v>#DIV/0!</v>
      </c>
      <c r="D64" s="189" t="e">
        <f t="shared" si="0"/>
        <v>#DIV/0!</v>
      </c>
      <c r="F64" s="187">
        <f>I61</f>
        <v>0</v>
      </c>
      <c r="G64" s="189" t="e">
        <f t="shared" si="1"/>
        <v>#DIV/0!</v>
      </c>
      <c r="H64" s="189" t="e">
        <f t="shared" si="1"/>
        <v>#DIV/0!</v>
      </c>
      <c r="I64" s="189" t="e">
        <f t="shared" si="1"/>
        <v>#DIV/0!</v>
      </c>
      <c r="J64" s="31"/>
    </row>
    <row r="65" spans="1:15" ht="16" customHeight="1" x14ac:dyDescent="0.2">
      <c r="E65" s="194"/>
      <c r="H65" s="171"/>
      <c r="I65" s="171"/>
      <c r="J65" s="31"/>
    </row>
    <row r="66" spans="1:15" ht="16" customHeight="1" x14ac:dyDescent="0.2">
      <c r="A66" t="s">
        <v>632</v>
      </c>
      <c r="E66" s="194"/>
      <c r="H66" s="171"/>
      <c r="I66" s="171"/>
      <c r="J66" s="31"/>
    </row>
    <row r="67" spans="1:15" ht="16" customHeight="1" x14ac:dyDescent="0.2">
      <c r="E67" s="194"/>
      <c r="H67" s="171"/>
      <c r="I67" s="171"/>
      <c r="J67" s="31"/>
    </row>
    <row r="68" spans="1:15" ht="16" customHeight="1" x14ac:dyDescent="0.2">
      <c r="A68" s="3" t="s">
        <v>633</v>
      </c>
      <c r="F68" s="3" t="s">
        <v>634</v>
      </c>
      <c r="I68" s="171"/>
      <c r="J68" s="31"/>
    </row>
    <row r="69" spans="1:15" ht="16" customHeight="1" x14ac:dyDescent="0.2">
      <c r="A69" s="620" t="s">
        <v>362</v>
      </c>
      <c r="B69" s="621"/>
      <c r="C69" s="190">
        <f>SUM(A62:A64)</f>
        <v>1</v>
      </c>
      <c r="F69" s="620" t="s">
        <v>362</v>
      </c>
      <c r="G69" s="621"/>
      <c r="H69" s="190">
        <f>SUM(F62:F64)</f>
        <v>1</v>
      </c>
      <c r="I69" s="171"/>
      <c r="J69" s="31"/>
    </row>
    <row r="70" spans="1:15" x14ac:dyDescent="0.2">
      <c r="A70" s="620" t="s">
        <v>369</v>
      </c>
      <c r="B70" s="621"/>
      <c r="C70" s="191" t="e">
        <f>A62*'Finansiering - Afkast+Risiko'!C90+A63*'Finansiering - Afkast+Risiko'!D90+A64*'Finansiering - Afkast+Risiko'!E90</f>
        <v>#DIV/0!</v>
      </c>
      <c r="F70" s="620" t="s">
        <v>369</v>
      </c>
      <c r="G70" s="621"/>
      <c r="H70" s="191" t="e">
        <f>F62*'Finansiering - Afkast+Risiko'!C90+F63*'Finansiering - Afkast+Risiko'!D90+F64*'Finansiering - Afkast+Risiko'!E90</f>
        <v>#DIV/0!</v>
      </c>
      <c r="J70" s="31"/>
    </row>
    <row r="71" spans="1:15" x14ac:dyDescent="0.2">
      <c r="A71" s="620" t="s">
        <v>363</v>
      </c>
      <c r="B71" s="621"/>
      <c r="C71" s="192" t="e">
        <f>SUM(B62:D64)</f>
        <v>#DIV/0!</v>
      </c>
      <c r="D71" s="171"/>
      <c r="F71" s="620" t="s">
        <v>363</v>
      </c>
      <c r="G71" s="621"/>
      <c r="H71" s="192" t="e">
        <f>SUM(G62:I64)</f>
        <v>#DIV/0!</v>
      </c>
      <c r="J71" s="31"/>
    </row>
    <row r="72" spans="1:15" x14ac:dyDescent="0.2">
      <c r="A72" s="620" t="s">
        <v>364</v>
      </c>
      <c r="B72" s="621"/>
      <c r="C72" s="193" t="e">
        <f>SQRT(C71)</f>
        <v>#DIV/0!</v>
      </c>
      <c r="D72" s="171"/>
      <c r="F72" s="620" t="s">
        <v>364</v>
      </c>
      <c r="G72" s="621"/>
      <c r="H72" s="193" t="e">
        <f>SQRT(H71)</f>
        <v>#DIV/0!</v>
      </c>
      <c r="J72" s="31"/>
    </row>
    <row r="73" spans="1:15" x14ac:dyDescent="0.2">
      <c r="E73" s="194"/>
      <c r="J73" s="31"/>
    </row>
    <row r="74" spans="1:15" x14ac:dyDescent="0.2">
      <c r="A74" s="31"/>
      <c r="B74" s="31"/>
      <c r="C74" s="31"/>
      <c r="D74" s="31"/>
      <c r="E74" s="194"/>
      <c r="F74" s="194"/>
      <c r="G74" s="194"/>
      <c r="H74" s="194"/>
      <c r="I74" s="194"/>
      <c r="J74" s="31"/>
    </row>
    <row r="75" spans="1:15" ht="16" customHeight="1" x14ac:dyDescent="0.2">
      <c r="A75" s="196" t="s">
        <v>685</v>
      </c>
      <c r="B75" s="195"/>
      <c r="C75" s="31"/>
      <c r="D75" s="31"/>
      <c r="E75" s="31"/>
      <c r="F75" s="31"/>
      <c r="G75" s="31"/>
      <c r="H75" s="31"/>
      <c r="I75" s="31"/>
      <c r="J75" s="31"/>
    </row>
    <row r="76" spans="1:15" ht="16" customHeight="1" x14ac:dyDescent="0.2">
      <c r="A76" s="539" t="s">
        <v>635</v>
      </c>
      <c r="B76" s="539"/>
      <c r="C76" s="539"/>
      <c r="D76" s="539"/>
      <c r="E76" s="539"/>
      <c r="F76" s="539"/>
      <c r="G76" s="539"/>
      <c r="H76" s="539"/>
      <c r="I76" s="539"/>
      <c r="J76" s="539"/>
      <c r="K76" s="539"/>
      <c r="L76" s="539"/>
      <c r="M76" s="539"/>
      <c r="N76" s="539"/>
      <c r="O76" s="539"/>
    </row>
    <row r="77" spans="1:15" ht="16" customHeight="1" x14ac:dyDescent="0.2">
      <c r="A77" s="539"/>
      <c r="B77" s="539"/>
      <c r="C77" s="539"/>
      <c r="D77" s="539"/>
      <c r="E77" s="539"/>
      <c r="F77" s="539"/>
      <c r="G77" s="539"/>
      <c r="H77" s="539"/>
      <c r="I77" s="539"/>
      <c r="J77" s="539"/>
      <c r="K77" s="539"/>
      <c r="L77" s="539"/>
      <c r="M77" s="539"/>
      <c r="N77" s="539"/>
      <c r="O77" s="539"/>
    </row>
    <row r="78" spans="1:15" ht="16" customHeight="1" x14ac:dyDescent="0.2">
      <c r="A78" s="409"/>
      <c r="B78" s="338"/>
      <c r="C78" s="338"/>
      <c r="D78" s="338"/>
      <c r="E78" s="338"/>
      <c r="F78" s="338"/>
      <c r="G78" s="338"/>
      <c r="H78" s="338"/>
      <c r="I78" s="338"/>
      <c r="J78" s="31"/>
    </row>
    <row r="79" spans="1:15" x14ac:dyDescent="0.2">
      <c r="A79" s="409" t="s">
        <v>636</v>
      </c>
      <c r="B79" s="338"/>
      <c r="C79" s="338"/>
      <c r="D79" s="338"/>
      <c r="E79" s="338"/>
      <c r="F79" s="338"/>
      <c r="G79" s="338"/>
      <c r="H79" s="338"/>
      <c r="I79" s="338"/>
      <c r="J79" s="31"/>
    </row>
    <row r="80" spans="1:15" x14ac:dyDescent="0.2">
      <c r="A80" s="31"/>
      <c r="B80" s="31"/>
      <c r="C80" s="31"/>
      <c r="D80" s="31"/>
      <c r="E80" s="338"/>
      <c r="F80" s="338"/>
      <c r="G80" s="338"/>
      <c r="H80" s="338"/>
      <c r="I80" s="338"/>
      <c r="J80" s="31"/>
      <c r="N80" s="197"/>
    </row>
    <row r="81" spans="1:10" x14ac:dyDescent="0.2">
      <c r="A81" s="339"/>
      <c r="B81" s="194"/>
      <c r="C81" s="194"/>
      <c r="D81" s="194"/>
      <c r="E81" s="31"/>
      <c r="F81" s="31"/>
      <c r="G81" s="31"/>
      <c r="H81" s="31"/>
      <c r="I81" s="31"/>
      <c r="J81" s="31"/>
    </row>
    <row r="82" spans="1:10" ht="16" customHeight="1" x14ac:dyDescent="0.2">
      <c r="A82" s="421" t="s">
        <v>686</v>
      </c>
      <c r="B82" s="194"/>
      <c r="C82" s="194"/>
      <c r="D82" s="194"/>
      <c r="E82" s="194"/>
      <c r="F82" s="194"/>
      <c r="G82" s="194"/>
      <c r="H82" s="194"/>
      <c r="I82" s="194"/>
      <c r="J82" s="194"/>
    </row>
    <row r="83" spans="1:10" x14ac:dyDescent="0.2">
      <c r="A83" t="s">
        <v>687</v>
      </c>
    </row>
  </sheetData>
  <mergeCells count="12">
    <mergeCell ref="A15:J16"/>
    <mergeCell ref="B46:C46"/>
    <mergeCell ref="F69:G69"/>
    <mergeCell ref="F70:G70"/>
    <mergeCell ref="F71:G71"/>
    <mergeCell ref="A54:G56"/>
    <mergeCell ref="A76:O77"/>
    <mergeCell ref="F72:G72"/>
    <mergeCell ref="A69:B69"/>
    <mergeCell ref="A70:B70"/>
    <mergeCell ref="A71:B71"/>
    <mergeCell ref="A72:B72"/>
  </mergeCells>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C64EA-B3B0-5146-959F-12654E430B70}">
  <sheetPr>
    <tabColor theme="5"/>
  </sheetPr>
  <dimension ref="A1:L112"/>
  <sheetViews>
    <sheetView topLeftCell="A66" zoomScale="70" zoomScaleNormal="70" workbookViewId="0">
      <selection activeCell="A66" sqref="A66"/>
    </sheetView>
  </sheetViews>
  <sheetFormatPr baseColWidth="10" defaultColWidth="10.5" defaultRowHeight="16" x14ac:dyDescent="0.2"/>
  <cols>
    <col min="2" max="2" width="13.5" customWidth="1"/>
    <col min="3" max="3" width="12" bestFit="1" customWidth="1"/>
    <col min="4" max="4" width="16.5" customWidth="1"/>
    <col min="5" max="5" width="13" bestFit="1" customWidth="1"/>
    <col min="6" max="7" width="12" bestFit="1" customWidth="1"/>
    <col min="12" max="12" width="13.83203125" customWidth="1"/>
  </cols>
  <sheetData>
    <row r="1" spans="1:12" ht="19" x14ac:dyDescent="0.25">
      <c r="A1" s="135" t="s">
        <v>637</v>
      </c>
    </row>
    <row r="2" spans="1:12" x14ac:dyDescent="0.2">
      <c r="A2" s="1" t="s">
        <v>659</v>
      </c>
    </row>
    <row r="3" spans="1:12" x14ac:dyDescent="0.2">
      <c r="A3" t="s">
        <v>638</v>
      </c>
    </row>
    <row r="4" spans="1:12" x14ac:dyDescent="0.2">
      <c r="A4" s="539" t="s">
        <v>639</v>
      </c>
      <c r="B4" s="539"/>
      <c r="C4" s="539"/>
      <c r="D4" s="539"/>
      <c r="E4" s="539"/>
      <c r="F4" s="539"/>
      <c r="G4" s="539"/>
      <c r="H4" s="539"/>
      <c r="I4" s="539"/>
      <c r="J4" s="539"/>
      <c r="K4" s="539"/>
      <c r="L4" s="539"/>
    </row>
    <row r="5" spans="1:12" x14ac:dyDescent="0.2">
      <c r="A5" s="539"/>
      <c r="B5" s="539"/>
      <c r="C5" s="539"/>
      <c r="D5" s="539"/>
      <c r="E5" s="539"/>
      <c r="F5" s="539"/>
      <c r="G5" s="539"/>
      <c r="H5" s="539"/>
      <c r="I5" s="539"/>
      <c r="J5" s="539"/>
      <c r="K5" s="539"/>
      <c r="L5" s="539"/>
    </row>
    <row r="7" spans="1:12" x14ac:dyDescent="0.2">
      <c r="A7" t="s">
        <v>640</v>
      </c>
    </row>
    <row r="9" spans="1:12" ht="18" x14ac:dyDescent="0.25">
      <c r="C9" s="124" t="s">
        <v>664</v>
      </c>
      <c r="D9" t="s">
        <v>662</v>
      </c>
    </row>
    <row r="10" spans="1:12" ht="20" x14ac:dyDescent="0.25">
      <c r="B10" s="630" t="s">
        <v>663</v>
      </c>
      <c r="C10" s="630"/>
      <c r="D10" s="31" t="s">
        <v>667</v>
      </c>
      <c r="F10" s="416" t="s">
        <v>665</v>
      </c>
      <c r="G10" s="551" t="s">
        <v>666</v>
      </c>
      <c r="H10" s="551"/>
      <c r="I10" s="31" t="s">
        <v>668</v>
      </c>
    </row>
    <row r="12" spans="1:12" x14ac:dyDescent="0.2">
      <c r="A12" t="s">
        <v>641</v>
      </c>
    </row>
    <row r="14" spans="1:12" x14ac:dyDescent="0.2">
      <c r="B14" s="3" t="s">
        <v>449</v>
      </c>
    </row>
    <row r="15" spans="1:12" ht="34" x14ac:dyDescent="0.2">
      <c r="B15" s="165" t="s">
        <v>334</v>
      </c>
      <c r="C15" s="166" t="s">
        <v>338</v>
      </c>
      <c r="D15" s="167" t="s">
        <v>337</v>
      </c>
      <c r="E15" s="166" t="s">
        <v>335</v>
      </c>
      <c r="F15" s="168" t="s">
        <v>336</v>
      </c>
      <c r="G15" s="183" t="s">
        <v>353</v>
      </c>
    </row>
    <row r="16" spans="1:12" x14ac:dyDescent="0.2">
      <c r="B16" s="181">
        <v>2001</v>
      </c>
      <c r="C16" s="479"/>
      <c r="D16" s="182"/>
      <c r="E16" s="179"/>
      <c r="F16" s="180"/>
      <c r="G16" s="180"/>
    </row>
    <row r="17" spans="2:7" x14ac:dyDescent="0.2">
      <c r="B17" s="181">
        <v>2002</v>
      </c>
      <c r="C17" s="479"/>
      <c r="D17" s="182"/>
      <c r="E17" s="169" t="e">
        <f>(D17+C17-C16)/(C16)</f>
        <v>#DIV/0!</v>
      </c>
      <c r="F17" s="170" t="e">
        <f t="shared" ref="F17:F22" si="0">E17+1</f>
        <v>#DIV/0!</v>
      </c>
      <c r="G17" s="184" t="e">
        <f>F17</f>
        <v>#DIV/0!</v>
      </c>
    </row>
    <row r="18" spans="2:7" x14ac:dyDescent="0.2">
      <c r="B18" s="181">
        <v>2003</v>
      </c>
      <c r="C18" s="479"/>
      <c r="D18" s="182"/>
      <c r="E18" s="169" t="e">
        <f t="shared" ref="E18:E22" si="1">(D18+C18-C17)/(C17)</f>
        <v>#DIV/0!</v>
      </c>
      <c r="F18" s="170" t="e">
        <f t="shared" si="0"/>
        <v>#DIV/0!</v>
      </c>
      <c r="G18" s="184" t="e">
        <f>G17*F18</f>
        <v>#DIV/0!</v>
      </c>
    </row>
    <row r="19" spans="2:7" x14ac:dyDescent="0.2">
      <c r="B19" s="181">
        <v>2004</v>
      </c>
      <c r="C19" s="479"/>
      <c r="D19" s="182"/>
      <c r="E19" s="169" t="e">
        <f t="shared" si="1"/>
        <v>#DIV/0!</v>
      </c>
      <c r="F19" s="170" t="e">
        <f>E19+1</f>
        <v>#DIV/0!</v>
      </c>
      <c r="G19" s="184" t="e">
        <f>G18*F19</f>
        <v>#DIV/0!</v>
      </c>
    </row>
    <row r="20" spans="2:7" x14ac:dyDescent="0.2">
      <c r="B20" s="181">
        <v>2005</v>
      </c>
      <c r="C20" s="479"/>
      <c r="D20" s="182"/>
      <c r="E20" s="169" t="e">
        <f t="shared" si="1"/>
        <v>#DIV/0!</v>
      </c>
      <c r="F20" s="170" t="e">
        <f t="shared" si="0"/>
        <v>#DIV/0!</v>
      </c>
      <c r="G20" s="184" t="e">
        <f t="shared" ref="G20:G22" si="2">G19*F20</f>
        <v>#DIV/0!</v>
      </c>
    </row>
    <row r="21" spans="2:7" x14ac:dyDescent="0.2">
      <c r="B21" s="181">
        <v>2006</v>
      </c>
      <c r="C21" s="479"/>
      <c r="D21" s="182"/>
      <c r="E21" s="169" t="e">
        <f t="shared" si="1"/>
        <v>#DIV/0!</v>
      </c>
      <c r="F21" s="170" t="e">
        <f t="shared" si="0"/>
        <v>#DIV/0!</v>
      </c>
      <c r="G21" s="184" t="e">
        <f t="shared" si="2"/>
        <v>#DIV/0!</v>
      </c>
    </row>
    <row r="22" spans="2:7" x14ac:dyDescent="0.2">
      <c r="B22" s="181">
        <v>2007</v>
      </c>
      <c r="C22" s="479"/>
      <c r="D22" s="182"/>
      <c r="E22" s="169" t="e">
        <f t="shared" si="1"/>
        <v>#DIV/0!</v>
      </c>
      <c r="F22" s="170" t="e">
        <f t="shared" si="0"/>
        <v>#DIV/0!</v>
      </c>
      <c r="G22" s="184" t="e">
        <f t="shared" si="2"/>
        <v>#DIV/0!</v>
      </c>
    </row>
    <row r="23" spans="2:7" x14ac:dyDescent="0.2">
      <c r="B23" s="181">
        <v>2008</v>
      </c>
      <c r="C23" s="479"/>
      <c r="D23" s="182"/>
      <c r="E23" s="169" t="e">
        <f t="shared" ref="E23:E41" si="3">(D23+C23-C22)/(C22)</f>
        <v>#DIV/0!</v>
      </c>
      <c r="F23" s="170" t="e">
        <f t="shared" ref="F23:F41" si="4">E23+1</f>
        <v>#DIV/0!</v>
      </c>
      <c r="G23" s="184" t="e">
        <f t="shared" ref="G23:G41" si="5">G22*F23</f>
        <v>#DIV/0!</v>
      </c>
    </row>
    <row r="24" spans="2:7" x14ac:dyDescent="0.2">
      <c r="B24" s="181">
        <v>2009</v>
      </c>
      <c r="C24" s="479"/>
      <c r="D24" s="182"/>
      <c r="E24" s="169" t="e">
        <f t="shared" si="3"/>
        <v>#DIV/0!</v>
      </c>
      <c r="F24" s="170" t="e">
        <f t="shared" si="4"/>
        <v>#DIV/0!</v>
      </c>
      <c r="G24" s="184" t="e">
        <f t="shared" si="5"/>
        <v>#DIV/0!</v>
      </c>
    </row>
    <row r="25" spans="2:7" x14ac:dyDescent="0.2">
      <c r="B25" s="181">
        <v>2010</v>
      </c>
      <c r="C25" s="479"/>
      <c r="D25" s="182"/>
      <c r="E25" s="169" t="e">
        <f t="shared" si="3"/>
        <v>#DIV/0!</v>
      </c>
      <c r="F25" s="170" t="e">
        <f t="shared" si="4"/>
        <v>#DIV/0!</v>
      </c>
      <c r="G25" s="184" t="e">
        <f t="shared" si="5"/>
        <v>#DIV/0!</v>
      </c>
    </row>
    <row r="26" spans="2:7" x14ac:dyDescent="0.2">
      <c r="B26" s="181">
        <v>2011</v>
      </c>
      <c r="C26" s="479"/>
      <c r="D26" s="182"/>
      <c r="E26" s="169" t="e">
        <f t="shared" si="3"/>
        <v>#DIV/0!</v>
      </c>
      <c r="F26" s="170" t="e">
        <f t="shared" si="4"/>
        <v>#DIV/0!</v>
      </c>
      <c r="G26" s="184" t="e">
        <f t="shared" si="5"/>
        <v>#DIV/0!</v>
      </c>
    </row>
    <row r="27" spans="2:7" x14ac:dyDescent="0.2">
      <c r="B27" s="181">
        <v>2012</v>
      </c>
      <c r="C27" s="479"/>
      <c r="D27" s="182"/>
      <c r="E27" s="169" t="e">
        <f t="shared" si="3"/>
        <v>#DIV/0!</v>
      </c>
      <c r="F27" s="170" t="e">
        <f t="shared" si="4"/>
        <v>#DIV/0!</v>
      </c>
      <c r="G27" s="184" t="e">
        <f t="shared" si="5"/>
        <v>#DIV/0!</v>
      </c>
    </row>
    <row r="28" spans="2:7" x14ac:dyDescent="0.2">
      <c r="B28" s="181">
        <v>2013</v>
      </c>
      <c r="C28" s="479"/>
      <c r="D28" s="182"/>
      <c r="E28" s="169" t="e">
        <f t="shared" si="3"/>
        <v>#DIV/0!</v>
      </c>
      <c r="F28" s="170" t="e">
        <f t="shared" si="4"/>
        <v>#DIV/0!</v>
      </c>
      <c r="G28" s="184" t="e">
        <f t="shared" si="5"/>
        <v>#DIV/0!</v>
      </c>
    </row>
    <row r="29" spans="2:7" x14ac:dyDescent="0.2">
      <c r="B29" s="181">
        <v>2014</v>
      </c>
      <c r="C29" s="479"/>
      <c r="D29" s="182"/>
      <c r="E29" s="169" t="e">
        <f t="shared" si="3"/>
        <v>#DIV/0!</v>
      </c>
      <c r="F29" s="170" t="e">
        <f t="shared" si="4"/>
        <v>#DIV/0!</v>
      </c>
      <c r="G29" s="184" t="e">
        <f t="shared" si="5"/>
        <v>#DIV/0!</v>
      </c>
    </row>
    <row r="30" spans="2:7" x14ac:dyDescent="0.2">
      <c r="B30" s="181">
        <v>2015</v>
      </c>
      <c r="C30" s="479"/>
      <c r="D30" s="182"/>
      <c r="E30" s="169" t="e">
        <f t="shared" si="3"/>
        <v>#DIV/0!</v>
      </c>
      <c r="F30" s="170" t="e">
        <f t="shared" si="4"/>
        <v>#DIV/0!</v>
      </c>
      <c r="G30" s="184" t="e">
        <f t="shared" si="5"/>
        <v>#DIV/0!</v>
      </c>
    </row>
    <row r="31" spans="2:7" x14ac:dyDescent="0.2">
      <c r="B31" s="181">
        <v>2016</v>
      </c>
      <c r="C31" s="479"/>
      <c r="D31" s="182"/>
      <c r="E31" s="169" t="e">
        <f t="shared" si="3"/>
        <v>#DIV/0!</v>
      </c>
      <c r="F31" s="170" t="e">
        <f t="shared" si="4"/>
        <v>#DIV/0!</v>
      </c>
      <c r="G31" s="184" t="e">
        <f t="shared" si="5"/>
        <v>#DIV/0!</v>
      </c>
    </row>
    <row r="32" spans="2:7" x14ac:dyDescent="0.2">
      <c r="B32" s="181">
        <v>2017</v>
      </c>
      <c r="C32" s="479"/>
      <c r="D32" s="182"/>
      <c r="E32" s="169" t="e">
        <f t="shared" si="3"/>
        <v>#DIV/0!</v>
      </c>
      <c r="F32" s="170" t="e">
        <f t="shared" si="4"/>
        <v>#DIV/0!</v>
      </c>
      <c r="G32" s="184" t="e">
        <f t="shared" si="5"/>
        <v>#DIV/0!</v>
      </c>
    </row>
    <row r="33" spans="1:7" x14ac:dyDescent="0.2">
      <c r="B33" s="181">
        <v>2018</v>
      </c>
      <c r="C33" s="479"/>
      <c r="D33" s="182"/>
      <c r="E33" s="169" t="e">
        <f t="shared" si="3"/>
        <v>#DIV/0!</v>
      </c>
      <c r="F33" s="170" t="e">
        <f t="shared" si="4"/>
        <v>#DIV/0!</v>
      </c>
      <c r="G33" s="184" t="e">
        <f t="shared" si="5"/>
        <v>#DIV/0!</v>
      </c>
    </row>
    <row r="34" spans="1:7" x14ac:dyDescent="0.2">
      <c r="B34" s="181">
        <v>2019</v>
      </c>
      <c r="C34" s="479"/>
      <c r="D34" s="182"/>
      <c r="E34" s="169" t="e">
        <f t="shared" si="3"/>
        <v>#DIV/0!</v>
      </c>
      <c r="F34" s="170" t="e">
        <f t="shared" si="4"/>
        <v>#DIV/0!</v>
      </c>
      <c r="G34" s="184" t="e">
        <f t="shared" si="5"/>
        <v>#DIV/0!</v>
      </c>
    </row>
    <row r="35" spans="1:7" x14ac:dyDescent="0.2">
      <c r="B35" s="181">
        <v>2020</v>
      </c>
      <c r="C35" s="479"/>
      <c r="D35" s="182"/>
      <c r="E35" s="169" t="e">
        <f t="shared" si="3"/>
        <v>#DIV/0!</v>
      </c>
      <c r="F35" s="170" t="e">
        <f t="shared" si="4"/>
        <v>#DIV/0!</v>
      </c>
      <c r="G35" s="184" t="e">
        <f t="shared" si="5"/>
        <v>#DIV/0!</v>
      </c>
    </row>
    <row r="36" spans="1:7" x14ac:dyDescent="0.2">
      <c r="B36" s="181">
        <v>2021</v>
      </c>
      <c r="C36" s="479"/>
      <c r="D36" s="182"/>
      <c r="E36" s="169" t="e">
        <f t="shared" si="3"/>
        <v>#DIV/0!</v>
      </c>
      <c r="F36" s="170" t="e">
        <f t="shared" si="4"/>
        <v>#DIV/0!</v>
      </c>
      <c r="G36" s="184" t="e">
        <f t="shared" si="5"/>
        <v>#DIV/0!</v>
      </c>
    </row>
    <row r="37" spans="1:7" x14ac:dyDescent="0.2">
      <c r="B37" s="181">
        <v>2022</v>
      </c>
      <c r="C37" s="479"/>
      <c r="D37" s="182"/>
      <c r="E37" s="169" t="e">
        <f t="shared" si="3"/>
        <v>#DIV/0!</v>
      </c>
      <c r="F37" s="170" t="e">
        <f t="shared" si="4"/>
        <v>#DIV/0!</v>
      </c>
      <c r="G37" s="184" t="e">
        <f t="shared" si="5"/>
        <v>#DIV/0!</v>
      </c>
    </row>
    <row r="38" spans="1:7" x14ac:dyDescent="0.2">
      <c r="B38" s="181">
        <v>2023</v>
      </c>
      <c r="C38" s="479"/>
      <c r="D38" s="182"/>
      <c r="E38" s="169" t="e">
        <f t="shared" si="3"/>
        <v>#DIV/0!</v>
      </c>
      <c r="F38" s="170" t="e">
        <f t="shared" si="4"/>
        <v>#DIV/0!</v>
      </c>
      <c r="G38" s="184" t="e">
        <f t="shared" si="5"/>
        <v>#DIV/0!</v>
      </c>
    </row>
    <row r="39" spans="1:7" x14ac:dyDescent="0.2">
      <c r="B39" s="181">
        <v>2024</v>
      </c>
      <c r="C39" s="479"/>
      <c r="D39" s="182"/>
      <c r="E39" s="169" t="e">
        <f t="shared" si="3"/>
        <v>#DIV/0!</v>
      </c>
      <c r="F39" s="170" t="e">
        <f t="shared" si="4"/>
        <v>#DIV/0!</v>
      </c>
      <c r="G39" s="184" t="e">
        <f t="shared" si="5"/>
        <v>#DIV/0!</v>
      </c>
    </row>
    <row r="40" spans="1:7" x14ac:dyDescent="0.2">
      <c r="B40" s="181">
        <v>2025</v>
      </c>
      <c r="C40" s="479"/>
      <c r="D40" s="182"/>
      <c r="E40" s="169" t="e">
        <f t="shared" si="3"/>
        <v>#DIV/0!</v>
      </c>
      <c r="F40" s="170" t="e">
        <f t="shared" si="4"/>
        <v>#DIV/0!</v>
      </c>
      <c r="G40" s="184" t="e">
        <f t="shared" si="5"/>
        <v>#DIV/0!</v>
      </c>
    </row>
    <row r="41" spans="1:7" x14ac:dyDescent="0.2">
      <c r="B41" s="181">
        <v>2026</v>
      </c>
      <c r="C41" s="479"/>
      <c r="D41" s="182"/>
      <c r="E41" s="169" t="e">
        <f t="shared" si="3"/>
        <v>#DIV/0!</v>
      </c>
      <c r="F41" s="170" t="e">
        <f t="shared" si="4"/>
        <v>#DIV/0!</v>
      </c>
      <c r="G41" s="184" t="e">
        <f t="shared" si="5"/>
        <v>#DIV/0!</v>
      </c>
    </row>
    <row r="43" spans="1:7" x14ac:dyDescent="0.2">
      <c r="B43" s="187"/>
      <c r="C43" s="624" t="s">
        <v>449</v>
      </c>
      <c r="D43" s="624"/>
      <c r="E43" s="624" t="s">
        <v>642</v>
      </c>
      <c r="F43" s="624"/>
    </row>
    <row r="44" spans="1:7" x14ac:dyDescent="0.2">
      <c r="B44" s="414" t="s">
        <v>643</v>
      </c>
      <c r="C44" s="625" t="e">
        <f>AVERAGE(E17:E41)</f>
        <v>#DIV/0!</v>
      </c>
      <c r="D44" s="540"/>
      <c r="E44" s="627" t="s">
        <v>724</v>
      </c>
      <c r="F44" s="627"/>
    </row>
    <row r="45" spans="1:7" x14ac:dyDescent="0.2">
      <c r="B45" s="414" t="s">
        <v>437</v>
      </c>
      <c r="C45" s="626" t="e">
        <f>_xlfn.VAR.S(E17:E41)</f>
        <v>#DIV/0!</v>
      </c>
      <c r="D45" s="626"/>
      <c r="E45" s="540" t="s">
        <v>192</v>
      </c>
      <c r="F45" s="540"/>
    </row>
    <row r="46" spans="1:7" x14ac:dyDescent="0.2">
      <c r="B46" s="414" t="s">
        <v>644</v>
      </c>
      <c r="C46" s="623" t="e">
        <f>SQRT(C45)</f>
        <v>#DIV/0!</v>
      </c>
      <c r="D46" s="623"/>
      <c r="E46" s="540" t="s">
        <v>192</v>
      </c>
      <c r="F46" s="540"/>
    </row>
    <row r="48" spans="1:7" x14ac:dyDescent="0.2">
      <c r="A48" t="s">
        <v>645</v>
      </c>
    </row>
    <row r="50" spans="2:4" ht="18" x14ac:dyDescent="0.25">
      <c r="B50" s="124" t="s">
        <v>470</v>
      </c>
      <c r="C50" s="164" t="s">
        <v>471</v>
      </c>
      <c r="D50" t="s">
        <v>646</v>
      </c>
    </row>
    <row r="51" spans="2:4" ht="18" x14ac:dyDescent="0.25">
      <c r="C51" s="97" t="s">
        <v>647</v>
      </c>
    </row>
    <row r="53" spans="2:4" x14ac:dyDescent="0.2">
      <c r="B53" s="188" t="s">
        <v>644</v>
      </c>
      <c r="C53" s="624" t="s">
        <v>648</v>
      </c>
      <c r="D53" s="624"/>
    </row>
    <row r="54" spans="2:4" x14ac:dyDescent="0.2">
      <c r="B54" s="181">
        <v>0</v>
      </c>
      <c r="C54" s="623" t="e">
        <f>$E$44+($C$44-$E$44)/$C$46*B54</f>
        <v>#VALUE!</v>
      </c>
      <c r="D54" s="623"/>
    </row>
    <row r="55" spans="2:4" x14ac:dyDescent="0.2">
      <c r="B55" s="181">
        <v>0.01</v>
      </c>
      <c r="C55" s="623" t="e">
        <f t="shared" ref="C55:C63" si="6">$E$44+($C$44-$E$44)/$C$46*B55</f>
        <v>#VALUE!</v>
      </c>
      <c r="D55" s="623"/>
    </row>
    <row r="56" spans="2:4" x14ac:dyDescent="0.2">
      <c r="B56" s="181">
        <v>0.02</v>
      </c>
      <c r="C56" s="623" t="e">
        <f t="shared" si="6"/>
        <v>#VALUE!</v>
      </c>
      <c r="D56" s="623"/>
    </row>
    <row r="57" spans="2:4" x14ac:dyDescent="0.2">
      <c r="B57" s="181">
        <v>0.03</v>
      </c>
      <c r="C57" s="623" t="e">
        <f t="shared" si="6"/>
        <v>#VALUE!</v>
      </c>
      <c r="D57" s="623"/>
    </row>
    <row r="58" spans="2:4" x14ac:dyDescent="0.2">
      <c r="B58" s="181">
        <v>0.04</v>
      </c>
      <c r="C58" s="623" t="e">
        <f t="shared" si="6"/>
        <v>#VALUE!</v>
      </c>
      <c r="D58" s="623"/>
    </row>
    <row r="59" spans="2:4" x14ac:dyDescent="0.2">
      <c r="B59" s="181">
        <v>0.05</v>
      </c>
      <c r="C59" s="623" t="e">
        <f t="shared" si="6"/>
        <v>#VALUE!</v>
      </c>
      <c r="D59" s="623"/>
    </row>
    <row r="60" spans="2:4" x14ac:dyDescent="0.2">
      <c r="B60" s="181">
        <v>0.06</v>
      </c>
      <c r="C60" s="623" t="e">
        <f t="shared" si="6"/>
        <v>#VALUE!</v>
      </c>
      <c r="D60" s="623"/>
    </row>
    <row r="61" spans="2:4" x14ac:dyDescent="0.2">
      <c r="B61" s="181">
        <v>7.0000000000000007E-2</v>
      </c>
      <c r="C61" s="623" t="e">
        <f t="shared" si="6"/>
        <v>#VALUE!</v>
      </c>
      <c r="D61" s="623"/>
    </row>
    <row r="62" spans="2:4" x14ac:dyDescent="0.2">
      <c r="B62" s="181">
        <v>0.08</v>
      </c>
      <c r="C62" s="623" t="e">
        <f t="shared" si="6"/>
        <v>#VALUE!</v>
      </c>
      <c r="D62" s="623"/>
    </row>
    <row r="63" spans="2:4" x14ac:dyDescent="0.2">
      <c r="B63" s="181">
        <v>0.09</v>
      </c>
      <c r="C63" s="623" t="e">
        <f t="shared" si="6"/>
        <v>#VALUE!</v>
      </c>
      <c r="D63" s="623"/>
    </row>
    <row r="66" spans="1:11" x14ac:dyDescent="0.2">
      <c r="A66" s="1" t="s">
        <v>658</v>
      </c>
    </row>
    <row r="67" spans="1:11" x14ac:dyDescent="0.2">
      <c r="A67" t="s">
        <v>649</v>
      </c>
    </row>
    <row r="68" spans="1:11" x14ac:dyDescent="0.2">
      <c r="A68" t="s">
        <v>650</v>
      </c>
    </row>
    <row r="70" spans="1:11" ht="18" x14ac:dyDescent="0.25">
      <c r="B70" s="551" t="s">
        <v>651</v>
      </c>
      <c r="C70" s="551"/>
      <c r="E70" s="124" t="s">
        <v>535</v>
      </c>
      <c r="F70" s="568" t="s">
        <v>534</v>
      </c>
      <c r="G70" s="568"/>
    </row>
    <row r="71" spans="1:11" ht="18" x14ac:dyDescent="0.25">
      <c r="F71" s="551" t="s">
        <v>533</v>
      </c>
      <c r="G71" s="551"/>
    </row>
    <row r="73" spans="1:11" x14ac:dyDescent="0.2">
      <c r="A73" t="s">
        <v>652</v>
      </c>
    </row>
    <row r="74" spans="1:11" x14ac:dyDescent="0.2">
      <c r="A74" s="539" t="s">
        <v>653</v>
      </c>
      <c r="B74" s="539"/>
      <c r="C74" s="539"/>
      <c r="D74" s="539"/>
      <c r="E74" s="539"/>
      <c r="F74" s="539"/>
      <c r="G74" s="539"/>
      <c r="H74" s="539"/>
      <c r="I74" s="539"/>
      <c r="J74" s="539"/>
      <c r="K74" s="539"/>
    </row>
    <row r="75" spans="1:11" x14ac:dyDescent="0.2">
      <c r="A75" s="539"/>
      <c r="B75" s="539"/>
      <c r="C75" s="539"/>
      <c r="D75" s="539"/>
      <c r="E75" s="539"/>
      <c r="F75" s="539"/>
      <c r="G75" s="539"/>
      <c r="H75" s="539"/>
      <c r="I75" s="539"/>
      <c r="J75" s="539"/>
      <c r="K75" s="539"/>
    </row>
    <row r="77" spans="1:11" x14ac:dyDescent="0.2">
      <c r="A77" t="s">
        <v>654</v>
      </c>
    </row>
    <row r="79" spans="1:11" ht="18" x14ac:dyDescent="0.25">
      <c r="B79" t="s">
        <v>655</v>
      </c>
    </row>
    <row r="81" spans="1:3" x14ac:dyDescent="0.2">
      <c r="A81" t="s">
        <v>656</v>
      </c>
    </row>
    <row r="82" spans="1:3" x14ac:dyDescent="0.2">
      <c r="A82" t="s">
        <v>657</v>
      </c>
    </row>
    <row r="84" spans="1:3" x14ac:dyDescent="0.2">
      <c r="B84" s="187" t="s">
        <v>445</v>
      </c>
      <c r="C84" s="186" t="e">
        <f>C44</f>
        <v>#DIV/0!</v>
      </c>
    </row>
    <row r="85" spans="1:3" x14ac:dyDescent="0.2">
      <c r="B85" s="187" t="s">
        <v>451</v>
      </c>
      <c r="C85" s="186" t="str">
        <f>E44</f>
        <v>INDSÆT</v>
      </c>
    </row>
    <row r="87" spans="1:3" x14ac:dyDescent="0.2">
      <c r="B87" s="188"/>
      <c r="C87" s="188" t="s">
        <v>447</v>
      </c>
    </row>
    <row r="88" spans="1:3" x14ac:dyDescent="0.2">
      <c r="B88" s="181">
        <v>0</v>
      </c>
      <c r="C88" s="186" t="e">
        <f>$C$85+B88*($C$84-$C$85)</f>
        <v>#VALUE!</v>
      </c>
    </row>
    <row r="89" spans="1:3" x14ac:dyDescent="0.2">
      <c r="B89" s="181">
        <v>0.2</v>
      </c>
      <c r="C89" s="186" t="e">
        <f t="shared" ref="C89:C102" si="7">$C$85+B89*($C$84-$C$85)</f>
        <v>#VALUE!</v>
      </c>
    </row>
    <row r="90" spans="1:3" x14ac:dyDescent="0.2">
      <c r="B90" s="181">
        <v>0.3</v>
      </c>
      <c r="C90" s="186" t="e">
        <f t="shared" si="7"/>
        <v>#VALUE!</v>
      </c>
    </row>
    <row r="91" spans="1:3" x14ac:dyDescent="0.2">
      <c r="B91" s="181">
        <v>0.4</v>
      </c>
      <c r="C91" s="186" t="e">
        <f t="shared" si="7"/>
        <v>#VALUE!</v>
      </c>
    </row>
    <row r="92" spans="1:3" x14ac:dyDescent="0.2">
      <c r="B92" s="181">
        <v>0.5</v>
      </c>
      <c r="C92" s="186" t="e">
        <f t="shared" si="7"/>
        <v>#VALUE!</v>
      </c>
    </row>
    <row r="93" spans="1:3" x14ac:dyDescent="0.2">
      <c r="B93" s="181">
        <v>0.6</v>
      </c>
      <c r="C93" s="186" t="e">
        <f t="shared" si="7"/>
        <v>#VALUE!</v>
      </c>
    </row>
    <row r="94" spans="1:3" x14ac:dyDescent="0.2">
      <c r="B94" s="181">
        <v>0.7</v>
      </c>
      <c r="C94" s="186" t="e">
        <f t="shared" si="7"/>
        <v>#VALUE!</v>
      </c>
    </row>
    <row r="95" spans="1:3" x14ac:dyDescent="0.2">
      <c r="B95" s="181">
        <v>0.8</v>
      </c>
      <c r="C95" s="186" t="e">
        <f t="shared" si="7"/>
        <v>#VALUE!</v>
      </c>
    </row>
    <row r="96" spans="1:3" x14ac:dyDescent="0.2">
      <c r="B96" s="181">
        <v>0.9</v>
      </c>
      <c r="C96" s="186" t="e">
        <f t="shared" si="7"/>
        <v>#VALUE!</v>
      </c>
    </row>
    <row r="97" spans="1:5" x14ac:dyDescent="0.2">
      <c r="B97" s="181">
        <v>1</v>
      </c>
      <c r="C97" s="186" t="e">
        <f t="shared" si="7"/>
        <v>#VALUE!</v>
      </c>
    </row>
    <row r="98" spans="1:5" x14ac:dyDescent="0.2">
      <c r="B98" s="181">
        <v>1.1000000000000001</v>
      </c>
      <c r="C98" s="186" t="e">
        <f t="shared" si="7"/>
        <v>#VALUE!</v>
      </c>
    </row>
    <row r="99" spans="1:5" x14ac:dyDescent="0.2">
      <c r="B99" s="181">
        <v>1.2</v>
      </c>
      <c r="C99" s="186" t="e">
        <f t="shared" si="7"/>
        <v>#VALUE!</v>
      </c>
    </row>
    <row r="100" spans="1:5" x14ac:dyDescent="0.2">
      <c r="B100" s="181">
        <v>1.3</v>
      </c>
      <c r="C100" s="186" t="e">
        <f t="shared" si="7"/>
        <v>#VALUE!</v>
      </c>
    </row>
    <row r="101" spans="1:5" x14ac:dyDescent="0.2">
      <c r="B101" s="181">
        <v>1.4</v>
      </c>
      <c r="C101" s="186" t="e">
        <f t="shared" si="7"/>
        <v>#VALUE!</v>
      </c>
    </row>
    <row r="102" spans="1:5" x14ac:dyDescent="0.2">
      <c r="B102" s="181">
        <v>1.5</v>
      </c>
      <c r="C102" s="186" t="e">
        <f t="shared" si="7"/>
        <v>#VALUE!</v>
      </c>
    </row>
    <row r="105" spans="1:5" x14ac:dyDescent="0.2">
      <c r="A105" s="1" t="s">
        <v>660</v>
      </c>
    </row>
    <row r="106" spans="1:5" x14ac:dyDescent="0.2">
      <c r="A106" t="s">
        <v>661</v>
      </c>
    </row>
    <row r="108" spans="1:5" ht="37" customHeight="1" x14ac:dyDescent="0.2">
      <c r="B108" s="628" t="s">
        <v>442</v>
      </c>
      <c r="C108" s="629"/>
      <c r="D108" s="275" t="s">
        <v>450</v>
      </c>
      <c r="E108" s="279" t="s">
        <v>447</v>
      </c>
    </row>
    <row r="109" spans="1:5" x14ac:dyDescent="0.2">
      <c r="B109" s="276" t="s">
        <v>443</v>
      </c>
      <c r="C109" s="268" t="e">
        <f>_xlfn.COVARIANCE.S($E$17:$E$41,$E$17:$E$41)</f>
        <v>#DIV/0!</v>
      </c>
      <c r="D109" s="267" t="e">
        <f>C109/$C$45</f>
        <v>#DIV/0!</v>
      </c>
      <c r="E109" s="269"/>
    </row>
    <row r="110" spans="1:5" x14ac:dyDescent="0.2">
      <c r="B110" s="277" t="s">
        <v>350</v>
      </c>
      <c r="C110" s="270" t="e">
        <f>_xlfn.COVARIANCE.S(E17:E41,'Finansiering - Afkast+Risiko'!E49:E73)</f>
        <v>#DIV/0!</v>
      </c>
      <c r="D110" s="267" t="e">
        <f t="shared" ref="D110:D112" si="8">C110/$C$45</f>
        <v>#DIV/0!</v>
      </c>
      <c r="E110" s="415" t="e">
        <f>$C$85+D110*($C$84-$C$85)</f>
        <v>#VALUE!</v>
      </c>
    </row>
    <row r="111" spans="1:5" x14ac:dyDescent="0.2">
      <c r="B111" s="278" t="s">
        <v>351</v>
      </c>
      <c r="C111" s="268" t="e">
        <f>_xlfn.COVARIANCE.S(E17:E41,'Finansiering - Afkast+Risiko'!L49:L73)</f>
        <v>#DIV/0!</v>
      </c>
      <c r="D111" s="267" t="e">
        <f t="shared" si="8"/>
        <v>#DIV/0!</v>
      </c>
      <c r="E111" s="415" t="e">
        <f t="shared" ref="E111:E112" si="9">$C$85+D111*($C$84-$C$85)</f>
        <v>#VALUE!</v>
      </c>
    </row>
    <row r="112" spans="1:5" x14ac:dyDescent="0.2">
      <c r="B112" s="277" t="s">
        <v>352</v>
      </c>
      <c r="C112" s="268" t="e">
        <f>_xlfn.COVARIANCE.S(E17:E41,'Finansiering - Afkast+Risiko'!S49:S73)</f>
        <v>#DIV/0!</v>
      </c>
      <c r="D112" s="267" t="e">
        <f t="shared" si="8"/>
        <v>#DIV/0!</v>
      </c>
      <c r="E112" s="415" t="e">
        <f t="shared" si="9"/>
        <v>#VALUE!</v>
      </c>
    </row>
  </sheetData>
  <mergeCells count="27">
    <mergeCell ref="B108:C108"/>
    <mergeCell ref="F71:G71"/>
    <mergeCell ref="F70:G70"/>
    <mergeCell ref="A74:K75"/>
    <mergeCell ref="B10:C10"/>
    <mergeCell ref="G10:H10"/>
    <mergeCell ref="C59:D59"/>
    <mergeCell ref="C60:D60"/>
    <mergeCell ref="C61:D61"/>
    <mergeCell ref="C62:D62"/>
    <mergeCell ref="C63:D63"/>
    <mergeCell ref="B70:C70"/>
    <mergeCell ref="C53:D53"/>
    <mergeCell ref="C54:D54"/>
    <mergeCell ref="C55:D55"/>
    <mergeCell ref="C56:D56"/>
    <mergeCell ref="C57:D57"/>
    <mergeCell ref="C58:D58"/>
    <mergeCell ref="A4:L5"/>
    <mergeCell ref="E43:F43"/>
    <mergeCell ref="C43:D43"/>
    <mergeCell ref="C44:D44"/>
    <mergeCell ref="C45:D45"/>
    <mergeCell ref="C46:D46"/>
    <mergeCell ref="E44:F44"/>
    <mergeCell ref="E45:F45"/>
    <mergeCell ref="E46:F46"/>
  </mergeCells>
  <pageMargins left="0.7" right="0.7" top="0.75" bottom="0.75" header="0.3" footer="0.3"/>
  <pageSetup paperSize="9" orientation="portrait" horizontalDpi="0"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A1:M204"/>
  <sheetViews>
    <sheetView zoomScale="66" workbookViewId="0">
      <selection activeCell="J66" sqref="J66:K66"/>
    </sheetView>
  </sheetViews>
  <sheetFormatPr baseColWidth="10" defaultColWidth="10.5" defaultRowHeight="16" x14ac:dyDescent="0.2"/>
  <cols>
    <col min="1" max="1" width="10.83203125" style="241"/>
    <col min="2" max="2" width="15.83203125" style="241" customWidth="1"/>
    <col min="3" max="3" width="13.5" style="241" customWidth="1"/>
    <col min="4" max="4" width="12" style="241" customWidth="1"/>
    <col min="5" max="12" width="13.5" style="241" bestFit="1" customWidth="1"/>
    <col min="13" max="13" width="12.5" customWidth="1"/>
  </cols>
  <sheetData>
    <row r="1" spans="1:12" x14ac:dyDescent="0.2">
      <c r="A1" s="242" t="s">
        <v>423</v>
      </c>
    </row>
    <row r="2" spans="1:12" x14ac:dyDescent="0.2">
      <c r="A2" s="241" t="s">
        <v>424</v>
      </c>
    </row>
    <row r="5" spans="1:12" ht="25" customHeight="1" x14ac:dyDescent="0.2">
      <c r="B5" s="257" t="s">
        <v>425</v>
      </c>
      <c r="C5" s="258" t="s">
        <v>350</v>
      </c>
      <c r="D5" s="258" t="s">
        <v>351</v>
      </c>
      <c r="E5" s="258" t="s">
        <v>352</v>
      </c>
      <c r="F5" s="258" t="s">
        <v>426</v>
      </c>
      <c r="G5" s="258" t="s">
        <v>427</v>
      </c>
      <c r="H5" s="258" t="s">
        <v>428</v>
      </c>
      <c r="I5" s="258" t="s">
        <v>429</v>
      </c>
      <c r="J5" s="258" t="s">
        <v>430</v>
      </c>
      <c r="K5" s="258" t="s">
        <v>431</v>
      </c>
      <c r="L5" s="259" t="s">
        <v>432</v>
      </c>
    </row>
    <row r="6" spans="1:12" x14ac:dyDescent="0.2">
      <c r="B6" s="247">
        <v>100</v>
      </c>
      <c r="C6" s="248">
        <v>54</v>
      </c>
      <c r="D6" s="248">
        <v>26.24</v>
      </c>
      <c r="L6" s="243"/>
    </row>
    <row r="7" spans="1:12" x14ac:dyDescent="0.2">
      <c r="B7" s="247">
        <v>100.12713488265149</v>
      </c>
      <c r="C7" s="248">
        <v>56</v>
      </c>
      <c r="D7" s="248">
        <v>28.21</v>
      </c>
      <c r="L7" s="243"/>
    </row>
    <row r="8" spans="1:12" x14ac:dyDescent="0.2">
      <c r="B8" s="247">
        <v>110.10261349462311</v>
      </c>
      <c r="C8" s="248">
        <v>62</v>
      </c>
      <c r="D8" s="248">
        <v>30.77</v>
      </c>
      <c r="L8" s="243"/>
    </row>
    <row r="9" spans="1:12" x14ac:dyDescent="0.2">
      <c r="B9" s="247">
        <v>109.77015584866457</v>
      </c>
      <c r="C9" s="248">
        <v>65</v>
      </c>
      <c r="D9" s="248">
        <v>34.92</v>
      </c>
      <c r="L9" s="243"/>
    </row>
    <row r="10" spans="1:12" x14ac:dyDescent="0.2">
      <c r="B10" s="247">
        <v>118.42746305299642</v>
      </c>
      <c r="C10" s="248">
        <v>68.5</v>
      </c>
      <c r="D10" s="248">
        <v>40.93</v>
      </c>
      <c r="L10" s="243"/>
    </row>
    <row r="11" spans="1:12" x14ac:dyDescent="0.2">
      <c r="B11" s="247">
        <v>115.06277054785677</v>
      </c>
      <c r="C11" s="248">
        <v>66.5</v>
      </c>
      <c r="D11" s="248">
        <v>38.86</v>
      </c>
      <c r="L11" s="243"/>
    </row>
    <row r="12" spans="1:12" x14ac:dyDescent="0.2">
      <c r="B12" s="247">
        <v>119.10668192957857</v>
      </c>
      <c r="C12" s="248">
        <v>68</v>
      </c>
      <c r="D12" s="248">
        <v>37.78</v>
      </c>
      <c r="L12" s="243"/>
    </row>
    <row r="13" spans="1:12" x14ac:dyDescent="0.2">
      <c r="B13" s="247">
        <v>122.63412912223754</v>
      </c>
      <c r="C13" s="248">
        <v>66</v>
      </c>
      <c r="D13" s="248">
        <v>42.51</v>
      </c>
      <c r="L13" s="243"/>
    </row>
    <row r="14" spans="1:12" x14ac:dyDescent="0.2">
      <c r="B14" s="247">
        <v>125.88733125211648</v>
      </c>
      <c r="C14" s="248">
        <v>64</v>
      </c>
      <c r="D14" s="248">
        <v>43.69</v>
      </c>
      <c r="L14" s="243"/>
    </row>
    <row r="15" spans="1:12" x14ac:dyDescent="0.2">
      <c r="B15" s="247">
        <v>119.57497314820286</v>
      </c>
      <c r="C15" s="248">
        <v>72</v>
      </c>
      <c r="D15" s="248">
        <v>43.59</v>
      </c>
      <c r="L15" s="243"/>
    </row>
    <row r="16" spans="1:12" x14ac:dyDescent="0.2">
      <c r="B16" s="247">
        <v>121.13657154102209</v>
      </c>
      <c r="C16" s="248">
        <v>81</v>
      </c>
      <c r="D16" s="248">
        <v>48.2</v>
      </c>
      <c r="L16" s="243"/>
    </row>
    <row r="17" spans="2:12" x14ac:dyDescent="0.2">
      <c r="B17" s="247">
        <v>119.40820877807028</v>
      </c>
      <c r="C17" s="248">
        <v>82.5</v>
      </c>
      <c r="D17" s="248">
        <v>45.7</v>
      </c>
      <c r="L17" s="243"/>
    </row>
    <row r="18" spans="2:12" x14ac:dyDescent="0.2">
      <c r="B18" s="247">
        <v>126.56745937093542</v>
      </c>
      <c r="C18" s="248">
        <v>86</v>
      </c>
      <c r="D18" s="248">
        <v>54</v>
      </c>
      <c r="L18" s="243"/>
    </row>
    <row r="19" spans="2:12" x14ac:dyDescent="0.2">
      <c r="B19" s="247">
        <v>123.53432326397935</v>
      </c>
      <c r="C19" s="248">
        <v>84</v>
      </c>
      <c r="D19" s="248">
        <v>51.5</v>
      </c>
      <c r="L19" s="243"/>
    </row>
    <row r="20" spans="2:12" x14ac:dyDescent="0.2">
      <c r="B20" s="247">
        <v>127.61410667481535</v>
      </c>
      <c r="C20" s="248">
        <v>69</v>
      </c>
      <c r="D20" s="248">
        <v>54.5</v>
      </c>
      <c r="L20" s="243"/>
    </row>
    <row r="21" spans="2:12" x14ac:dyDescent="0.2">
      <c r="B21" s="247">
        <v>133.82196366900658</v>
      </c>
      <c r="C21" s="248">
        <v>74</v>
      </c>
      <c r="D21" s="248">
        <v>60.5</v>
      </c>
      <c r="L21" s="243"/>
    </row>
    <row r="22" spans="2:12" x14ac:dyDescent="0.2">
      <c r="B22" s="247">
        <v>132.22459966951169</v>
      </c>
      <c r="C22" s="248">
        <v>80</v>
      </c>
      <c r="D22" s="248">
        <v>59</v>
      </c>
      <c r="L22" s="243"/>
    </row>
    <row r="23" spans="2:12" x14ac:dyDescent="0.2">
      <c r="B23" s="247">
        <v>138.35653534585725</v>
      </c>
      <c r="C23" s="248">
        <v>90</v>
      </c>
      <c r="D23" s="248">
        <v>57.75</v>
      </c>
      <c r="L23" s="243"/>
    </row>
    <row r="24" spans="2:12" x14ac:dyDescent="0.2">
      <c r="B24" s="247">
        <v>140.19252176124337</v>
      </c>
      <c r="C24" s="248">
        <v>103</v>
      </c>
      <c r="D24" s="248">
        <v>59</v>
      </c>
      <c r="L24" s="243"/>
    </row>
    <row r="25" spans="2:12" x14ac:dyDescent="0.2">
      <c r="B25" s="247">
        <v>139.15095840344333</v>
      </c>
      <c r="C25" s="248">
        <v>107</v>
      </c>
      <c r="D25" s="248">
        <v>61.5</v>
      </c>
      <c r="L25" s="243"/>
    </row>
    <row r="26" spans="2:12" x14ac:dyDescent="0.2">
      <c r="B26" s="247">
        <v>150.80609903032862</v>
      </c>
      <c r="C26" s="248">
        <v>108</v>
      </c>
      <c r="D26" s="248">
        <v>61</v>
      </c>
      <c r="L26" s="243"/>
    </row>
    <row r="27" spans="2:12" x14ac:dyDescent="0.2">
      <c r="B27" s="247">
        <v>150.0520689619913</v>
      </c>
      <c r="C27" s="248">
        <v>106</v>
      </c>
      <c r="D27" s="248">
        <v>66</v>
      </c>
      <c r="L27" s="243"/>
    </row>
    <row r="28" spans="2:12" x14ac:dyDescent="0.2">
      <c r="B28" s="247">
        <v>143.10959760506259</v>
      </c>
      <c r="C28" s="248">
        <v>97.5</v>
      </c>
      <c r="D28" s="248">
        <v>60.25</v>
      </c>
      <c r="L28" s="243"/>
    </row>
    <row r="29" spans="2:12" x14ac:dyDescent="0.2">
      <c r="B29" s="247">
        <v>151.12159248976599</v>
      </c>
      <c r="C29" s="248">
        <v>112.5</v>
      </c>
      <c r="D29" s="248">
        <v>69.5</v>
      </c>
      <c r="L29" s="243"/>
    </row>
    <row r="30" spans="2:12" x14ac:dyDescent="0.2">
      <c r="B30" s="247">
        <v>156.68692988948902</v>
      </c>
      <c r="C30" s="248">
        <v>125</v>
      </c>
      <c r="D30" s="248">
        <v>69.75</v>
      </c>
      <c r="L30" s="243"/>
    </row>
    <row r="31" spans="2:12" x14ac:dyDescent="0.2">
      <c r="B31" s="247">
        <v>162.0449960445315</v>
      </c>
      <c r="C31" s="248">
        <v>122.5</v>
      </c>
      <c r="D31" s="248">
        <v>68.5</v>
      </c>
      <c r="L31" s="243"/>
    </row>
    <row r="32" spans="2:12" x14ac:dyDescent="0.2">
      <c r="B32" s="247">
        <v>165.67283729952493</v>
      </c>
      <c r="C32" s="248">
        <v>160</v>
      </c>
      <c r="D32" s="248">
        <v>79</v>
      </c>
      <c r="L32" s="243"/>
    </row>
    <row r="33" spans="1:12" x14ac:dyDescent="0.2">
      <c r="B33" s="247">
        <v>170.94396061597234</v>
      </c>
      <c r="C33" s="248">
        <v>173</v>
      </c>
      <c r="D33" s="248">
        <v>82</v>
      </c>
      <c r="L33" s="243"/>
    </row>
    <row r="34" spans="1:12" x14ac:dyDescent="0.2">
      <c r="B34" s="247">
        <v>167.24324401484947</v>
      </c>
      <c r="C34" s="248">
        <v>163</v>
      </c>
      <c r="D34" s="248">
        <v>75</v>
      </c>
      <c r="L34" s="243"/>
    </row>
    <row r="35" spans="1:12" x14ac:dyDescent="0.2">
      <c r="B35" s="247">
        <v>171.19294005131562</v>
      </c>
      <c r="C35" s="248">
        <v>178</v>
      </c>
      <c r="D35" s="248">
        <v>75.25</v>
      </c>
      <c r="L35" s="243"/>
    </row>
    <row r="36" spans="1:12" x14ac:dyDescent="0.2">
      <c r="B36" s="247">
        <v>182.29127919532121</v>
      </c>
      <c r="C36" s="248">
        <v>186</v>
      </c>
      <c r="D36" s="248">
        <v>82.5</v>
      </c>
      <c r="L36" s="243"/>
    </row>
    <row r="37" spans="1:12" x14ac:dyDescent="0.2">
      <c r="B37" s="247">
        <v>180.86329453191061</v>
      </c>
      <c r="C37" s="248">
        <v>183</v>
      </c>
      <c r="D37" s="248">
        <v>87.75</v>
      </c>
      <c r="L37" s="243"/>
    </row>
    <row r="38" spans="1:12" x14ac:dyDescent="0.2">
      <c r="B38" s="247">
        <v>186.26483491760226</v>
      </c>
      <c r="C38" s="248">
        <v>196.5</v>
      </c>
      <c r="D38" s="248">
        <v>83.5</v>
      </c>
      <c r="L38" s="243"/>
    </row>
    <row r="39" spans="1:12" x14ac:dyDescent="0.2">
      <c r="B39" s="247">
        <v>192.85182772741055</v>
      </c>
      <c r="C39" s="248">
        <v>247</v>
      </c>
      <c r="D39" s="248">
        <v>85</v>
      </c>
      <c r="L39" s="243"/>
    </row>
    <row r="40" spans="1:12" x14ac:dyDescent="0.2">
      <c r="B40" s="247">
        <v>186.81268914609001</v>
      </c>
      <c r="C40" s="248">
        <v>269</v>
      </c>
      <c r="D40" s="248">
        <v>84.25</v>
      </c>
      <c r="L40" s="243"/>
    </row>
    <row r="41" spans="1:12" x14ac:dyDescent="0.2">
      <c r="B41" s="247">
        <v>175.1960625032464</v>
      </c>
      <c r="C41" s="248">
        <v>231</v>
      </c>
      <c r="D41" s="248">
        <v>65.25</v>
      </c>
      <c r="L41" s="243"/>
    </row>
    <row r="42" spans="1:12" x14ac:dyDescent="0.2">
      <c r="B42" s="247">
        <v>174.87632032474454</v>
      </c>
      <c r="C42" s="248">
        <v>220</v>
      </c>
      <c r="D42" s="248">
        <v>67</v>
      </c>
      <c r="L42" s="243"/>
    </row>
    <row r="43" spans="1:12" x14ac:dyDescent="0.2">
      <c r="B43" s="247">
        <v>179.12435188599466</v>
      </c>
      <c r="C43" s="248">
        <v>227.5</v>
      </c>
      <c r="D43" s="248">
        <v>83</v>
      </c>
      <c r="L43" s="243"/>
    </row>
    <row r="44" spans="1:12" x14ac:dyDescent="0.2">
      <c r="B44" s="247">
        <v>185.17725535611308</v>
      </c>
      <c r="C44" s="248">
        <v>252</v>
      </c>
      <c r="D44" s="248">
        <v>85.75</v>
      </c>
      <c r="L44" s="243"/>
    </row>
    <row r="45" spans="1:12" x14ac:dyDescent="0.2">
      <c r="B45" s="249">
        <v>192.14388286866631</v>
      </c>
      <c r="C45" s="250">
        <v>272.5</v>
      </c>
      <c r="D45" s="250">
        <v>90</v>
      </c>
      <c r="E45" s="244"/>
      <c r="F45" s="244"/>
      <c r="G45" s="244"/>
      <c r="H45" s="244"/>
      <c r="I45" s="244"/>
      <c r="J45" s="244"/>
      <c r="K45" s="244"/>
      <c r="L45" s="245"/>
    </row>
    <row r="47" spans="1:12" x14ac:dyDescent="0.2">
      <c r="A47" s="246" t="s">
        <v>434</v>
      </c>
    </row>
    <row r="49" spans="2:12" ht="28" customHeight="1" x14ac:dyDescent="0.2">
      <c r="B49" s="257" t="s">
        <v>425</v>
      </c>
      <c r="C49" s="258" t="s">
        <v>350</v>
      </c>
      <c r="D49" s="258" t="s">
        <v>351</v>
      </c>
      <c r="E49" s="258" t="s">
        <v>352</v>
      </c>
      <c r="F49" s="258" t="s">
        <v>426</v>
      </c>
      <c r="G49" s="258" t="s">
        <v>427</v>
      </c>
      <c r="H49" s="258" t="s">
        <v>428</v>
      </c>
      <c r="I49" s="258" t="s">
        <v>429</v>
      </c>
      <c r="J49" s="258" t="s">
        <v>430</v>
      </c>
      <c r="K49" s="258" t="s">
        <v>431</v>
      </c>
      <c r="L49" s="259" t="s">
        <v>432</v>
      </c>
    </row>
    <row r="50" spans="2:12" x14ac:dyDescent="0.2">
      <c r="B50" s="247"/>
      <c r="C50" s="248"/>
      <c r="D50" s="248"/>
      <c r="L50" s="243"/>
    </row>
    <row r="51" spans="2:12" x14ac:dyDescent="0.2">
      <c r="B51" s="251">
        <f>(B7-B6)/B6</f>
        <v>1.2713488265148954E-3</v>
      </c>
      <c r="C51" s="255">
        <f t="shared" ref="C51" si="0">(C7-C6)/C6</f>
        <v>3.7037037037037035E-2</v>
      </c>
      <c r="D51" s="255">
        <f>(D7-D6)/D6</f>
        <v>7.5076219512195216E-2</v>
      </c>
      <c r="E51" s="255" t="e">
        <f t="shared" ref="E51:L51" si="1">(E7-E6)/E6</f>
        <v>#DIV/0!</v>
      </c>
      <c r="F51" s="255" t="e">
        <f t="shared" si="1"/>
        <v>#DIV/0!</v>
      </c>
      <c r="G51" s="255" t="e">
        <f t="shared" si="1"/>
        <v>#DIV/0!</v>
      </c>
      <c r="H51" s="255" t="e">
        <f t="shared" si="1"/>
        <v>#DIV/0!</v>
      </c>
      <c r="I51" s="255" t="e">
        <f t="shared" si="1"/>
        <v>#DIV/0!</v>
      </c>
      <c r="J51" s="255" t="e">
        <f t="shared" si="1"/>
        <v>#DIV/0!</v>
      </c>
      <c r="K51" s="255" t="e">
        <f t="shared" si="1"/>
        <v>#DIV/0!</v>
      </c>
      <c r="L51" s="486" t="e">
        <f t="shared" si="1"/>
        <v>#DIV/0!</v>
      </c>
    </row>
    <row r="52" spans="2:12" x14ac:dyDescent="0.2">
      <c r="B52" s="251">
        <f t="shared" ref="B52:D52" si="2">(B8-B7)/B7</f>
        <v>9.9628124021154063E-2</v>
      </c>
      <c r="C52" s="255">
        <f t="shared" si="2"/>
        <v>0.10714285714285714</v>
      </c>
      <c r="D52" s="255">
        <f t="shared" si="2"/>
        <v>9.0747961715703609E-2</v>
      </c>
      <c r="E52" s="255" t="e">
        <f t="shared" ref="E52:L52" si="3">(E8-E7)/E7</f>
        <v>#DIV/0!</v>
      </c>
      <c r="F52" s="255" t="e">
        <f t="shared" si="3"/>
        <v>#DIV/0!</v>
      </c>
      <c r="G52" s="255" t="e">
        <f t="shared" si="3"/>
        <v>#DIV/0!</v>
      </c>
      <c r="H52" s="255" t="e">
        <f t="shared" si="3"/>
        <v>#DIV/0!</v>
      </c>
      <c r="I52" s="255" t="e">
        <f t="shared" si="3"/>
        <v>#DIV/0!</v>
      </c>
      <c r="J52" s="255" t="e">
        <f t="shared" si="3"/>
        <v>#DIV/0!</v>
      </c>
      <c r="K52" s="255" t="e">
        <f t="shared" si="3"/>
        <v>#DIV/0!</v>
      </c>
      <c r="L52" s="486" t="e">
        <f t="shared" si="3"/>
        <v>#DIV/0!</v>
      </c>
    </row>
    <row r="53" spans="2:12" x14ac:dyDescent="0.2">
      <c r="B53" s="251">
        <f t="shared" ref="B53:D53" si="4">(B9-B8)/B8</f>
        <v>-3.0195254717979713E-3</v>
      </c>
      <c r="C53" s="255">
        <f t="shared" si="4"/>
        <v>4.8387096774193547E-2</v>
      </c>
      <c r="D53" s="255">
        <f t="shared" si="4"/>
        <v>0.13487162820929485</v>
      </c>
      <c r="E53" s="255" t="e">
        <f t="shared" ref="E53:L53" si="5">(E9-E8)/E8</f>
        <v>#DIV/0!</v>
      </c>
      <c r="F53" s="255" t="e">
        <f t="shared" si="5"/>
        <v>#DIV/0!</v>
      </c>
      <c r="G53" s="255" t="e">
        <f t="shared" si="5"/>
        <v>#DIV/0!</v>
      </c>
      <c r="H53" s="255" t="e">
        <f t="shared" si="5"/>
        <v>#DIV/0!</v>
      </c>
      <c r="I53" s="255" t="e">
        <f t="shared" si="5"/>
        <v>#DIV/0!</v>
      </c>
      <c r="J53" s="255" t="e">
        <f t="shared" si="5"/>
        <v>#DIV/0!</v>
      </c>
      <c r="K53" s="255" t="e">
        <f t="shared" si="5"/>
        <v>#DIV/0!</v>
      </c>
      <c r="L53" s="486" t="e">
        <f t="shared" si="5"/>
        <v>#DIV/0!</v>
      </c>
    </row>
    <row r="54" spans="2:12" x14ac:dyDescent="0.2">
      <c r="B54" s="251">
        <f t="shared" ref="B54:D54" si="6">(B10-B9)/B9</f>
        <v>7.8867585979082541E-2</v>
      </c>
      <c r="C54" s="255">
        <f t="shared" si="6"/>
        <v>5.3846153846153849E-2</v>
      </c>
      <c r="D54" s="255">
        <f t="shared" si="6"/>
        <v>0.17210767468499422</v>
      </c>
      <c r="E54" s="255" t="e">
        <f t="shared" ref="E54:L54" si="7">(E10-E9)/E9</f>
        <v>#DIV/0!</v>
      </c>
      <c r="F54" s="255" t="e">
        <f t="shared" si="7"/>
        <v>#DIV/0!</v>
      </c>
      <c r="G54" s="255" t="e">
        <f t="shared" si="7"/>
        <v>#DIV/0!</v>
      </c>
      <c r="H54" s="255" t="e">
        <f t="shared" si="7"/>
        <v>#DIV/0!</v>
      </c>
      <c r="I54" s="255" t="e">
        <f t="shared" si="7"/>
        <v>#DIV/0!</v>
      </c>
      <c r="J54" s="255" t="e">
        <f t="shared" si="7"/>
        <v>#DIV/0!</v>
      </c>
      <c r="K54" s="255" t="e">
        <f t="shared" si="7"/>
        <v>#DIV/0!</v>
      </c>
      <c r="L54" s="486" t="e">
        <f t="shared" si="7"/>
        <v>#DIV/0!</v>
      </c>
    </row>
    <row r="55" spans="2:12" x14ac:dyDescent="0.2">
      <c r="B55" s="251">
        <f t="shared" ref="B55:D55" si="8">(B11-B10)/B10</f>
        <v>-2.8411420952536494E-2</v>
      </c>
      <c r="C55" s="255">
        <f t="shared" si="8"/>
        <v>-2.9197080291970802E-2</v>
      </c>
      <c r="D55" s="255">
        <f t="shared" si="8"/>
        <v>-5.0574150989494263E-2</v>
      </c>
      <c r="E55" s="255" t="e">
        <f t="shared" ref="E55:L55" si="9">(E11-E10)/E10</f>
        <v>#DIV/0!</v>
      </c>
      <c r="F55" s="255" t="e">
        <f t="shared" si="9"/>
        <v>#DIV/0!</v>
      </c>
      <c r="G55" s="255" t="e">
        <f t="shared" si="9"/>
        <v>#DIV/0!</v>
      </c>
      <c r="H55" s="255" t="e">
        <f t="shared" si="9"/>
        <v>#DIV/0!</v>
      </c>
      <c r="I55" s="255" t="e">
        <f t="shared" si="9"/>
        <v>#DIV/0!</v>
      </c>
      <c r="J55" s="255" t="e">
        <f t="shared" si="9"/>
        <v>#DIV/0!</v>
      </c>
      <c r="K55" s="255" t="e">
        <f t="shared" si="9"/>
        <v>#DIV/0!</v>
      </c>
      <c r="L55" s="486" t="e">
        <f t="shared" si="9"/>
        <v>#DIV/0!</v>
      </c>
    </row>
    <row r="56" spans="2:12" x14ac:dyDescent="0.2">
      <c r="B56" s="251">
        <f t="shared" ref="B56:D56" si="10">(B12-B11)/B11</f>
        <v>3.5145263428537556E-2</v>
      </c>
      <c r="C56" s="255">
        <f t="shared" si="10"/>
        <v>2.2556390977443608E-2</v>
      </c>
      <c r="D56" s="255">
        <f t="shared" si="10"/>
        <v>-2.7792074112197588E-2</v>
      </c>
      <c r="E56" s="255" t="e">
        <f t="shared" ref="E56:L56" si="11">(E12-E11)/E11</f>
        <v>#DIV/0!</v>
      </c>
      <c r="F56" s="255" t="e">
        <f t="shared" si="11"/>
        <v>#DIV/0!</v>
      </c>
      <c r="G56" s="255" t="e">
        <f t="shared" si="11"/>
        <v>#DIV/0!</v>
      </c>
      <c r="H56" s="255" t="e">
        <f t="shared" si="11"/>
        <v>#DIV/0!</v>
      </c>
      <c r="I56" s="255" t="e">
        <f t="shared" si="11"/>
        <v>#DIV/0!</v>
      </c>
      <c r="J56" s="255" t="e">
        <f t="shared" si="11"/>
        <v>#DIV/0!</v>
      </c>
      <c r="K56" s="255" t="e">
        <f t="shared" si="11"/>
        <v>#DIV/0!</v>
      </c>
      <c r="L56" s="486" t="e">
        <f t="shared" si="11"/>
        <v>#DIV/0!</v>
      </c>
    </row>
    <row r="57" spans="2:12" x14ac:dyDescent="0.2">
      <c r="B57" s="251">
        <f t="shared" ref="B57:D57" si="12">(B13-B12)/B12</f>
        <v>2.9615863153207137E-2</v>
      </c>
      <c r="C57" s="255">
        <f t="shared" si="12"/>
        <v>-2.9411764705882353E-2</v>
      </c>
      <c r="D57" s="255">
        <f t="shared" si="12"/>
        <v>0.12519851773425084</v>
      </c>
      <c r="E57" s="255" t="e">
        <f t="shared" ref="E57:L57" si="13">(E13-E12)/E12</f>
        <v>#DIV/0!</v>
      </c>
      <c r="F57" s="255" t="e">
        <f t="shared" si="13"/>
        <v>#DIV/0!</v>
      </c>
      <c r="G57" s="255" t="e">
        <f t="shared" si="13"/>
        <v>#DIV/0!</v>
      </c>
      <c r="H57" s="255" t="e">
        <f t="shared" si="13"/>
        <v>#DIV/0!</v>
      </c>
      <c r="I57" s="255" t="e">
        <f t="shared" si="13"/>
        <v>#DIV/0!</v>
      </c>
      <c r="J57" s="255" t="e">
        <f t="shared" si="13"/>
        <v>#DIV/0!</v>
      </c>
      <c r="K57" s="255" t="e">
        <f t="shared" si="13"/>
        <v>#DIV/0!</v>
      </c>
      <c r="L57" s="486" t="e">
        <f t="shared" si="13"/>
        <v>#DIV/0!</v>
      </c>
    </row>
    <row r="58" spans="2:12" x14ac:dyDescent="0.2">
      <c r="B58" s="251">
        <f t="shared" ref="B58:D58" si="14">(B14-B13)/B13</f>
        <v>2.6527706056739406E-2</v>
      </c>
      <c r="C58" s="255">
        <f t="shared" si="14"/>
        <v>-3.0303030303030304E-2</v>
      </c>
      <c r="D58" s="255">
        <f t="shared" si="14"/>
        <v>2.7758174547165369E-2</v>
      </c>
      <c r="E58" s="255" t="e">
        <f t="shared" ref="E58:L58" si="15">(E14-E13)/E13</f>
        <v>#DIV/0!</v>
      </c>
      <c r="F58" s="255" t="e">
        <f t="shared" si="15"/>
        <v>#DIV/0!</v>
      </c>
      <c r="G58" s="255" t="e">
        <f t="shared" si="15"/>
        <v>#DIV/0!</v>
      </c>
      <c r="H58" s="255" t="e">
        <f t="shared" si="15"/>
        <v>#DIV/0!</v>
      </c>
      <c r="I58" s="255" t="e">
        <f t="shared" si="15"/>
        <v>#DIV/0!</v>
      </c>
      <c r="J58" s="255" t="e">
        <f t="shared" si="15"/>
        <v>#DIV/0!</v>
      </c>
      <c r="K58" s="255" t="e">
        <f t="shared" si="15"/>
        <v>#DIV/0!</v>
      </c>
      <c r="L58" s="486" t="e">
        <f t="shared" si="15"/>
        <v>#DIV/0!</v>
      </c>
    </row>
    <row r="59" spans="2:12" x14ac:dyDescent="0.2">
      <c r="B59" s="251">
        <f t="shared" ref="B59:D59" si="16">(B15-B14)/B14</f>
        <v>-5.0142917806969535E-2</v>
      </c>
      <c r="C59" s="255">
        <f t="shared" si="16"/>
        <v>0.125</v>
      </c>
      <c r="D59" s="255">
        <f t="shared" si="16"/>
        <v>-2.2888532845043333E-3</v>
      </c>
      <c r="E59" s="255" t="e">
        <f t="shared" ref="E59:L59" si="17">(E15-E14)/E14</f>
        <v>#DIV/0!</v>
      </c>
      <c r="F59" s="255" t="e">
        <f t="shared" si="17"/>
        <v>#DIV/0!</v>
      </c>
      <c r="G59" s="255" t="e">
        <f t="shared" si="17"/>
        <v>#DIV/0!</v>
      </c>
      <c r="H59" s="255" t="e">
        <f t="shared" si="17"/>
        <v>#DIV/0!</v>
      </c>
      <c r="I59" s="255" t="e">
        <f t="shared" si="17"/>
        <v>#DIV/0!</v>
      </c>
      <c r="J59" s="255" t="e">
        <f t="shared" si="17"/>
        <v>#DIV/0!</v>
      </c>
      <c r="K59" s="255" t="e">
        <f t="shared" si="17"/>
        <v>#DIV/0!</v>
      </c>
      <c r="L59" s="486" t="e">
        <f t="shared" si="17"/>
        <v>#DIV/0!</v>
      </c>
    </row>
    <row r="60" spans="2:12" x14ac:dyDescent="0.2">
      <c r="B60" s="251">
        <f t="shared" ref="B60:D60" si="18">(B16-B15)/B15</f>
        <v>1.3059575525756284E-2</v>
      </c>
      <c r="C60" s="255">
        <f t="shared" si="18"/>
        <v>0.125</v>
      </c>
      <c r="D60" s="255">
        <f t="shared" si="18"/>
        <v>0.10575820142234456</v>
      </c>
      <c r="E60" s="255" t="e">
        <f t="shared" ref="E60:L60" si="19">(E16-E15)/E15</f>
        <v>#DIV/0!</v>
      </c>
      <c r="F60" s="255" t="e">
        <f t="shared" si="19"/>
        <v>#DIV/0!</v>
      </c>
      <c r="G60" s="255" t="e">
        <f t="shared" si="19"/>
        <v>#DIV/0!</v>
      </c>
      <c r="H60" s="255" t="e">
        <f t="shared" si="19"/>
        <v>#DIV/0!</v>
      </c>
      <c r="I60" s="255" t="e">
        <f t="shared" si="19"/>
        <v>#DIV/0!</v>
      </c>
      <c r="J60" s="255" t="e">
        <f t="shared" si="19"/>
        <v>#DIV/0!</v>
      </c>
      <c r="K60" s="255" t="e">
        <f t="shared" si="19"/>
        <v>#DIV/0!</v>
      </c>
      <c r="L60" s="486" t="e">
        <f t="shared" si="19"/>
        <v>#DIV/0!</v>
      </c>
    </row>
    <row r="61" spans="2:12" x14ac:dyDescent="0.2">
      <c r="B61" s="251">
        <f t="shared" ref="B61:D61" si="20">(B17-B16)/B16</f>
        <v>-1.4267885750477256E-2</v>
      </c>
      <c r="C61" s="255">
        <f t="shared" si="20"/>
        <v>1.8518518518518517E-2</v>
      </c>
      <c r="D61" s="255">
        <f t="shared" si="20"/>
        <v>-5.1867219917012444E-2</v>
      </c>
      <c r="E61" s="255" t="e">
        <f t="shared" ref="E61:L61" si="21">(E17-E16)/E16</f>
        <v>#DIV/0!</v>
      </c>
      <c r="F61" s="255" t="e">
        <f t="shared" si="21"/>
        <v>#DIV/0!</v>
      </c>
      <c r="G61" s="255" t="e">
        <f t="shared" si="21"/>
        <v>#DIV/0!</v>
      </c>
      <c r="H61" s="255" t="e">
        <f t="shared" si="21"/>
        <v>#DIV/0!</v>
      </c>
      <c r="I61" s="255" t="e">
        <f t="shared" si="21"/>
        <v>#DIV/0!</v>
      </c>
      <c r="J61" s="255" t="e">
        <f t="shared" si="21"/>
        <v>#DIV/0!</v>
      </c>
      <c r="K61" s="255" t="e">
        <f t="shared" si="21"/>
        <v>#DIV/0!</v>
      </c>
      <c r="L61" s="486" t="e">
        <f t="shared" si="21"/>
        <v>#DIV/0!</v>
      </c>
    </row>
    <row r="62" spans="2:12" x14ac:dyDescent="0.2">
      <c r="B62" s="251">
        <f t="shared" ref="B62:D62" si="22">(B18-B17)/B17</f>
        <v>5.9956100724793467E-2</v>
      </c>
      <c r="C62" s="255">
        <f t="shared" si="22"/>
        <v>4.2424242424242427E-2</v>
      </c>
      <c r="D62" s="255">
        <f t="shared" si="22"/>
        <v>0.18161925601750539</v>
      </c>
      <c r="E62" s="255" t="e">
        <f t="shared" ref="E62:L62" si="23">(E18-E17)/E17</f>
        <v>#DIV/0!</v>
      </c>
      <c r="F62" s="255" t="e">
        <f t="shared" si="23"/>
        <v>#DIV/0!</v>
      </c>
      <c r="G62" s="255" t="e">
        <f t="shared" si="23"/>
        <v>#DIV/0!</v>
      </c>
      <c r="H62" s="255" t="e">
        <f t="shared" si="23"/>
        <v>#DIV/0!</v>
      </c>
      <c r="I62" s="255" t="e">
        <f t="shared" si="23"/>
        <v>#DIV/0!</v>
      </c>
      <c r="J62" s="255" t="e">
        <f t="shared" si="23"/>
        <v>#DIV/0!</v>
      </c>
      <c r="K62" s="255" t="e">
        <f t="shared" si="23"/>
        <v>#DIV/0!</v>
      </c>
      <c r="L62" s="486" t="e">
        <f t="shared" si="23"/>
        <v>#DIV/0!</v>
      </c>
    </row>
    <row r="63" spans="2:12" x14ac:dyDescent="0.2">
      <c r="B63" s="251">
        <f t="shared" ref="B63:D63" si="24">(B19-B18)/B18</f>
        <v>-2.3964580801663773E-2</v>
      </c>
      <c r="C63" s="255">
        <f t="shared" si="24"/>
        <v>-2.3255813953488372E-2</v>
      </c>
      <c r="D63" s="255">
        <f t="shared" si="24"/>
        <v>-4.6296296296296294E-2</v>
      </c>
      <c r="E63" s="255" t="e">
        <f t="shared" ref="E63:L63" si="25">(E19-E18)/E18</f>
        <v>#DIV/0!</v>
      </c>
      <c r="F63" s="255" t="e">
        <f t="shared" si="25"/>
        <v>#DIV/0!</v>
      </c>
      <c r="G63" s="255" t="e">
        <f t="shared" si="25"/>
        <v>#DIV/0!</v>
      </c>
      <c r="H63" s="255" t="e">
        <f t="shared" si="25"/>
        <v>#DIV/0!</v>
      </c>
      <c r="I63" s="255" t="e">
        <f t="shared" si="25"/>
        <v>#DIV/0!</v>
      </c>
      <c r="J63" s="255" t="e">
        <f t="shared" si="25"/>
        <v>#DIV/0!</v>
      </c>
      <c r="K63" s="255" t="e">
        <f t="shared" si="25"/>
        <v>#DIV/0!</v>
      </c>
      <c r="L63" s="486" t="e">
        <f t="shared" si="25"/>
        <v>#DIV/0!</v>
      </c>
    </row>
    <row r="64" spans="2:12" x14ac:dyDescent="0.2">
      <c r="B64" s="251">
        <f t="shared" ref="B64:D64" si="26">(B20-B19)/B19</f>
        <v>3.3025505001698596E-2</v>
      </c>
      <c r="C64" s="255">
        <f t="shared" si="26"/>
        <v>-0.17857142857142858</v>
      </c>
      <c r="D64" s="255">
        <f t="shared" si="26"/>
        <v>5.8252427184466021E-2</v>
      </c>
      <c r="E64" s="255" t="e">
        <f t="shared" ref="E64:L64" si="27">(E20-E19)/E19</f>
        <v>#DIV/0!</v>
      </c>
      <c r="F64" s="255" t="e">
        <f t="shared" si="27"/>
        <v>#DIV/0!</v>
      </c>
      <c r="G64" s="255" t="e">
        <f t="shared" si="27"/>
        <v>#DIV/0!</v>
      </c>
      <c r="H64" s="255" t="e">
        <f t="shared" si="27"/>
        <v>#DIV/0!</v>
      </c>
      <c r="I64" s="255" t="e">
        <f t="shared" si="27"/>
        <v>#DIV/0!</v>
      </c>
      <c r="J64" s="255" t="e">
        <f t="shared" si="27"/>
        <v>#DIV/0!</v>
      </c>
      <c r="K64" s="255" t="e">
        <f t="shared" si="27"/>
        <v>#DIV/0!</v>
      </c>
      <c r="L64" s="486" t="e">
        <f t="shared" si="27"/>
        <v>#DIV/0!</v>
      </c>
    </row>
    <row r="65" spans="2:12" x14ac:dyDescent="0.2">
      <c r="B65" s="251">
        <f t="shared" ref="B65:D65" si="28">(B21-B20)/B20</f>
        <v>4.8645538929407033E-2</v>
      </c>
      <c r="C65" s="255">
        <f t="shared" si="28"/>
        <v>7.2463768115942032E-2</v>
      </c>
      <c r="D65" s="255">
        <f t="shared" si="28"/>
        <v>0.11009174311926606</v>
      </c>
      <c r="E65" s="255" t="e">
        <f t="shared" ref="E65:L65" si="29">(E21-E20)/E20</f>
        <v>#DIV/0!</v>
      </c>
      <c r="F65" s="255" t="e">
        <f t="shared" si="29"/>
        <v>#DIV/0!</v>
      </c>
      <c r="G65" s="255" t="e">
        <f t="shared" si="29"/>
        <v>#DIV/0!</v>
      </c>
      <c r="H65" s="255" t="e">
        <f t="shared" si="29"/>
        <v>#DIV/0!</v>
      </c>
      <c r="I65" s="255" t="e">
        <f t="shared" si="29"/>
        <v>#DIV/0!</v>
      </c>
      <c r="J65" s="255" t="e">
        <f t="shared" si="29"/>
        <v>#DIV/0!</v>
      </c>
      <c r="K65" s="255" t="e">
        <f t="shared" si="29"/>
        <v>#DIV/0!</v>
      </c>
      <c r="L65" s="486" t="e">
        <f t="shared" si="29"/>
        <v>#DIV/0!</v>
      </c>
    </row>
    <row r="66" spans="2:12" x14ac:dyDescent="0.2">
      <c r="B66" s="251">
        <f t="shared" ref="B66:D66" si="30">(B22-B21)/B21</f>
        <v>-1.1936486027404191E-2</v>
      </c>
      <c r="C66" s="255">
        <f t="shared" si="30"/>
        <v>8.1081081081081086E-2</v>
      </c>
      <c r="D66" s="255">
        <f t="shared" si="30"/>
        <v>-2.4793388429752067E-2</v>
      </c>
      <c r="E66" s="255" t="e">
        <f t="shared" ref="E66:L66" si="31">(E22-E21)/E21</f>
        <v>#DIV/0!</v>
      </c>
      <c r="F66" s="255" t="e">
        <f t="shared" si="31"/>
        <v>#DIV/0!</v>
      </c>
      <c r="G66" s="255" t="e">
        <f t="shared" si="31"/>
        <v>#DIV/0!</v>
      </c>
      <c r="H66" s="255" t="e">
        <f t="shared" si="31"/>
        <v>#DIV/0!</v>
      </c>
      <c r="I66" s="255" t="e">
        <f t="shared" si="31"/>
        <v>#DIV/0!</v>
      </c>
      <c r="J66" s="255" t="e">
        <f t="shared" si="31"/>
        <v>#DIV/0!</v>
      </c>
      <c r="K66" s="255" t="e">
        <f t="shared" si="31"/>
        <v>#DIV/0!</v>
      </c>
      <c r="L66" s="486" t="e">
        <f t="shared" si="31"/>
        <v>#DIV/0!</v>
      </c>
    </row>
    <row r="67" spans="2:12" x14ac:dyDescent="0.2">
      <c r="B67" s="251">
        <f t="shared" ref="B67:D67" si="32">(B23-B22)/B22</f>
        <v>4.6375150249439272E-2</v>
      </c>
      <c r="C67" s="255">
        <f t="shared" si="32"/>
        <v>0.125</v>
      </c>
      <c r="D67" s="255">
        <f t="shared" si="32"/>
        <v>-2.1186440677966101E-2</v>
      </c>
      <c r="E67" s="255" t="e">
        <f t="shared" ref="E67:L67" si="33">(E23-E22)/E22</f>
        <v>#DIV/0!</v>
      </c>
      <c r="F67" s="255" t="e">
        <f t="shared" si="33"/>
        <v>#DIV/0!</v>
      </c>
      <c r="G67" s="255" t="e">
        <f t="shared" si="33"/>
        <v>#DIV/0!</v>
      </c>
      <c r="H67" s="255" t="e">
        <f t="shared" si="33"/>
        <v>#DIV/0!</v>
      </c>
      <c r="I67" s="255" t="e">
        <f t="shared" si="33"/>
        <v>#DIV/0!</v>
      </c>
      <c r="J67" s="255" t="e">
        <f t="shared" si="33"/>
        <v>#DIV/0!</v>
      </c>
      <c r="K67" s="255" t="e">
        <f t="shared" si="33"/>
        <v>#DIV/0!</v>
      </c>
      <c r="L67" s="486" t="e">
        <f t="shared" si="33"/>
        <v>#DIV/0!</v>
      </c>
    </row>
    <row r="68" spans="2:12" x14ac:dyDescent="0.2">
      <c r="B68" s="251">
        <f t="shared" ref="B68:D68" si="34">(B24-B23)/B23</f>
        <v>1.3269965244479438E-2</v>
      </c>
      <c r="C68" s="255">
        <f t="shared" si="34"/>
        <v>0.14444444444444443</v>
      </c>
      <c r="D68" s="255">
        <f t="shared" si="34"/>
        <v>2.1645021645021644E-2</v>
      </c>
      <c r="E68" s="255" t="e">
        <f t="shared" ref="E68:L68" si="35">(E24-E23)/E23</f>
        <v>#DIV/0!</v>
      </c>
      <c r="F68" s="255" t="e">
        <f t="shared" si="35"/>
        <v>#DIV/0!</v>
      </c>
      <c r="G68" s="255" t="e">
        <f t="shared" si="35"/>
        <v>#DIV/0!</v>
      </c>
      <c r="H68" s="255" t="e">
        <f t="shared" si="35"/>
        <v>#DIV/0!</v>
      </c>
      <c r="I68" s="255" t="e">
        <f t="shared" si="35"/>
        <v>#DIV/0!</v>
      </c>
      <c r="J68" s="255" t="e">
        <f t="shared" si="35"/>
        <v>#DIV/0!</v>
      </c>
      <c r="K68" s="255" t="e">
        <f t="shared" si="35"/>
        <v>#DIV/0!</v>
      </c>
      <c r="L68" s="486" t="e">
        <f t="shared" si="35"/>
        <v>#DIV/0!</v>
      </c>
    </row>
    <row r="69" spans="2:12" x14ac:dyDescent="0.2">
      <c r="B69" s="251">
        <f t="shared" ref="B69:D69" si="36">(B25-B24)/B24</f>
        <v>-7.4295215230801778E-3</v>
      </c>
      <c r="C69" s="255">
        <f t="shared" si="36"/>
        <v>3.8834951456310676E-2</v>
      </c>
      <c r="D69" s="255">
        <f t="shared" si="36"/>
        <v>4.2372881355932202E-2</v>
      </c>
      <c r="E69" s="255" t="e">
        <f t="shared" ref="E69:L69" si="37">(E25-E24)/E24</f>
        <v>#DIV/0!</v>
      </c>
      <c r="F69" s="255" t="e">
        <f t="shared" si="37"/>
        <v>#DIV/0!</v>
      </c>
      <c r="G69" s="255" t="e">
        <f t="shared" si="37"/>
        <v>#DIV/0!</v>
      </c>
      <c r="H69" s="255" t="e">
        <f t="shared" si="37"/>
        <v>#DIV/0!</v>
      </c>
      <c r="I69" s="255" t="e">
        <f t="shared" si="37"/>
        <v>#DIV/0!</v>
      </c>
      <c r="J69" s="255" t="e">
        <f t="shared" si="37"/>
        <v>#DIV/0!</v>
      </c>
      <c r="K69" s="255" t="e">
        <f t="shared" si="37"/>
        <v>#DIV/0!</v>
      </c>
      <c r="L69" s="486" t="e">
        <f t="shared" si="37"/>
        <v>#DIV/0!</v>
      </c>
    </row>
    <row r="70" spans="2:12" x14ac:dyDescent="0.2">
      <c r="B70" s="251">
        <f t="shared" ref="B70:D70" si="38">(B26-B25)/B25</f>
        <v>8.3758967675186993E-2</v>
      </c>
      <c r="C70" s="255">
        <f t="shared" si="38"/>
        <v>9.3457943925233638E-3</v>
      </c>
      <c r="D70" s="255">
        <f t="shared" si="38"/>
        <v>-8.130081300813009E-3</v>
      </c>
      <c r="E70" s="255" t="e">
        <f t="shared" ref="E70:L70" si="39">(E26-E25)/E25</f>
        <v>#DIV/0!</v>
      </c>
      <c r="F70" s="255" t="e">
        <f t="shared" si="39"/>
        <v>#DIV/0!</v>
      </c>
      <c r="G70" s="255" t="e">
        <f t="shared" si="39"/>
        <v>#DIV/0!</v>
      </c>
      <c r="H70" s="255" t="e">
        <f t="shared" si="39"/>
        <v>#DIV/0!</v>
      </c>
      <c r="I70" s="255" t="e">
        <f t="shared" si="39"/>
        <v>#DIV/0!</v>
      </c>
      <c r="J70" s="255" t="e">
        <f t="shared" si="39"/>
        <v>#DIV/0!</v>
      </c>
      <c r="K70" s="255" t="e">
        <f t="shared" si="39"/>
        <v>#DIV/0!</v>
      </c>
      <c r="L70" s="486" t="e">
        <f t="shared" si="39"/>
        <v>#DIV/0!</v>
      </c>
    </row>
    <row r="71" spans="2:12" x14ac:dyDescent="0.2">
      <c r="B71" s="251">
        <f t="shared" ref="B71:D71" si="40">(B27-B26)/B26</f>
        <v>-4.9999971697808178E-3</v>
      </c>
      <c r="C71" s="255">
        <f t="shared" si="40"/>
        <v>-1.8518518518518517E-2</v>
      </c>
      <c r="D71" s="255">
        <f t="shared" si="40"/>
        <v>8.1967213114754092E-2</v>
      </c>
      <c r="E71" s="255" t="e">
        <f t="shared" ref="E71:L71" si="41">(E27-E26)/E26</f>
        <v>#DIV/0!</v>
      </c>
      <c r="F71" s="255" t="e">
        <f t="shared" si="41"/>
        <v>#DIV/0!</v>
      </c>
      <c r="G71" s="255" t="e">
        <f t="shared" si="41"/>
        <v>#DIV/0!</v>
      </c>
      <c r="H71" s="255" t="e">
        <f t="shared" si="41"/>
        <v>#DIV/0!</v>
      </c>
      <c r="I71" s="255" t="e">
        <f t="shared" si="41"/>
        <v>#DIV/0!</v>
      </c>
      <c r="J71" s="255" t="e">
        <f t="shared" si="41"/>
        <v>#DIV/0!</v>
      </c>
      <c r="K71" s="255" t="e">
        <f t="shared" si="41"/>
        <v>#DIV/0!</v>
      </c>
      <c r="L71" s="486" t="e">
        <f t="shared" si="41"/>
        <v>#DIV/0!</v>
      </c>
    </row>
    <row r="72" spans="2:12" x14ac:dyDescent="0.2">
      <c r="B72" s="251">
        <f t="shared" ref="B72:D72" si="42">(B28-B27)/B27</f>
        <v>-4.6267081853348241E-2</v>
      </c>
      <c r="C72" s="255">
        <f t="shared" si="42"/>
        <v>-8.0188679245283015E-2</v>
      </c>
      <c r="D72" s="255">
        <f t="shared" si="42"/>
        <v>-8.7121212121212127E-2</v>
      </c>
      <c r="E72" s="255" t="e">
        <f t="shared" ref="E72:L72" si="43">(E28-E27)/E27</f>
        <v>#DIV/0!</v>
      </c>
      <c r="F72" s="255" t="e">
        <f t="shared" si="43"/>
        <v>#DIV/0!</v>
      </c>
      <c r="G72" s="255" t="e">
        <f t="shared" si="43"/>
        <v>#DIV/0!</v>
      </c>
      <c r="H72" s="255" t="e">
        <f t="shared" si="43"/>
        <v>#DIV/0!</v>
      </c>
      <c r="I72" s="255" t="e">
        <f t="shared" si="43"/>
        <v>#DIV/0!</v>
      </c>
      <c r="J72" s="255" t="e">
        <f t="shared" si="43"/>
        <v>#DIV/0!</v>
      </c>
      <c r="K72" s="255" t="e">
        <f t="shared" si="43"/>
        <v>#DIV/0!</v>
      </c>
      <c r="L72" s="486" t="e">
        <f t="shared" si="43"/>
        <v>#DIV/0!</v>
      </c>
    </row>
    <row r="73" spans="2:12" x14ac:dyDescent="0.2">
      <c r="B73" s="251">
        <f t="shared" ref="B73:D73" si="44">(B29-B28)/B28</f>
        <v>5.5985028389318653E-2</v>
      </c>
      <c r="C73" s="255">
        <f t="shared" si="44"/>
        <v>0.15384615384615385</v>
      </c>
      <c r="D73" s="255">
        <f t="shared" si="44"/>
        <v>0.15352697095435686</v>
      </c>
      <c r="E73" s="255" t="e">
        <f t="shared" ref="E73:L73" si="45">(E29-E28)/E28</f>
        <v>#DIV/0!</v>
      </c>
      <c r="F73" s="255" t="e">
        <f t="shared" si="45"/>
        <v>#DIV/0!</v>
      </c>
      <c r="G73" s="255" t="e">
        <f t="shared" si="45"/>
        <v>#DIV/0!</v>
      </c>
      <c r="H73" s="255" t="e">
        <f t="shared" si="45"/>
        <v>#DIV/0!</v>
      </c>
      <c r="I73" s="255" t="e">
        <f t="shared" si="45"/>
        <v>#DIV/0!</v>
      </c>
      <c r="J73" s="255" t="e">
        <f t="shared" si="45"/>
        <v>#DIV/0!</v>
      </c>
      <c r="K73" s="255" t="e">
        <f t="shared" si="45"/>
        <v>#DIV/0!</v>
      </c>
      <c r="L73" s="486" t="e">
        <f t="shared" si="45"/>
        <v>#DIV/0!</v>
      </c>
    </row>
    <row r="74" spans="2:12" x14ac:dyDescent="0.2">
      <c r="B74" s="251">
        <f t="shared" ref="B74:D74" si="46">(B30-B29)/B29</f>
        <v>3.6826884285909849E-2</v>
      </c>
      <c r="C74" s="255">
        <f t="shared" si="46"/>
        <v>0.1111111111111111</v>
      </c>
      <c r="D74" s="255">
        <f t="shared" si="46"/>
        <v>3.5971223021582736E-3</v>
      </c>
      <c r="E74" s="255" t="e">
        <f t="shared" ref="E74:L74" si="47">(E30-E29)/E29</f>
        <v>#DIV/0!</v>
      </c>
      <c r="F74" s="255" t="e">
        <f t="shared" si="47"/>
        <v>#DIV/0!</v>
      </c>
      <c r="G74" s="255" t="e">
        <f t="shared" si="47"/>
        <v>#DIV/0!</v>
      </c>
      <c r="H74" s="255" t="e">
        <f t="shared" si="47"/>
        <v>#DIV/0!</v>
      </c>
      <c r="I74" s="255" t="e">
        <f t="shared" si="47"/>
        <v>#DIV/0!</v>
      </c>
      <c r="J74" s="255" t="e">
        <f t="shared" si="47"/>
        <v>#DIV/0!</v>
      </c>
      <c r="K74" s="255" t="e">
        <f t="shared" si="47"/>
        <v>#DIV/0!</v>
      </c>
      <c r="L74" s="486" t="e">
        <f t="shared" si="47"/>
        <v>#DIV/0!</v>
      </c>
    </row>
    <row r="75" spans="2:12" x14ac:dyDescent="0.2">
      <c r="B75" s="251">
        <f t="shared" ref="B75:D75" si="48">(B31-B30)/B30</f>
        <v>3.419599936524069E-2</v>
      </c>
      <c r="C75" s="255">
        <f t="shared" si="48"/>
        <v>-0.02</v>
      </c>
      <c r="D75" s="255">
        <f t="shared" si="48"/>
        <v>-1.7921146953405017E-2</v>
      </c>
      <c r="E75" s="255" t="e">
        <f t="shared" ref="E75:L75" si="49">(E31-E30)/E30</f>
        <v>#DIV/0!</v>
      </c>
      <c r="F75" s="255" t="e">
        <f t="shared" si="49"/>
        <v>#DIV/0!</v>
      </c>
      <c r="G75" s="255" t="e">
        <f t="shared" si="49"/>
        <v>#DIV/0!</v>
      </c>
      <c r="H75" s="255" t="e">
        <f t="shared" si="49"/>
        <v>#DIV/0!</v>
      </c>
      <c r="I75" s="255" t="e">
        <f t="shared" si="49"/>
        <v>#DIV/0!</v>
      </c>
      <c r="J75" s="255" t="e">
        <f t="shared" si="49"/>
        <v>#DIV/0!</v>
      </c>
      <c r="K75" s="255" t="e">
        <f t="shared" si="49"/>
        <v>#DIV/0!</v>
      </c>
      <c r="L75" s="486" t="e">
        <f t="shared" si="49"/>
        <v>#DIV/0!</v>
      </c>
    </row>
    <row r="76" spans="2:12" x14ac:dyDescent="0.2">
      <c r="B76" s="251">
        <f t="shared" ref="B76:D76" si="50">(B32-B31)/B31</f>
        <v>2.2387863516602897E-2</v>
      </c>
      <c r="C76" s="255">
        <f t="shared" si="50"/>
        <v>0.30612244897959184</v>
      </c>
      <c r="D76" s="255">
        <f t="shared" si="50"/>
        <v>0.15328467153284672</v>
      </c>
      <c r="E76" s="255" t="e">
        <f t="shared" ref="E76:L76" si="51">(E32-E31)/E31</f>
        <v>#DIV/0!</v>
      </c>
      <c r="F76" s="255" t="e">
        <f t="shared" si="51"/>
        <v>#DIV/0!</v>
      </c>
      <c r="G76" s="255" t="e">
        <f t="shared" si="51"/>
        <v>#DIV/0!</v>
      </c>
      <c r="H76" s="255" t="e">
        <f t="shared" si="51"/>
        <v>#DIV/0!</v>
      </c>
      <c r="I76" s="255" t="e">
        <f t="shared" si="51"/>
        <v>#DIV/0!</v>
      </c>
      <c r="J76" s="255" t="e">
        <f t="shared" si="51"/>
        <v>#DIV/0!</v>
      </c>
      <c r="K76" s="255" t="e">
        <f t="shared" si="51"/>
        <v>#DIV/0!</v>
      </c>
      <c r="L76" s="486" t="e">
        <f t="shared" si="51"/>
        <v>#DIV/0!</v>
      </c>
    </row>
    <row r="77" spans="2:12" x14ac:dyDescent="0.2">
      <c r="B77" s="251">
        <f t="shared" ref="B77:D77" si="52">(B33-B32)/B32</f>
        <v>3.1816460696677706E-2</v>
      </c>
      <c r="C77" s="255">
        <f t="shared" si="52"/>
        <v>8.1250000000000003E-2</v>
      </c>
      <c r="D77" s="255">
        <f t="shared" si="52"/>
        <v>3.7974683544303799E-2</v>
      </c>
      <c r="E77" s="255" t="e">
        <f t="shared" ref="E77:L77" si="53">(E33-E32)/E32</f>
        <v>#DIV/0!</v>
      </c>
      <c r="F77" s="255" t="e">
        <f t="shared" si="53"/>
        <v>#DIV/0!</v>
      </c>
      <c r="G77" s="255" t="e">
        <f t="shared" si="53"/>
        <v>#DIV/0!</v>
      </c>
      <c r="H77" s="255" t="e">
        <f t="shared" si="53"/>
        <v>#DIV/0!</v>
      </c>
      <c r="I77" s="255" t="e">
        <f t="shared" si="53"/>
        <v>#DIV/0!</v>
      </c>
      <c r="J77" s="255" t="e">
        <f t="shared" si="53"/>
        <v>#DIV/0!</v>
      </c>
      <c r="K77" s="255" t="e">
        <f t="shared" si="53"/>
        <v>#DIV/0!</v>
      </c>
      <c r="L77" s="486" t="e">
        <f t="shared" si="53"/>
        <v>#DIV/0!</v>
      </c>
    </row>
    <row r="78" spans="2:12" x14ac:dyDescent="0.2">
      <c r="B78" s="251">
        <f t="shared" ref="B78:D78" si="54">(B34-B33)/B33</f>
        <v>-2.1648712173205006E-2</v>
      </c>
      <c r="C78" s="255">
        <f t="shared" si="54"/>
        <v>-5.7803468208092484E-2</v>
      </c>
      <c r="D78" s="255">
        <f t="shared" si="54"/>
        <v>-8.5365853658536592E-2</v>
      </c>
      <c r="E78" s="255" t="e">
        <f t="shared" ref="E78:L78" si="55">(E34-E33)/E33</f>
        <v>#DIV/0!</v>
      </c>
      <c r="F78" s="255" t="e">
        <f t="shared" si="55"/>
        <v>#DIV/0!</v>
      </c>
      <c r="G78" s="255" t="e">
        <f t="shared" si="55"/>
        <v>#DIV/0!</v>
      </c>
      <c r="H78" s="255" t="e">
        <f t="shared" si="55"/>
        <v>#DIV/0!</v>
      </c>
      <c r="I78" s="255" t="e">
        <f t="shared" si="55"/>
        <v>#DIV/0!</v>
      </c>
      <c r="J78" s="255" t="e">
        <f t="shared" si="55"/>
        <v>#DIV/0!</v>
      </c>
      <c r="K78" s="255" t="e">
        <f t="shared" si="55"/>
        <v>#DIV/0!</v>
      </c>
      <c r="L78" s="486" t="e">
        <f t="shared" si="55"/>
        <v>#DIV/0!</v>
      </c>
    </row>
    <row r="79" spans="2:12" x14ac:dyDescent="0.2">
      <c r="B79" s="251">
        <f t="shared" ref="B79:D79" si="56">(B35-B34)/B34</f>
        <v>2.3616475868618397E-2</v>
      </c>
      <c r="C79" s="255">
        <f t="shared" si="56"/>
        <v>9.202453987730061E-2</v>
      </c>
      <c r="D79" s="255">
        <f t="shared" si="56"/>
        <v>3.3333333333333335E-3</v>
      </c>
      <c r="E79" s="255" t="e">
        <f t="shared" ref="E79:L79" si="57">(E35-E34)/E34</f>
        <v>#DIV/0!</v>
      </c>
      <c r="F79" s="255" t="e">
        <f t="shared" si="57"/>
        <v>#DIV/0!</v>
      </c>
      <c r="G79" s="255" t="e">
        <f t="shared" si="57"/>
        <v>#DIV/0!</v>
      </c>
      <c r="H79" s="255" t="e">
        <f t="shared" si="57"/>
        <v>#DIV/0!</v>
      </c>
      <c r="I79" s="255" t="e">
        <f t="shared" si="57"/>
        <v>#DIV/0!</v>
      </c>
      <c r="J79" s="255" t="e">
        <f t="shared" si="57"/>
        <v>#DIV/0!</v>
      </c>
      <c r="K79" s="255" t="e">
        <f t="shared" si="57"/>
        <v>#DIV/0!</v>
      </c>
      <c r="L79" s="486" t="e">
        <f t="shared" si="57"/>
        <v>#DIV/0!</v>
      </c>
    </row>
    <row r="80" spans="2:12" x14ac:dyDescent="0.2">
      <c r="B80" s="251">
        <f t="shared" ref="B80:D80" si="58">(B36-B35)/B35</f>
        <v>6.4829420773303101E-2</v>
      </c>
      <c r="C80" s="255">
        <f t="shared" si="58"/>
        <v>4.49438202247191E-2</v>
      </c>
      <c r="D80" s="255">
        <f t="shared" si="58"/>
        <v>9.634551495016612E-2</v>
      </c>
      <c r="E80" s="255" t="e">
        <f t="shared" ref="E80:L80" si="59">(E36-E35)/E35</f>
        <v>#DIV/0!</v>
      </c>
      <c r="F80" s="255" t="e">
        <f t="shared" si="59"/>
        <v>#DIV/0!</v>
      </c>
      <c r="G80" s="255" t="e">
        <f t="shared" si="59"/>
        <v>#DIV/0!</v>
      </c>
      <c r="H80" s="255" t="e">
        <f t="shared" si="59"/>
        <v>#DIV/0!</v>
      </c>
      <c r="I80" s="255" t="e">
        <f t="shared" si="59"/>
        <v>#DIV/0!</v>
      </c>
      <c r="J80" s="255" t="e">
        <f t="shared" si="59"/>
        <v>#DIV/0!</v>
      </c>
      <c r="K80" s="255" t="e">
        <f t="shared" si="59"/>
        <v>#DIV/0!</v>
      </c>
      <c r="L80" s="486" t="e">
        <f t="shared" si="59"/>
        <v>#DIV/0!</v>
      </c>
    </row>
    <row r="81" spans="1:12" x14ac:dyDescent="0.2">
      <c r="B81" s="251">
        <f>(B37-B36)/B36</f>
        <v>-7.8335325184730464E-3</v>
      </c>
      <c r="C81" s="255">
        <f t="shared" ref="C81:D81" si="60">(C37-C36)/C36</f>
        <v>-1.6129032258064516E-2</v>
      </c>
      <c r="D81" s="255">
        <f t="shared" si="60"/>
        <v>6.363636363636363E-2</v>
      </c>
      <c r="E81" s="255" t="e">
        <f t="shared" ref="E81:L81" si="61">(E37-E36)/E36</f>
        <v>#DIV/0!</v>
      </c>
      <c r="F81" s="255" t="e">
        <f t="shared" si="61"/>
        <v>#DIV/0!</v>
      </c>
      <c r="G81" s="255" t="e">
        <f t="shared" si="61"/>
        <v>#DIV/0!</v>
      </c>
      <c r="H81" s="255" t="e">
        <f t="shared" si="61"/>
        <v>#DIV/0!</v>
      </c>
      <c r="I81" s="255" t="e">
        <f t="shared" si="61"/>
        <v>#DIV/0!</v>
      </c>
      <c r="J81" s="255" t="e">
        <f t="shared" si="61"/>
        <v>#DIV/0!</v>
      </c>
      <c r="K81" s="255" t="e">
        <f t="shared" si="61"/>
        <v>#DIV/0!</v>
      </c>
      <c r="L81" s="486" t="e">
        <f t="shared" si="61"/>
        <v>#DIV/0!</v>
      </c>
    </row>
    <row r="82" spans="1:12" x14ac:dyDescent="0.2">
      <c r="B82" s="251">
        <f t="shared" ref="B82:D82" si="62">(B38-B37)/B37</f>
        <v>2.9865321206667645E-2</v>
      </c>
      <c r="C82" s="255">
        <f t="shared" si="62"/>
        <v>7.3770491803278687E-2</v>
      </c>
      <c r="D82" s="255">
        <f t="shared" si="62"/>
        <v>-4.843304843304843E-2</v>
      </c>
      <c r="E82" s="255" t="e">
        <f t="shared" ref="E82:L82" si="63">(E38-E37)/E37</f>
        <v>#DIV/0!</v>
      </c>
      <c r="F82" s="255" t="e">
        <f t="shared" si="63"/>
        <v>#DIV/0!</v>
      </c>
      <c r="G82" s="255" t="e">
        <f t="shared" si="63"/>
        <v>#DIV/0!</v>
      </c>
      <c r="H82" s="255" t="e">
        <f t="shared" si="63"/>
        <v>#DIV/0!</v>
      </c>
      <c r="I82" s="255" t="e">
        <f t="shared" si="63"/>
        <v>#DIV/0!</v>
      </c>
      <c r="J82" s="255" t="e">
        <f t="shared" si="63"/>
        <v>#DIV/0!</v>
      </c>
      <c r="K82" s="255" t="e">
        <f t="shared" si="63"/>
        <v>#DIV/0!</v>
      </c>
      <c r="L82" s="486" t="e">
        <f t="shared" si="63"/>
        <v>#DIV/0!</v>
      </c>
    </row>
    <row r="83" spans="1:12" x14ac:dyDescent="0.2">
      <c r="B83" s="251">
        <f t="shared" ref="B83:D83" si="64">(B39-B38)/B38</f>
        <v>3.5363587618254262E-2</v>
      </c>
      <c r="C83" s="255">
        <f t="shared" si="64"/>
        <v>0.25699745547073793</v>
      </c>
      <c r="D83" s="255">
        <f t="shared" si="64"/>
        <v>1.7964071856287425E-2</v>
      </c>
      <c r="E83" s="255" t="e">
        <f t="shared" ref="E83:L83" si="65">(E39-E38)/E38</f>
        <v>#DIV/0!</v>
      </c>
      <c r="F83" s="255" t="e">
        <f t="shared" si="65"/>
        <v>#DIV/0!</v>
      </c>
      <c r="G83" s="255" t="e">
        <f t="shared" si="65"/>
        <v>#DIV/0!</v>
      </c>
      <c r="H83" s="255" t="e">
        <f t="shared" si="65"/>
        <v>#DIV/0!</v>
      </c>
      <c r="I83" s="255" t="e">
        <f t="shared" si="65"/>
        <v>#DIV/0!</v>
      </c>
      <c r="J83" s="255" t="e">
        <f t="shared" si="65"/>
        <v>#DIV/0!</v>
      </c>
      <c r="K83" s="255" t="e">
        <f t="shared" si="65"/>
        <v>#DIV/0!</v>
      </c>
      <c r="L83" s="486" t="e">
        <f t="shared" si="65"/>
        <v>#DIV/0!</v>
      </c>
    </row>
    <row r="84" spans="1:12" x14ac:dyDescent="0.2">
      <c r="B84" s="251">
        <f t="shared" ref="B84:D84" si="66">(B40-B39)/B39</f>
        <v>-3.1314914940068175E-2</v>
      </c>
      <c r="C84" s="255">
        <f t="shared" si="66"/>
        <v>8.9068825910931168E-2</v>
      </c>
      <c r="D84" s="255">
        <f t="shared" si="66"/>
        <v>-8.8235294117647058E-3</v>
      </c>
      <c r="E84" s="255" t="e">
        <f t="shared" ref="E84:L84" si="67">(E40-E39)/E39</f>
        <v>#DIV/0!</v>
      </c>
      <c r="F84" s="255" t="e">
        <f t="shared" si="67"/>
        <v>#DIV/0!</v>
      </c>
      <c r="G84" s="255" t="e">
        <f t="shared" si="67"/>
        <v>#DIV/0!</v>
      </c>
      <c r="H84" s="255" t="e">
        <f t="shared" si="67"/>
        <v>#DIV/0!</v>
      </c>
      <c r="I84" s="255" t="e">
        <f t="shared" si="67"/>
        <v>#DIV/0!</v>
      </c>
      <c r="J84" s="255" t="e">
        <f t="shared" si="67"/>
        <v>#DIV/0!</v>
      </c>
      <c r="K84" s="255" t="e">
        <f t="shared" si="67"/>
        <v>#DIV/0!</v>
      </c>
      <c r="L84" s="486" t="e">
        <f t="shared" si="67"/>
        <v>#DIV/0!</v>
      </c>
    </row>
    <row r="85" spans="1:12" x14ac:dyDescent="0.2">
      <c r="B85" s="251">
        <f t="shared" ref="B85:D85" si="68">(B41-B40)/B40</f>
        <v>-6.2183284743357325E-2</v>
      </c>
      <c r="C85" s="255">
        <f t="shared" si="68"/>
        <v>-0.14126394052044611</v>
      </c>
      <c r="D85" s="255">
        <f t="shared" si="68"/>
        <v>-0.22551928783382788</v>
      </c>
      <c r="E85" s="255" t="e">
        <f t="shared" ref="E85:L85" si="69">(E41-E40)/E40</f>
        <v>#DIV/0!</v>
      </c>
      <c r="F85" s="255" t="e">
        <f t="shared" si="69"/>
        <v>#DIV/0!</v>
      </c>
      <c r="G85" s="255" t="e">
        <f t="shared" si="69"/>
        <v>#DIV/0!</v>
      </c>
      <c r="H85" s="255" t="e">
        <f t="shared" si="69"/>
        <v>#DIV/0!</v>
      </c>
      <c r="I85" s="255" t="e">
        <f t="shared" si="69"/>
        <v>#DIV/0!</v>
      </c>
      <c r="J85" s="255" t="e">
        <f t="shared" si="69"/>
        <v>#DIV/0!</v>
      </c>
      <c r="K85" s="255" t="e">
        <f t="shared" si="69"/>
        <v>#DIV/0!</v>
      </c>
      <c r="L85" s="486" t="e">
        <f t="shared" si="69"/>
        <v>#DIV/0!</v>
      </c>
    </row>
    <row r="86" spans="1:12" x14ac:dyDescent="0.2">
      <c r="B86" s="251">
        <f t="shared" ref="B86:D86" si="70">(B42-B41)/B41</f>
        <v>-1.8250534511637781E-3</v>
      </c>
      <c r="C86" s="255">
        <f t="shared" si="70"/>
        <v>-4.7619047619047616E-2</v>
      </c>
      <c r="D86" s="255">
        <f t="shared" si="70"/>
        <v>2.681992337164751E-2</v>
      </c>
      <c r="E86" s="255" t="e">
        <f t="shared" ref="E86:L86" si="71">(E42-E41)/E41</f>
        <v>#DIV/0!</v>
      </c>
      <c r="F86" s="255" t="e">
        <f t="shared" si="71"/>
        <v>#DIV/0!</v>
      </c>
      <c r="G86" s="255" t="e">
        <f t="shared" si="71"/>
        <v>#DIV/0!</v>
      </c>
      <c r="H86" s="255" t="e">
        <f t="shared" si="71"/>
        <v>#DIV/0!</v>
      </c>
      <c r="I86" s="255" t="e">
        <f t="shared" si="71"/>
        <v>#DIV/0!</v>
      </c>
      <c r="J86" s="255" t="e">
        <f t="shared" si="71"/>
        <v>#DIV/0!</v>
      </c>
      <c r="K86" s="255" t="e">
        <f t="shared" si="71"/>
        <v>#DIV/0!</v>
      </c>
      <c r="L86" s="486" t="e">
        <f t="shared" si="71"/>
        <v>#DIV/0!</v>
      </c>
    </row>
    <row r="87" spans="1:12" x14ac:dyDescent="0.2">
      <c r="B87" s="251">
        <f t="shared" ref="B87:D87" si="72">(B43-B42)/B42</f>
        <v>2.4291633957996946E-2</v>
      </c>
      <c r="C87" s="255">
        <f t="shared" si="72"/>
        <v>3.4090909090909088E-2</v>
      </c>
      <c r="D87" s="255">
        <f t="shared" si="72"/>
        <v>0.23880597014925373</v>
      </c>
      <c r="E87" s="255" t="e">
        <f t="shared" ref="E87:L87" si="73">(E43-E42)/E42</f>
        <v>#DIV/0!</v>
      </c>
      <c r="F87" s="255" t="e">
        <f t="shared" si="73"/>
        <v>#DIV/0!</v>
      </c>
      <c r="G87" s="255" t="e">
        <f t="shared" si="73"/>
        <v>#DIV/0!</v>
      </c>
      <c r="H87" s="255" t="e">
        <f t="shared" si="73"/>
        <v>#DIV/0!</v>
      </c>
      <c r="I87" s="255" t="e">
        <f t="shared" si="73"/>
        <v>#DIV/0!</v>
      </c>
      <c r="J87" s="255" t="e">
        <f t="shared" si="73"/>
        <v>#DIV/0!</v>
      </c>
      <c r="K87" s="255" t="e">
        <f t="shared" si="73"/>
        <v>#DIV/0!</v>
      </c>
      <c r="L87" s="486" t="e">
        <f t="shared" si="73"/>
        <v>#DIV/0!</v>
      </c>
    </row>
    <row r="88" spans="1:12" x14ac:dyDescent="0.2">
      <c r="B88" s="251">
        <f t="shared" ref="B88:D88" si="74">(B44-B43)/B43</f>
        <v>3.3791628030402303E-2</v>
      </c>
      <c r="C88" s="255">
        <f t="shared" si="74"/>
        <v>0.1076923076923077</v>
      </c>
      <c r="D88" s="255">
        <f t="shared" si="74"/>
        <v>3.313253012048193E-2</v>
      </c>
      <c r="E88" s="255" t="e">
        <f t="shared" ref="E88:L88" si="75">(E44-E43)/E43</f>
        <v>#DIV/0!</v>
      </c>
      <c r="F88" s="255" t="e">
        <f t="shared" si="75"/>
        <v>#DIV/0!</v>
      </c>
      <c r="G88" s="255" t="e">
        <f t="shared" si="75"/>
        <v>#DIV/0!</v>
      </c>
      <c r="H88" s="255" t="e">
        <f t="shared" si="75"/>
        <v>#DIV/0!</v>
      </c>
      <c r="I88" s="255" t="e">
        <f t="shared" si="75"/>
        <v>#DIV/0!</v>
      </c>
      <c r="J88" s="255" t="e">
        <f t="shared" si="75"/>
        <v>#DIV/0!</v>
      </c>
      <c r="K88" s="255" t="e">
        <f t="shared" si="75"/>
        <v>#DIV/0!</v>
      </c>
      <c r="L88" s="486" t="e">
        <f t="shared" si="75"/>
        <v>#DIV/0!</v>
      </c>
    </row>
    <row r="89" spans="1:12" x14ac:dyDescent="0.2">
      <c r="B89" s="252">
        <f t="shared" ref="B89:D89" si="76">(B45-B44)/B44</f>
        <v>3.7621399556634308E-2</v>
      </c>
      <c r="C89" s="256">
        <f t="shared" si="76"/>
        <v>8.1349206349206352E-2</v>
      </c>
      <c r="D89" s="256">
        <f t="shared" si="76"/>
        <v>4.9562682215743441E-2</v>
      </c>
      <c r="E89" s="256" t="e">
        <f t="shared" ref="E89:L89" si="77">(E45-E44)/E44</f>
        <v>#DIV/0!</v>
      </c>
      <c r="F89" s="256" t="e">
        <f t="shared" si="77"/>
        <v>#DIV/0!</v>
      </c>
      <c r="G89" s="256" t="e">
        <f t="shared" si="77"/>
        <v>#DIV/0!</v>
      </c>
      <c r="H89" s="256" t="e">
        <f t="shared" si="77"/>
        <v>#DIV/0!</v>
      </c>
      <c r="I89" s="256" t="e">
        <f t="shared" si="77"/>
        <v>#DIV/0!</v>
      </c>
      <c r="J89" s="256" t="e">
        <f t="shared" si="77"/>
        <v>#DIV/0!</v>
      </c>
      <c r="K89" s="256" t="e">
        <f t="shared" si="77"/>
        <v>#DIV/0!</v>
      </c>
      <c r="L89" s="256" t="e">
        <f t="shared" si="77"/>
        <v>#DIV/0!</v>
      </c>
    </row>
    <row r="91" spans="1:12" x14ac:dyDescent="0.2">
      <c r="A91" s="246" t="s">
        <v>433</v>
      </c>
    </row>
    <row r="93" spans="1:12" ht="24" customHeight="1" x14ac:dyDescent="0.2">
      <c r="B93" s="257" t="s">
        <v>425</v>
      </c>
      <c r="C93" s="258" t="s">
        <v>350</v>
      </c>
      <c r="D93" s="258" t="s">
        <v>351</v>
      </c>
      <c r="E93" s="258" t="s">
        <v>352</v>
      </c>
      <c r="F93" s="258" t="s">
        <v>426</v>
      </c>
      <c r="G93" s="258" t="s">
        <v>427</v>
      </c>
      <c r="H93" s="258" t="s">
        <v>428</v>
      </c>
      <c r="I93" s="258" t="s">
        <v>429</v>
      </c>
      <c r="J93" s="258" t="s">
        <v>430</v>
      </c>
      <c r="K93" s="258" t="s">
        <v>431</v>
      </c>
      <c r="L93" s="259" t="s">
        <v>432</v>
      </c>
    </row>
    <row r="94" spans="1:12" x14ac:dyDescent="0.2">
      <c r="B94" s="247"/>
      <c r="C94" s="248"/>
      <c r="D94" s="248"/>
      <c r="L94" s="243"/>
    </row>
    <row r="95" spans="1:12" x14ac:dyDescent="0.2">
      <c r="B95" s="251">
        <f>B51+1</f>
        <v>1.0012713488265148</v>
      </c>
      <c r="C95" s="253">
        <f t="shared" ref="C95:D95" si="78">C51+1</f>
        <v>1.037037037037037</v>
      </c>
      <c r="D95" s="253">
        <f t="shared" si="78"/>
        <v>1.0750762195121952</v>
      </c>
      <c r="E95" s="253" t="e">
        <f t="shared" ref="E95:L95" si="79">E51+1</f>
        <v>#DIV/0!</v>
      </c>
      <c r="F95" s="253" t="e">
        <f t="shared" si="79"/>
        <v>#DIV/0!</v>
      </c>
      <c r="G95" s="253" t="e">
        <f t="shared" si="79"/>
        <v>#DIV/0!</v>
      </c>
      <c r="H95" s="253" t="e">
        <f t="shared" si="79"/>
        <v>#DIV/0!</v>
      </c>
      <c r="I95" s="253" t="e">
        <f t="shared" si="79"/>
        <v>#DIV/0!</v>
      </c>
      <c r="J95" s="253" t="e">
        <f t="shared" si="79"/>
        <v>#DIV/0!</v>
      </c>
      <c r="K95" s="253" t="e">
        <f t="shared" si="79"/>
        <v>#DIV/0!</v>
      </c>
      <c r="L95" s="487" t="e">
        <f t="shared" si="79"/>
        <v>#DIV/0!</v>
      </c>
    </row>
    <row r="96" spans="1:12" x14ac:dyDescent="0.2">
      <c r="B96" s="251">
        <f t="shared" ref="B96:D96" si="80">B52+1</f>
        <v>1.0996281240211541</v>
      </c>
      <c r="C96" s="253">
        <f t="shared" si="80"/>
        <v>1.1071428571428572</v>
      </c>
      <c r="D96" s="253">
        <f t="shared" si="80"/>
        <v>1.0907479617157037</v>
      </c>
      <c r="E96" s="253" t="e">
        <f t="shared" ref="E96:L96" si="81">E52+1</f>
        <v>#DIV/0!</v>
      </c>
      <c r="F96" s="253" t="e">
        <f t="shared" si="81"/>
        <v>#DIV/0!</v>
      </c>
      <c r="G96" s="253" t="e">
        <f t="shared" si="81"/>
        <v>#DIV/0!</v>
      </c>
      <c r="H96" s="253" t="e">
        <f t="shared" si="81"/>
        <v>#DIV/0!</v>
      </c>
      <c r="I96" s="253" t="e">
        <f t="shared" si="81"/>
        <v>#DIV/0!</v>
      </c>
      <c r="J96" s="253" t="e">
        <f t="shared" si="81"/>
        <v>#DIV/0!</v>
      </c>
      <c r="K96" s="253" t="e">
        <f t="shared" si="81"/>
        <v>#DIV/0!</v>
      </c>
      <c r="L96" s="487" t="e">
        <f t="shared" si="81"/>
        <v>#DIV/0!</v>
      </c>
    </row>
    <row r="97" spans="2:12" x14ac:dyDescent="0.2">
      <c r="B97" s="251">
        <f t="shared" ref="B97:D97" si="82">B53+1</f>
        <v>0.99698047452820204</v>
      </c>
      <c r="C97" s="253">
        <f t="shared" si="82"/>
        <v>1.0483870967741935</v>
      </c>
      <c r="D97" s="253">
        <f t="shared" si="82"/>
        <v>1.1348716282092948</v>
      </c>
      <c r="E97" s="253" t="e">
        <f t="shared" ref="E97:L97" si="83">E53+1</f>
        <v>#DIV/0!</v>
      </c>
      <c r="F97" s="253" t="e">
        <f t="shared" si="83"/>
        <v>#DIV/0!</v>
      </c>
      <c r="G97" s="253" t="e">
        <f t="shared" si="83"/>
        <v>#DIV/0!</v>
      </c>
      <c r="H97" s="253" t="e">
        <f t="shared" si="83"/>
        <v>#DIV/0!</v>
      </c>
      <c r="I97" s="253" t="e">
        <f t="shared" si="83"/>
        <v>#DIV/0!</v>
      </c>
      <c r="J97" s="253" t="e">
        <f t="shared" si="83"/>
        <v>#DIV/0!</v>
      </c>
      <c r="K97" s="253" t="e">
        <f t="shared" si="83"/>
        <v>#DIV/0!</v>
      </c>
      <c r="L97" s="487" t="e">
        <f t="shared" si="83"/>
        <v>#DIV/0!</v>
      </c>
    </row>
    <row r="98" spans="2:12" x14ac:dyDescent="0.2">
      <c r="B98" s="251">
        <f t="shared" ref="B98:D98" si="84">B54+1</f>
        <v>1.0788675859790826</v>
      </c>
      <c r="C98" s="253">
        <f t="shared" si="84"/>
        <v>1.0538461538461539</v>
      </c>
      <c r="D98" s="253">
        <f t="shared" si="84"/>
        <v>1.1721076746849941</v>
      </c>
      <c r="E98" s="253" t="e">
        <f t="shared" ref="E98:L98" si="85">E54+1</f>
        <v>#DIV/0!</v>
      </c>
      <c r="F98" s="253" t="e">
        <f t="shared" si="85"/>
        <v>#DIV/0!</v>
      </c>
      <c r="G98" s="253" t="e">
        <f t="shared" si="85"/>
        <v>#DIV/0!</v>
      </c>
      <c r="H98" s="253" t="e">
        <f t="shared" si="85"/>
        <v>#DIV/0!</v>
      </c>
      <c r="I98" s="253" t="e">
        <f t="shared" si="85"/>
        <v>#DIV/0!</v>
      </c>
      <c r="J98" s="253" t="e">
        <f t="shared" si="85"/>
        <v>#DIV/0!</v>
      </c>
      <c r="K98" s="253" t="e">
        <f t="shared" si="85"/>
        <v>#DIV/0!</v>
      </c>
      <c r="L98" s="487" t="e">
        <f t="shared" si="85"/>
        <v>#DIV/0!</v>
      </c>
    </row>
    <row r="99" spans="2:12" x14ac:dyDescent="0.2">
      <c r="B99" s="251">
        <f t="shared" ref="B99:C99" si="86">B55+1</f>
        <v>0.97158857904746354</v>
      </c>
      <c r="C99" s="253">
        <f t="shared" si="86"/>
        <v>0.97080291970802923</v>
      </c>
      <c r="D99" s="253">
        <f>D55+1</f>
        <v>0.94942584901050575</v>
      </c>
      <c r="E99" s="253" t="e">
        <f t="shared" ref="E99:L99" si="87">E55+1</f>
        <v>#DIV/0!</v>
      </c>
      <c r="F99" s="253" t="e">
        <f t="shared" si="87"/>
        <v>#DIV/0!</v>
      </c>
      <c r="G99" s="253" t="e">
        <f t="shared" si="87"/>
        <v>#DIV/0!</v>
      </c>
      <c r="H99" s="253" t="e">
        <f t="shared" si="87"/>
        <v>#DIV/0!</v>
      </c>
      <c r="I99" s="253" t="e">
        <f t="shared" si="87"/>
        <v>#DIV/0!</v>
      </c>
      <c r="J99" s="253" t="e">
        <f t="shared" si="87"/>
        <v>#DIV/0!</v>
      </c>
      <c r="K99" s="253" t="e">
        <f t="shared" si="87"/>
        <v>#DIV/0!</v>
      </c>
      <c r="L99" s="487" t="e">
        <f t="shared" si="87"/>
        <v>#DIV/0!</v>
      </c>
    </row>
    <row r="100" spans="2:12" x14ac:dyDescent="0.2">
      <c r="B100" s="251">
        <f t="shared" ref="B100:D100" si="88">B56+1</f>
        <v>1.0351452634285376</v>
      </c>
      <c r="C100" s="253">
        <f t="shared" si="88"/>
        <v>1.0225563909774436</v>
      </c>
      <c r="D100" s="253">
        <f t="shared" si="88"/>
        <v>0.97220792588780236</v>
      </c>
      <c r="E100" s="253" t="e">
        <f t="shared" ref="E100:L100" si="89">E56+1</f>
        <v>#DIV/0!</v>
      </c>
      <c r="F100" s="253" t="e">
        <f t="shared" si="89"/>
        <v>#DIV/0!</v>
      </c>
      <c r="G100" s="253" t="e">
        <f t="shared" si="89"/>
        <v>#DIV/0!</v>
      </c>
      <c r="H100" s="253" t="e">
        <f t="shared" si="89"/>
        <v>#DIV/0!</v>
      </c>
      <c r="I100" s="253" t="e">
        <f t="shared" si="89"/>
        <v>#DIV/0!</v>
      </c>
      <c r="J100" s="253" t="e">
        <f t="shared" si="89"/>
        <v>#DIV/0!</v>
      </c>
      <c r="K100" s="253" t="e">
        <f t="shared" si="89"/>
        <v>#DIV/0!</v>
      </c>
      <c r="L100" s="487" t="e">
        <f t="shared" si="89"/>
        <v>#DIV/0!</v>
      </c>
    </row>
    <row r="101" spans="2:12" x14ac:dyDescent="0.2">
      <c r="B101" s="251">
        <f t="shared" ref="B101:D101" si="90">B57+1</f>
        <v>1.0296158631532071</v>
      </c>
      <c r="C101" s="253">
        <f t="shared" si="90"/>
        <v>0.97058823529411764</v>
      </c>
      <c r="D101" s="253">
        <f t="shared" si="90"/>
        <v>1.1251985177342507</v>
      </c>
      <c r="E101" s="253" t="e">
        <f t="shared" ref="E101:L101" si="91">E57+1</f>
        <v>#DIV/0!</v>
      </c>
      <c r="F101" s="253" t="e">
        <f t="shared" si="91"/>
        <v>#DIV/0!</v>
      </c>
      <c r="G101" s="253" t="e">
        <f t="shared" si="91"/>
        <v>#DIV/0!</v>
      </c>
      <c r="H101" s="253" t="e">
        <f t="shared" si="91"/>
        <v>#DIV/0!</v>
      </c>
      <c r="I101" s="253" t="e">
        <f t="shared" si="91"/>
        <v>#DIV/0!</v>
      </c>
      <c r="J101" s="253" t="e">
        <f t="shared" si="91"/>
        <v>#DIV/0!</v>
      </c>
      <c r="K101" s="253" t="e">
        <f t="shared" si="91"/>
        <v>#DIV/0!</v>
      </c>
      <c r="L101" s="487" t="e">
        <f t="shared" si="91"/>
        <v>#DIV/0!</v>
      </c>
    </row>
    <row r="102" spans="2:12" x14ac:dyDescent="0.2">
      <c r="B102" s="251">
        <f t="shared" ref="B102:D102" si="92">B58+1</f>
        <v>1.0265277060567395</v>
      </c>
      <c r="C102" s="253">
        <f t="shared" si="92"/>
        <v>0.96969696969696972</v>
      </c>
      <c r="D102" s="253">
        <f t="shared" si="92"/>
        <v>1.0277581745471653</v>
      </c>
      <c r="E102" s="253" t="e">
        <f t="shared" ref="E102:L102" si="93">E58+1</f>
        <v>#DIV/0!</v>
      </c>
      <c r="F102" s="253" t="e">
        <f t="shared" si="93"/>
        <v>#DIV/0!</v>
      </c>
      <c r="G102" s="253" t="e">
        <f t="shared" si="93"/>
        <v>#DIV/0!</v>
      </c>
      <c r="H102" s="253" t="e">
        <f t="shared" si="93"/>
        <v>#DIV/0!</v>
      </c>
      <c r="I102" s="253" t="e">
        <f t="shared" si="93"/>
        <v>#DIV/0!</v>
      </c>
      <c r="J102" s="253" t="e">
        <f t="shared" si="93"/>
        <v>#DIV/0!</v>
      </c>
      <c r="K102" s="253" t="e">
        <f t="shared" si="93"/>
        <v>#DIV/0!</v>
      </c>
      <c r="L102" s="487" t="e">
        <f t="shared" si="93"/>
        <v>#DIV/0!</v>
      </c>
    </row>
    <row r="103" spans="2:12" x14ac:dyDescent="0.2">
      <c r="B103" s="251">
        <f t="shared" ref="B103:D103" si="94">B59+1</f>
        <v>0.94985708219303044</v>
      </c>
      <c r="C103" s="253">
        <f t="shared" si="94"/>
        <v>1.125</v>
      </c>
      <c r="D103" s="253">
        <f t="shared" si="94"/>
        <v>0.99771114671549566</v>
      </c>
      <c r="E103" s="253" t="e">
        <f t="shared" ref="E103:L103" si="95">E59+1</f>
        <v>#DIV/0!</v>
      </c>
      <c r="F103" s="253" t="e">
        <f t="shared" si="95"/>
        <v>#DIV/0!</v>
      </c>
      <c r="G103" s="253" t="e">
        <f t="shared" si="95"/>
        <v>#DIV/0!</v>
      </c>
      <c r="H103" s="253" t="e">
        <f t="shared" si="95"/>
        <v>#DIV/0!</v>
      </c>
      <c r="I103" s="253" t="e">
        <f t="shared" si="95"/>
        <v>#DIV/0!</v>
      </c>
      <c r="J103" s="253" t="e">
        <f t="shared" si="95"/>
        <v>#DIV/0!</v>
      </c>
      <c r="K103" s="253" t="e">
        <f t="shared" si="95"/>
        <v>#DIV/0!</v>
      </c>
      <c r="L103" s="487" t="e">
        <f t="shared" si="95"/>
        <v>#DIV/0!</v>
      </c>
    </row>
    <row r="104" spans="2:12" x14ac:dyDescent="0.2">
      <c r="B104" s="251">
        <f t="shared" ref="B104:D104" si="96">B60+1</f>
        <v>1.0130595755257563</v>
      </c>
      <c r="C104" s="253">
        <f t="shared" si="96"/>
        <v>1.125</v>
      </c>
      <c r="D104" s="253">
        <f t="shared" si="96"/>
        <v>1.1057582014223446</v>
      </c>
      <c r="E104" s="253" t="e">
        <f t="shared" ref="E104:L104" si="97">E60+1</f>
        <v>#DIV/0!</v>
      </c>
      <c r="F104" s="253" t="e">
        <f t="shared" si="97"/>
        <v>#DIV/0!</v>
      </c>
      <c r="G104" s="253" t="e">
        <f t="shared" si="97"/>
        <v>#DIV/0!</v>
      </c>
      <c r="H104" s="253" t="e">
        <f t="shared" si="97"/>
        <v>#DIV/0!</v>
      </c>
      <c r="I104" s="253" t="e">
        <f t="shared" si="97"/>
        <v>#DIV/0!</v>
      </c>
      <c r="J104" s="253" t="e">
        <f t="shared" si="97"/>
        <v>#DIV/0!</v>
      </c>
      <c r="K104" s="253" t="e">
        <f t="shared" si="97"/>
        <v>#DIV/0!</v>
      </c>
      <c r="L104" s="487" t="e">
        <f t="shared" si="97"/>
        <v>#DIV/0!</v>
      </c>
    </row>
    <row r="105" spans="2:12" x14ac:dyDescent="0.2">
      <c r="B105" s="251">
        <f t="shared" ref="B105:D105" si="98">B61+1</f>
        <v>0.98573211424952278</v>
      </c>
      <c r="C105" s="253">
        <f t="shared" si="98"/>
        <v>1.0185185185185186</v>
      </c>
      <c r="D105" s="253">
        <f t="shared" si="98"/>
        <v>0.94813278008298751</v>
      </c>
      <c r="E105" s="253" t="e">
        <f t="shared" ref="E105:L105" si="99">E61+1</f>
        <v>#DIV/0!</v>
      </c>
      <c r="F105" s="253" t="e">
        <f t="shared" si="99"/>
        <v>#DIV/0!</v>
      </c>
      <c r="G105" s="253" t="e">
        <f t="shared" si="99"/>
        <v>#DIV/0!</v>
      </c>
      <c r="H105" s="253" t="e">
        <f t="shared" si="99"/>
        <v>#DIV/0!</v>
      </c>
      <c r="I105" s="253" t="e">
        <f t="shared" si="99"/>
        <v>#DIV/0!</v>
      </c>
      <c r="J105" s="253" t="e">
        <f t="shared" si="99"/>
        <v>#DIV/0!</v>
      </c>
      <c r="K105" s="253" t="e">
        <f t="shared" si="99"/>
        <v>#DIV/0!</v>
      </c>
      <c r="L105" s="487" t="e">
        <f t="shared" si="99"/>
        <v>#DIV/0!</v>
      </c>
    </row>
    <row r="106" spans="2:12" x14ac:dyDescent="0.2">
      <c r="B106" s="251">
        <f t="shared" ref="B106:D106" si="100">B62+1</f>
        <v>1.0599561007247935</v>
      </c>
      <c r="C106" s="253">
        <f t="shared" si="100"/>
        <v>1.0424242424242425</v>
      </c>
      <c r="D106" s="253">
        <f t="shared" si="100"/>
        <v>1.1816192560175054</v>
      </c>
      <c r="E106" s="253" t="e">
        <f t="shared" ref="E106:L106" si="101">E62+1</f>
        <v>#DIV/0!</v>
      </c>
      <c r="F106" s="253" t="e">
        <f t="shared" si="101"/>
        <v>#DIV/0!</v>
      </c>
      <c r="G106" s="253" t="e">
        <f t="shared" si="101"/>
        <v>#DIV/0!</v>
      </c>
      <c r="H106" s="253" t="e">
        <f t="shared" si="101"/>
        <v>#DIV/0!</v>
      </c>
      <c r="I106" s="253" t="e">
        <f t="shared" si="101"/>
        <v>#DIV/0!</v>
      </c>
      <c r="J106" s="253" t="e">
        <f t="shared" si="101"/>
        <v>#DIV/0!</v>
      </c>
      <c r="K106" s="253" t="e">
        <f t="shared" si="101"/>
        <v>#DIV/0!</v>
      </c>
      <c r="L106" s="487" t="e">
        <f t="shared" si="101"/>
        <v>#DIV/0!</v>
      </c>
    </row>
    <row r="107" spans="2:12" x14ac:dyDescent="0.2">
      <c r="B107" s="251">
        <f t="shared" ref="B107:D107" si="102">B63+1</f>
        <v>0.97603541919833625</v>
      </c>
      <c r="C107" s="253">
        <f t="shared" si="102"/>
        <v>0.97674418604651159</v>
      </c>
      <c r="D107" s="253">
        <f t="shared" si="102"/>
        <v>0.95370370370370372</v>
      </c>
      <c r="E107" s="253" t="e">
        <f t="shared" ref="E107:L107" si="103">E63+1</f>
        <v>#DIV/0!</v>
      </c>
      <c r="F107" s="253" t="e">
        <f t="shared" si="103"/>
        <v>#DIV/0!</v>
      </c>
      <c r="G107" s="253" t="e">
        <f t="shared" si="103"/>
        <v>#DIV/0!</v>
      </c>
      <c r="H107" s="253" t="e">
        <f t="shared" si="103"/>
        <v>#DIV/0!</v>
      </c>
      <c r="I107" s="253" t="e">
        <f t="shared" si="103"/>
        <v>#DIV/0!</v>
      </c>
      <c r="J107" s="253" t="e">
        <f t="shared" si="103"/>
        <v>#DIV/0!</v>
      </c>
      <c r="K107" s="253" t="e">
        <f t="shared" si="103"/>
        <v>#DIV/0!</v>
      </c>
      <c r="L107" s="487" t="e">
        <f t="shared" si="103"/>
        <v>#DIV/0!</v>
      </c>
    </row>
    <row r="108" spans="2:12" x14ac:dyDescent="0.2">
      <c r="B108" s="251">
        <f t="shared" ref="B108:D108" si="104">B64+1</f>
        <v>1.0330255050016985</v>
      </c>
      <c r="C108" s="253">
        <f t="shared" si="104"/>
        <v>0.8214285714285714</v>
      </c>
      <c r="D108" s="253">
        <f t="shared" si="104"/>
        <v>1.058252427184466</v>
      </c>
      <c r="E108" s="253" t="e">
        <f t="shared" ref="E108:L108" si="105">E64+1</f>
        <v>#DIV/0!</v>
      </c>
      <c r="F108" s="253" t="e">
        <f t="shared" si="105"/>
        <v>#DIV/0!</v>
      </c>
      <c r="G108" s="253" t="e">
        <f t="shared" si="105"/>
        <v>#DIV/0!</v>
      </c>
      <c r="H108" s="253" t="e">
        <f t="shared" si="105"/>
        <v>#DIV/0!</v>
      </c>
      <c r="I108" s="253" t="e">
        <f t="shared" si="105"/>
        <v>#DIV/0!</v>
      </c>
      <c r="J108" s="253" t="e">
        <f t="shared" si="105"/>
        <v>#DIV/0!</v>
      </c>
      <c r="K108" s="253" t="e">
        <f t="shared" si="105"/>
        <v>#DIV/0!</v>
      </c>
      <c r="L108" s="487" t="e">
        <f t="shared" si="105"/>
        <v>#DIV/0!</v>
      </c>
    </row>
    <row r="109" spans="2:12" x14ac:dyDescent="0.2">
      <c r="B109" s="251">
        <f t="shared" ref="B109:D109" si="106">B65+1</f>
        <v>1.0486455389294069</v>
      </c>
      <c r="C109" s="253">
        <f t="shared" si="106"/>
        <v>1.0724637681159421</v>
      </c>
      <c r="D109" s="253">
        <f t="shared" si="106"/>
        <v>1.1100917431192661</v>
      </c>
      <c r="E109" s="253" t="e">
        <f t="shared" ref="E109:L109" si="107">E65+1</f>
        <v>#DIV/0!</v>
      </c>
      <c r="F109" s="253" t="e">
        <f t="shared" si="107"/>
        <v>#DIV/0!</v>
      </c>
      <c r="G109" s="253" t="e">
        <f t="shared" si="107"/>
        <v>#DIV/0!</v>
      </c>
      <c r="H109" s="253" t="e">
        <f t="shared" si="107"/>
        <v>#DIV/0!</v>
      </c>
      <c r="I109" s="253" t="e">
        <f t="shared" si="107"/>
        <v>#DIV/0!</v>
      </c>
      <c r="J109" s="253" t="e">
        <f t="shared" si="107"/>
        <v>#DIV/0!</v>
      </c>
      <c r="K109" s="253" t="e">
        <f t="shared" si="107"/>
        <v>#DIV/0!</v>
      </c>
      <c r="L109" s="487" t="e">
        <f t="shared" si="107"/>
        <v>#DIV/0!</v>
      </c>
    </row>
    <row r="110" spans="2:12" x14ac:dyDescent="0.2">
      <c r="B110" s="251">
        <f t="shared" ref="B110:D110" si="108">B66+1</f>
        <v>0.98806351397259584</v>
      </c>
      <c r="C110" s="253">
        <f t="shared" si="108"/>
        <v>1.0810810810810811</v>
      </c>
      <c r="D110" s="253">
        <f t="shared" si="108"/>
        <v>0.97520661157024791</v>
      </c>
      <c r="E110" s="253" t="e">
        <f t="shared" ref="E110:L110" si="109">E66+1</f>
        <v>#DIV/0!</v>
      </c>
      <c r="F110" s="253" t="e">
        <f t="shared" si="109"/>
        <v>#DIV/0!</v>
      </c>
      <c r="G110" s="253" t="e">
        <f t="shared" si="109"/>
        <v>#DIV/0!</v>
      </c>
      <c r="H110" s="253" t="e">
        <f t="shared" si="109"/>
        <v>#DIV/0!</v>
      </c>
      <c r="I110" s="253" t="e">
        <f t="shared" si="109"/>
        <v>#DIV/0!</v>
      </c>
      <c r="J110" s="253" t="e">
        <f t="shared" si="109"/>
        <v>#DIV/0!</v>
      </c>
      <c r="K110" s="253" t="e">
        <f t="shared" si="109"/>
        <v>#DIV/0!</v>
      </c>
      <c r="L110" s="487" t="e">
        <f t="shared" si="109"/>
        <v>#DIV/0!</v>
      </c>
    </row>
    <row r="111" spans="2:12" x14ac:dyDescent="0.2">
      <c r="B111" s="251">
        <f t="shared" ref="B111:D111" si="110">B67+1</f>
        <v>1.0463751502494392</v>
      </c>
      <c r="C111" s="253">
        <f t="shared" si="110"/>
        <v>1.125</v>
      </c>
      <c r="D111" s="253">
        <f t="shared" si="110"/>
        <v>0.97881355932203395</v>
      </c>
      <c r="E111" s="253" t="e">
        <f t="shared" ref="E111:L111" si="111">E67+1</f>
        <v>#DIV/0!</v>
      </c>
      <c r="F111" s="253" t="e">
        <f t="shared" si="111"/>
        <v>#DIV/0!</v>
      </c>
      <c r="G111" s="253" t="e">
        <f t="shared" si="111"/>
        <v>#DIV/0!</v>
      </c>
      <c r="H111" s="253" t="e">
        <f t="shared" si="111"/>
        <v>#DIV/0!</v>
      </c>
      <c r="I111" s="253" t="e">
        <f t="shared" si="111"/>
        <v>#DIV/0!</v>
      </c>
      <c r="J111" s="253" t="e">
        <f t="shared" si="111"/>
        <v>#DIV/0!</v>
      </c>
      <c r="K111" s="253" t="e">
        <f t="shared" si="111"/>
        <v>#DIV/0!</v>
      </c>
      <c r="L111" s="487" t="e">
        <f t="shared" si="111"/>
        <v>#DIV/0!</v>
      </c>
    </row>
    <row r="112" spans="2:12" x14ac:dyDescent="0.2">
      <c r="B112" s="251">
        <f t="shared" ref="B112:D112" si="112">B68+1</f>
        <v>1.0132699652444794</v>
      </c>
      <c r="C112" s="253">
        <f t="shared" si="112"/>
        <v>1.1444444444444444</v>
      </c>
      <c r="D112" s="253">
        <f t="shared" si="112"/>
        <v>1.0216450216450217</v>
      </c>
      <c r="E112" s="253" t="e">
        <f t="shared" ref="E112:L112" si="113">E68+1</f>
        <v>#DIV/0!</v>
      </c>
      <c r="F112" s="253" t="e">
        <f t="shared" si="113"/>
        <v>#DIV/0!</v>
      </c>
      <c r="G112" s="253" t="e">
        <f t="shared" si="113"/>
        <v>#DIV/0!</v>
      </c>
      <c r="H112" s="253" t="e">
        <f t="shared" si="113"/>
        <v>#DIV/0!</v>
      </c>
      <c r="I112" s="253" t="e">
        <f t="shared" si="113"/>
        <v>#DIV/0!</v>
      </c>
      <c r="J112" s="253" t="e">
        <f t="shared" si="113"/>
        <v>#DIV/0!</v>
      </c>
      <c r="K112" s="253" t="e">
        <f t="shared" si="113"/>
        <v>#DIV/0!</v>
      </c>
      <c r="L112" s="487" t="e">
        <f t="shared" si="113"/>
        <v>#DIV/0!</v>
      </c>
    </row>
    <row r="113" spans="2:12" x14ac:dyDescent="0.2">
      <c r="B113" s="251">
        <f t="shared" ref="B113:D113" si="114">B69+1</f>
        <v>0.99257047847691982</v>
      </c>
      <c r="C113" s="253">
        <f t="shared" si="114"/>
        <v>1.0388349514563107</v>
      </c>
      <c r="D113" s="253">
        <f t="shared" si="114"/>
        <v>1.0423728813559321</v>
      </c>
      <c r="E113" s="253" t="e">
        <f t="shared" ref="E113:L113" si="115">E69+1</f>
        <v>#DIV/0!</v>
      </c>
      <c r="F113" s="253" t="e">
        <f t="shared" si="115"/>
        <v>#DIV/0!</v>
      </c>
      <c r="G113" s="253" t="e">
        <f t="shared" si="115"/>
        <v>#DIV/0!</v>
      </c>
      <c r="H113" s="253" t="e">
        <f t="shared" si="115"/>
        <v>#DIV/0!</v>
      </c>
      <c r="I113" s="253" t="e">
        <f t="shared" si="115"/>
        <v>#DIV/0!</v>
      </c>
      <c r="J113" s="253" t="e">
        <f t="shared" si="115"/>
        <v>#DIV/0!</v>
      </c>
      <c r="K113" s="253" t="e">
        <f t="shared" si="115"/>
        <v>#DIV/0!</v>
      </c>
      <c r="L113" s="487" t="e">
        <f t="shared" si="115"/>
        <v>#DIV/0!</v>
      </c>
    </row>
    <row r="114" spans="2:12" x14ac:dyDescent="0.2">
      <c r="B114" s="251">
        <f t="shared" ref="B114:D114" si="116">B70+1</f>
        <v>1.0837589676751871</v>
      </c>
      <c r="C114" s="253">
        <f t="shared" si="116"/>
        <v>1.0093457943925233</v>
      </c>
      <c r="D114" s="253">
        <f t="shared" si="116"/>
        <v>0.99186991869918695</v>
      </c>
      <c r="E114" s="253" t="e">
        <f t="shared" ref="E114:L114" si="117">E70+1</f>
        <v>#DIV/0!</v>
      </c>
      <c r="F114" s="253" t="e">
        <f t="shared" si="117"/>
        <v>#DIV/0!</v>
      </c>
      <c r="G114" s="253" t="e">
        <f t="shared" si="117"/>
        <v>#DIV/0!</v>
      </c>
      <c r="H114" s="253" t="e">
        <f t="shared" si="117"/>
        <v>#DIV/0!</v>
      </c>
      <c r="I114" s="253" t="e">
        <f t="shared" si="117"/>
        <v>#DIV/0!</v>
      </c>
      <c r="J114" s="253" t="e">
        <f t="shared" si="117"/>
        <v>#DIV/0!</v>
      </c>
      <c r="K114" s="253" t="e">
        <f t="shared" si="117"/>
        <v>#DIV/0!</v>
      </c>
      <c r="L114" s="487" t="e">
        <f t="shared" si="117"/>
        <v>#DIV/0!</v>
      </c>
    </row>
    <row r="115" spans="2:12" x14ac:dyDescent="0.2">
      <c r="B115" s="251">
        <f t="shared" ref="B115:D115" si="118">B71+1</f>
        <v>0.99500000283021917</v>
      </c>
      <c r="C115" s="253">
        <f t="shared" si="118"/>
        <v>0.98148148148148151</v>
      </c>
      <c r="D115" s="253">
        <f t="shared" si="118"/>
        <v>1.0819672131147542</v>
      </c>
      <c r="E115" s="253" t="e">
        <f t="shared" ref="E115:L115" si="119">E71+1</f>
        <v>#DIV/0!</v>
      </c>
      <c r="F115" s="253" t="e">
        <f t="shared" si="119"/>
        <v>#DIV/0!</v>
      </c>
      <c r="G115" s="253" t="e">
        <f t="shared" si="119"/>
        <v>#DIV/0!</v>
      </c>
      <c r="H115" s="253" t="e">
        <f t="shared" si="119"/>
        <v>#DIV/0!</v>
      </c>
      <c r="I115" s="253" t="e">
        <f t="shared" si="119"/>
        <v>#DIV/0!</v>
      </c>
      <c r="J115" s="253" t="e">
        <f t="shared" si="119"/>
        <v>#DIV/0!</v>
      </c>
      <c r="K115" s="253" t="e">
        <f t="shared" si="119"/>
        <v>#DIV/0!</v>
      </c>
      <c r="L115" s="487" t="e">
        <f t="shared" si="119"/>
        <v>#DIV/0!</v>
      </c>
    </row>
    <row r="116" spans="2:12" x14ac:dyDescent="0.2">
      <c r="B116" s="251">
        <f t="shared" ref="B116:D116" si="120">B72+1</f>
        <v>0.95373291814665173</v>
      </c>
      <c r="C116" s="253">
        <f t="shared" si="120"/>
        <v>0.91981132075471694</v>
      </c>
      <c r="D116" s="253">
        <f t="shared" si="120"/>
        <v>0.91287878787878785</v>
      </c>
      <c r="E116" s="253" t="e">
        <f t="shared" ref="E116:L116" si="121">E72+1</f>
        <v>#DIV/0!</v>
      </c>
      <c r="F116" s="253" t="e">
        <f t="shared" si="121"/>
        <v>#DIV/0!</v>
      </c>
      <c r="G116" s="253" t="e">
        <f t="shared" si="121"/>
        <v>#DIV/0!</v>
      </c>
      <c r="H116" s="253" t="e">
        <f t="shared" si="121"/>
        <v>#DIV/0!</v>
      </c>
      <c r="I116" s="253" t="e">
        <f t="shared" si="121"/>
        <v>#DIV/0!</v>
      </c>
      <c r="J116" s="253" t="e">
        <f t="shared" si="121"/>
        <v>#DIV/0!</v>
      </c>
      <c r="K116" s="253" t="e">
        <f t="shared" si="121"/>
        <v>#DIV/0!</v>
      </c>
      <c r="L116" s="487" t="e">
        <f t="shared" si="121"/>
        <v>#DIV/0!</v>
      </c>
    </row>
    <row r="117" spans="2:12" x14ac:dyDescent="0.2">
      <c r="B117" s="251">
        <f t="shared" ref="B117:D117" si="122">B73+1</f>
        <v>1.0559850283893186</v>
      </c>
      <c r="C117" s="253">
        <f t="shared" si="122"/>
        <v>1.1538461538461537</v>
      </c>
      <c r="D117" s="253">
        <f t="shared" si="122"/>
        <v>1.1535269709543567</v>
      </c>
      <c r="E117" s="253" t="e">
        <f t="shared" ref="E117:L117" si="123">E73+1</f>
        <v>#DIV/0!</v>
      </c>
      <c r="F117" s="253" t="e">
        <f t="shared" si="123"/>
        <v>#DIV/0!</v>
      </c>
      <c r="G117" s="253" t="e">
        <f t="shared" si="123"/>
        <v>#DIV/0!</v>
      </c>
      <c r="H117" s="253" t="e">
        <f t="shared" si="123"/>
        <v>#DIV/0!</v>
      </c>
      <c r="I117" s="253" t="e">
        <f t="shared" si="123"/>
        <v>#DIV/0!</v>
      </c>
      <c r="J117" s="253" t="e">
        <f t="shared" si="123"/>
        <v>#DIV/0!</v>
      </c>
      <c r="K117" s="253" t="e">
        <f t="shared" si="123"/>
        <v>#DIV/0!</v>
      </c>
      <c r="L117" s="487" t="e">
        <f t="shared" si="123"/>
        <v>#DIV/0!</v>
      </c>
    </row>
    <row r="118" spans="2:12" x14ac:dyDescent="0.2">
      <c r="B118" s="251">
        <f t="shared" ref="B118:D118" si="124">B74+1</f>
        <v>1.0368268842859099</v>
      </c>
      <c r="C118" s="253">
        <f t="shared" si="124"/>
        <v>1.1111111111111112</v>
      </c>
      <c r="D118" s="253">
        <f t="shared" si="124"/>
        <v>1.0035971223021583</v>
      </c>
      <c r="E118" s="253" t="e">
        <f t="shared" ref="E118:L118" si="125">E74+1</f>
        <v>#DIV/0!</v>
      </c>
      <c r="F118" s="253" t="e">
        <f t="shared" si="125"/>
        <v>#DIV/0!</v>
      </c>
      <c r="G118" s="253" t="e">
        <f t="shared" si="125"/>
        <v>#DIV/0!</v>
      </c>
      <c r="H118" s="253" t="e">
        <f t="shared" si="125"/>
        <v>#DIV/0!</v>
      </c>
      <c r="I118" s="253" t="e">
        <f t="shared" si="125"/>
        <v>#DIV/0!</v>
      </c>
      <c r="J118" s="253" t="e">
        <f t="shared" si="125"/>
        <v>#DIV/0!</v>
      </c>
      <c r="K118" s="253" t="e">
        <f t="shared" si="125"/>
        <v>#DIV/0!</v>
      </c>
      <c r="L118" s="487" t="e">
        <f t="shared" si="125"/>
        <v>#DIV/0!</v>
      </c>
    </row>
    <row r="119" spans="2:12" x14ac:dyDescent="0.2">
      <c r="B119" s="251">
        <f t="shared" ref="B119:D119" si="126">B75+1</f>
        <v>1.0341959993652408</v>
      </c>
      <c r="C119" s="253">
        <f t="shared" si="126"/>
        <v>0.98</v>
      </c>
      <c r="D119" s="253">
        <f t="shared" si="126"/>
        <v>0.98207885304659504</v>
      </c>
      <c r="E119" s="253" t="e">
        <f t="shared" ref="E119:L119" si="127">E75+1</f>
        <v>#DIV/0!</v>
      </c>
      <c r="F119" s="253" t="e">
        <f t="shared" si="127"/>
        <v>#DIV/0!</v>
      </c>
      <c r="G119" s="253" t="e">
        <f t="shared" si="127"/>
        <v>#DIV/0!</v>
      </c>
      <c r="H119" s="253" t="e">
        <f t="shared" si="127"/>
        <v>#DIV/0!</v>
      </c>
      <c r="I119" s="253" t="e">
        <f t="shared" si="127"/>
        <v>#DIV/0!</v>
      </c>
      <c r="J119" s="253" t="e">
        <f t="shared" si="127"/>
        <v>#DIV/0!</v>
      </c>
      <c r="K119" s="253" t="e">
        <f t="shared" si="127"/>
        <v>#DIV/0!</v>
      </c>
      <c r="L119" s="487" t="e">
        <f t="shared" si="127"/>
        <v>#DIV/0!</v>
      </c>
    </row>
    <row r="120" spans="2:12" x14ac:dyDescent="0.2">
      <c r="B120" s="251">
        <f t="shared" ref="B120:D120" si="128">B76+1</f>
        <v>1.0223878635166028</v>
      </c>
      <c r="C120" s="253">
        <f t="shared" si="128"/>
        <v>1.306122448979592</v>
      </c>
      <c r="D120" s="253">
        <f t="shared" si="128"/>
        <v>1.1532846715328466</v>
      </c>
      <c r="E120" s="253" t="e">
        <f t="shared" ref="E120:L120" si="129">E76+1</f>
        <v>#DIV/0!</v>
      </c>
      <c r="F120" s="253" t="e">
        <f t="shared" si="129"/>
        <v>#DIV/0!</v>
      </c>
      <c r="G120" s="253" t="e">
        <f t="shared" si="129"/>
        <v>#DIV/0!</v>
      </c>
      <c r="H120" s="253" t="e">
        <f t="shared" si="129"/>
        <v>#DIV/0!</v>
      </c>
      <c r="I120" s="253" t="e">
        <f t="shared" si="129"/>
        <v>#DIV/0!</v>
      </c>
      <c r="J120" s="253" t="e">
        <f t="shared" si="129"/>
        <v>#DIV/0!</v>
      </c>
      <c r="K120" s="253" t="e">
        <f t="shared" si="129"/>
        <v>#DIV/0!</v>
      </c>
      <c r="L120" s="487" t="e">
        <f t="shared" si="129"/>
        <v>#DIV/0!</v>
      </c>
    </row>
    <row r="121" spans="2:12" x14ac:dyDescent="0.2">
      <c r="B121" s="251">
        <f t="shared" ref="B121:D121" si="130">B77+1</f>
        <v>1.0318164606966778</v>
      </c>
      <c r="C121" s="253">
        <f t="shared" si="130"/>
        <v>1.08125</v>
      </c>
      <c r="D121" s="253">
        <f t="shared" si="130"/>
        <v>1.0379746835443038</v>
      </c>
      <c r="E121" s="253" t="e">
        <f t="shared" ref="E121:L121" si="131">E77+1</f>
        <v>#DIV/0!</v>
      </c>
      <c r="F121" s="253" t="e">
        <f t="shared" si="131"/>
        <v>#DIV/0!</v>
      </c>
      <c r="G121" s="253" t="e">
        <f t="shared" si="131"/>
        <v>#DIV/0!</v>
      </c>
      <c r="H121" s="253" t="e">
        <f t="shared" si="131"/>
        <v>#DIV/0!</v>
      </c>
      <c r="I121" s="253" t="e">
        <f t="shared" si="131"/>
        <v>#DIV/0!</v>
      </c>
      <c r="J121" s="253" t="e">
        <f t="shared" si="131"/>
        <v>#DIV/0!</v>
      </c>
      <c r="K121" s="253" t="e">
        <f t="shared" si="131"/>
        <v>#DIV/0!</v>
      </c>
      <c r="L121" s="487" t="e">
        <f t="shared" si="131"/>
        <v>#DIV/0!</v>
      </c>
    </row>
    <row r="122" spans="2:12" x14ac:dyDescent="0.2">
      <c r="B122" s="251">
        <f>B78+1</f>
        <v>0.97835128782679504</v>
      </c>
      <c r="C122" s="253">
        <f t="shared" ref="C122:D122" si="132">C78+1</f>
        <v>0.94219653179190754</v>
      </c>
      <c r="D122" s="253">
        <f t="shared" si="132"/>
        <v>0.91463414634146345</v>
      </c>
      <c r="E122" s="253" t="e">
        <f t="shared" ref="E122:L122" si="133">E78+1</f>
        <v>#DIV/0!</v>
      </c>
      <c r="F122" s="253" t="e">
        <f t="shared" si="133"/>
        <v>#DIV/0!</v>
      </c>
      <c r="G122" s="253" t="e">
        <f t="shared" si="133"/>
        <v>#DIV/0!</v>
      </c>
      <c r="H122" s="253" t="e">
        <f t="shared" si="133"/>
        <v>#DIV/0!</v>
      </c>
      <c r="I122" s="253" t="e">
        <f t="shared" si="133"/>
        <v>#DIV/0!</v>
      </c>
      <c r="J122" s="253" t="e">
        <f t="shared" si="133"/>
        <v>#DIV/0!</v>
      </c>
      <c r="K122" s="253" t="e">
        <f t="shared" si="133"/>
        <v>#DIV/0!</v>
      </c>
      <c r="L122" s="487" t="e">
        <f t="shared" si="133"/>
        <v>#DIV/0!</v>
      </c>
    </row>
    <row r="123" spans="2:12" x14ac:dyDescent="0.2">
      <c r="B123" s="251">
        <f t="shared" ref="B123:D123" si="134">B79+1</f>
        <v>1.0236164758686184</v>
      </c>
      <c r="C123" s="253">
        <f t="shared" si="134"/>
        <v>1.0920245398773005</v>
      </c>
      <c r="D123" s="253">
        <f t="shared" si="134"/>
        <v>1.0033333333333334</v>
      </c>
      <c r="E123" s="253" t="e">
        <f t="shared" ref="E123:L123" si="135">E79+1</f>
        <v>#DIV/0!</v>
      </c>
      <c r="F123" s="253" t="e">
        <f t="shared" si="135"/>
        <v>#DIV/0!</v>
      </c>
      <c r="G123" s="253" t="e">
        <f t="shared" si="135"/>
        <v>#DIV/0!</v>
      </c>
      <c r="H123" s="253" t="e">
        <f t="shared" si="135"/>
        <v>#DIV/0!</v>
      </c>
      <c r="I123" s="253" t="e">
        <f t="shared" si="135"/>
        <v>#DIV/0!</v>
      </c>
      <c r="J123" s="253" t="e">
        <f t="shared" si="135"/>
        <v>#DIV/0!</v>
      </c>
      <c r="K123" s="253" t="e">
        <f t="shared" si="135"/>
        <v>#DIV/0!</v>
      </c>
      <c r="L123" s="487" t="e">
        <f t="shared" si="135"/>
        <v>#DIV/0!</v>
      </c>
    </row>
    <row r="124" spans="2:12" x14ac:dyDescent="0.2">
      <c r="B124" s="251">
        <f t="shared" ref="B124:D124" si="136">B80+1</f>
        <v>1.0648294207733031</v>
      </c>
      <c r="C124" s="253">
        <f t="shared" si="136"/>
        <v>1.0449438202247192</v>
      </c>
      <c r="D124" s="253">
        <f t="shared" si="136"/>
        <v>1.0963455149501662</v>
      </c>
      <c r="E124" s="253" t="e">
        <f t="shared" ref="E124:L124" si="137">E80+1</f>
        <v>#DIV/0!</v>
      </c>
      <c r="F124" s="253" t="e">
        <f t="shared" si="137"/>
        <v>#DIV/0!</v>
      </c>
      <c r="G124" s="253" t="e">
        <f t="shared" si="137"/>
        <v>#DIV/0!</v>
      </c>
      <c r="H124" s="253" t="e">
        <f t="shared" si="137"/>
        <v>#DIV/0!</v>
      </c>
      <c r="I124" s="253" t="e">
        <f t="shared" si="137"/>
        <v>#DIV/0!</v>
      </c>
      <c r="J124" s="253" t="e">
        <f t="shared" si="137"/>
        <v>#DIV/0!</v>
      </c>
      <c r="K124" s="253" t="e">
        <f t="shared" si="137"/>
        <v>#DIV/0!</v>
      </c>
      <c r="L124" s="487" t="e">
        <f t="shared" si="137"/>
        <v>#DIV/0!</v>
      </c>
    </row>
    <row r="125" spans="2:12" x14ac:dyDescent="0.2">
      <c r="B125" s="251">
        <f t="shared" ref="B125:D125" si="138">B81+1</f>
        <v>0.99216646748152693</v>
      </c>
      <c r="C125" s="253">
        <f t="shared" si="138"/>
        <v>0.9838709677419355</v>
      </c>
      <c r="D125" s="253">
        <f t="shared" si="138"/>
        <v>1.0636363636363637</v>
      </c>
      <c r="E125" s="253" t="e">
        <f t="shared" ref="E125:L125" si="139">E81+1</f>
        <v>#DIV/0!</v>
      </c>
      <c r="F125" s="253" t="e">
        <f t="shared" si="139"/>
        <v>#DIV/0!</v>
      </c>
      <c r="G125" s="253" t="e">
        <f t="shared" si="139"/>
        <v>#DIV/0!</v>
      </c>
      <c r="H125" s="253" t="e">
        <f t="shared" si="139"/>
        <v>#DIV/0!</v>
      </c>
      <c r="I125" s="253" t="e">
        <f t="shared" si="139"/>
        <v>#DIV/0!</v>
      </c>
      <c r="J125" s="253" t="e">
        <f t="shared" si="139"/>
        <v>#DIV/0!</v>
      </c>
      <c r="K125" s="253" t="e">
        <f t="shared" si="139"/>
        <v>#DIV/0!</v>
      </c>
      <c r="L125" s="487" t="e">
        <f t="shared" si="139"/>
        <v>#DIV/0!</v>
      </c>
    </row>
    <row r="126" spans="2:12" x14ac:dyDescent="0.2">
      <c r="B126" s="251">
        <f t="shared" ref="B126:D126" si="140">B82+1</f>
        <v>1.0298653212066677</v>
      </c>
      <c r="C126" s="253">
        <f t="shared" si="140"/>
        <v>1.0737704918032787</v>
      </c>
      <c r="D126" s="253">
        <f t="shared" si="140"/>
        <v>0.95156695156695159</v>
      </c>
      <c r="E126" s="253" t="e">
        <f t="shared" ref="E126:L126" si="141">E82+1</f>
        <v>#DIV/0!</v>
      </c>
      <c r="F126" s="253" t="e">
        <f t="shared" si="141"/>
        <v>#DIV/0!</v>
      </c>
      <c r="G126" s="253" t="e">
        <f t="shared" si="141"/>
        <v>#DIV/0!</v>
      </c>
      <c r="H126" s="253" t="e">
        <f t="shared" si="141"/>
        <v>#DIV/0!</v>
      </c>
      <c r="I126" s="253" t="e">
        <f t="shared" si="141"/>
        <v>#DIV/0!</v>
      </c>
      <c r="J126" s="253" t="e">
        <f t="shared" si="141"/>
        <v>#DIV/0!</v>
      </c>
      <c r="K126" s="253" t="e">
        <f t="shared" si="141"/>
        <v>#DIV/0!</v>
      </c>
      <c r="L126" s="487" t="e">
        <f t="shared" si="141"/>
        <v>#DIV/0!</v>
      </c>
    </row>
    <row r="127" spans="2:12" x14ac:dyDescent="0.2">
      <c r="B127" s="251">
        <f t="shared" ref="B127:D127" si="142">B83+1</f>
        <v>1.0353635876182543</v>
      </c>
      <c r="C127" s="253">
        <f t="shared" si="142"/>
        <v>1.2569974554707379</v>
      </c>
      <c r="D127" s="253">
        <f t="shared" si="142"/>
        <v>1.0179640718562875</v>
      </c>
      <c r="E127" s="253" t="e">
        <f t="shared" ref="E127:L127" si="143">E83+1</f>
        <v>#DIV/0!</v>
      </c>
      <c r="F127" s="253" t="e">
        <f t="shared" si="143"/>
        <v>#DIV/0!</v>
      </c>
      <c r="G127" s="253" t="e">
        <f t="shared" si="143"/>
        <v>#DIV/0!</v>
      </c>
      <c r="H127" s="253" t="e">
        <f t="shared" si="143"/>
        <v>#DIV/0!</v>
      </c>
      <c r="I127" s="253" t="e">
        <f t="shared" si="143"/>
        <v>#DIV/0!</v>
      </c>
      <c r="J127" s="253" t="e">
        <f t="shared" si="143"/>
        <v>#DIV/0!</v>
      </c>
      <c r="K127" s="253" t="e">
        <f t="shared" si="143"/>
        <v>#DIV/0!</v>
      </c>
      <c r="L127" s="487" t="e">
        <f t="shared" si="143"/>
        <v>#DIV/0!</v>
      </c>
    </row>
    <row r="128" spans="2:12" x14ac:dyDescent="0.2">
      <c r="B128" s="251">
        <f t="shared" ref="B128:D128" si="144">B84+1</f>
        <v>0.96868508505993178</v>
      </c>
      <c r="C128" s="253">
        <f t="shared" si="144"/>
        <v>1.0890688259109311</v>
      </c>
      <c r="D128" s="253">
        <f t="shared" si="144"/>
        <v>0.99117647058823533</v>
      </c>
      <c r="E128" s="253" t="e">
        <f t="shared" ref="E128:L128" si="145">E84+1</f>
        <v>#DIV/0!</v>
      </c>
      <c r="F128" s="253" t="e">
        <f t="shared" si="145"/>
        <v>#DIV/0!</v>
      </c>
      <c r="G128" s="253" t="e">
        <f t="shared" si="145"/>
        <v>#DIV/0!</v>
      </c>
      <c r="H128" s="253" t="e">
        <f t="shared" si="145"/>
        <v>#DIV/0!</v>
      </c>
      <c r="I128" s="253" t="e">
        <f t="shared" si="145"/>
        <v>#DIV/0!</v>
      </c>
      <c r="J128" s="253" t="e">
        <f t="shared" si="145"/>
        <v>#DIV/0!</v>
      </c>
      <c r="K128" s="253" t="e">
        <f t="shared" si="145"/>
        <v>#DIV/0!</v>
      </c>
      <c r="L128" s="487" t="e">
        <f t="shared" si="145"/>
        <v>#DIV/0!</v>
      </c>
    </row>
    <row r="129" spans="1:13" x14ac:dyDescent="0.2">
      <c r="B129" s="251">
        <f t="shared" ref="B129:D129" si="146">B85+1</f>
        <v>0.93781671525664267</v>
      </c>
      <c r="C129" s="253">
        <f t="shared" si="146"/>
        <v>0.85873605947955389</v>
      </c>
      <c r="D129" s="253">
        <f t="shared" si="146"/>
        <v>0.77448071216617209</v>
      </c>
      <c r="E129" s="253" t="e">
        <f t="shared" ref="E129:L129" si="147">E85+1</f>
        <v>#DIV/0!</v>
      </c>
      <c r="F129" s="253" t="e">
        <f t="shared" si="147"/>
        <v>#DIV/0!</v>
      </c>
      <c r="G129" s="253" t="e">
        <f t="shared" si="147"/>
        <v>#DIV/0!</v>
      </c>
      <c r="H129" s="253" t="e">
        <f t="shared" si="147"/>
        <v>#DIV/0!</v>
      </c>
      <c r="I129" s="253" t="e">
        <f t="shared" si="147"/>
        <v>#DIV/0!</v>
      </c>
      <c r="J129" s="253" t="e">
        <f t="shared" si="147"/>
        <v>#DIV/0!</v>
      </c>
      <c r="K129" s="253" t="e">
        <f t="shared" si="147"/>
        <v>#DIV/0!</v>
      </c>
      <c r="L129" s="487" t="e">
        <f t="shared" si="147"/>
        <v>#DIV/0!</v>
      </c>
    </row>
    <row r="130" spans="1:13" x14ac:dyDescent="0.2">
      <c r="B130" s="251">
        <f t="shared" ref="B130:D130" si="148">B86+1</f>
        <v>0.99817494654883621</v>
      </c>
      <c r="C130" s="253">
        <f t="shared" si="148"/>
        <v>0.95238095238095233</v>
      </c>
      <c r="D130" s="253">
        <f t="shared" si="148"/>
        <v>1.0268199233716475</v>
      </c>
      <c r="E130" s="253" t="e">
        <f t="shared" ref="E130:L130" si="149">E86+1</f>
        <v>#DIV/0!</v>
      </c>
      <c r="F130" s="253" t="e">
        <f t="shared" si="149"/>
        <v>#DIV/0!</v>
      </c>
      <c r="G130" s="253" t="e">
        <f t="shared" si="149"/>
        <v>#DIV/0!</v>
      </c>
      <c r="H130" s="253" t="e">
        <f t="shared" si="149"/>
        <v>#DIV/0!</v>
      </c>
      <c r="I130" s="253" t="e">
        <f t="shared" si="149"/>
        <v>#DIV/0!</v>
      </c>
      <c r="J130" s="253" t="e">
        <f t="shared" si="149"/>
        <v>#DIV/0!</v>
      </c>
      <c r="K130" s="253" t="e">
        <f t="shared" si="149"/>
        <v>#DIV/0!</v>
      </c>
      <c r="L130" s="487" t="e">
        <f t="shared" si="149"/>
        <v>#DIV/0!</v>
      </c>
    </row>
    <row r="131" spans="1:13" x14ac:dyDescent="0.2">
      <c r="B131" s="251">
        <f t="shared" ref="B131:D131" si="150">B87+1</f>
        <v>1.024291633957997</v>
      </c>
      <c r="C131" s="253">
        <f t="shared" si="150"/>
        <v>1.0340909090909092</v>
      </c>
      <c r="D131" s="253">
        <f t="shared" si="150"/>
        <v>1.2388059701492538</v>
      </c>
      <c r="E131" s="253" t="e">
        <f t="shared" ref="E131:L131" si="151">E87+1</f>
        <v>#DIV/0!</v>
      </c>
      <c r="F131" s="253" t="e">
        <f t="shared" si="151"/>
        <v>#DIV/0!</v>
      </c>
      <c r="G131" s="253" t="e">
        <f t="shared" si="151"/>
        <v>#DIV/0!</v>
      </c>
      <c r="H131" s="253" t="e">
        <f t="shared" si="151"/>
        <v>#DIV/0!</v>
      </c>
      <c r="I131" s="253" t="e">
        <f t="shared" si="151"/>
        <v>#DIV/0!</v>
      </c>
      <c r="J131" s="253" t="e">
        <f t="shared" si="151"/>
        <v>#DIV/0!</v>
      </c>
      <c r="K131" s="253" t="e">
        <f t="shared" si="151"/>
        <v>#DIV/0!</v>
      </c>
      <c r="L131" s="487" t="e">
        <f t="shared" si="151"/>
        <v>#DIV/0!</v>
      </c>
    </row>
    <row r="132" spans="1:13" x14ac:dyDescent="0.2">
      <c r="B132" s="251">
        <f t="shared" ref="B132:D132" si="152">B88+1</f>
        <v>1.0337916280304023</v>
      </c>
      <c r="C132" s="253">
        <f t="shared" si="152"/>
        <v>1.1076923076923078</v>
      </c>
      <c r="D132" s="253">
        <f t="shared" si="152"/>
        <v>1.0331325301204819</v>
      </c>
      <c r="E132" s="253" t="e">
        <f t="shared" ref="E132:L132" si="153">E88+1</f>
        <v>#DIV/0!</v>
      </c>
      <c r="F132" s="253" t="e">
        <f t="shared" si="153"/>
        <v>#DIV/0!</v>
      </c>
      <c r="G132" s="253" t="e">
        <f t="shared" si="153"/>
        <v>#DIV/0!</v>
      </c>
      <c r="H132" s="253" t="e">
        <f t="shared" si="153"/>
        <v>#DIV/0!</v>
      </c>
      <c r="I132" s="253" t="e">
        <f t="shared" si="153"/>
        <v>#DIV/0!</v>
      </c>
      <c r="J132" s="253" t="e">
        <f t="shared" si="153"/>
        <v>#DIV/0!</v>
      </c>
      <c r="K132" s="253" t="e">
        <f t="shared" si="153"/>
        <v>#DIV/0!</v>
      </c>
      <c r="L132" s="487" t="e">
        <f t="shared" si="153"/>
        <v>#DIV/0!</v>
      </c>
    </row>
    <row r="133" spans="1:13" x14ac:dyDescent="0.2">
      <c r="B133" s="252">
        <f t="shared" ref="B133:D133" si="154">B89+1</f>
        <v>1.0376213995566343</v>
      </c>
      <c r="C133" s="254">
        <f t="shared" si="154"/>
        <v>1.0813492063492063</v>
      </c>
      <c r="D133" s="254">
        <f t="shared" si="154"/>
        <v>1.0495626822157433</v>
      </c>
      <c r="E133" s="254" t="e">
        <f t="shared" ref="E133:L133" si="155">E89+1</f>
        <v>#DIV/0!</v>
      </c>
      <c r="F133" s="254" t="e">
        <f t="shared" si="155"/>
        <v>#DIV/0!</v>
      </c>
      <c r="G133" s="254" t="e">
        <f t="shared" si="155"/>
        <v>#DIV/0!</v>
      </c>
      <c r="H133" s="254" t="e">
        <f t="shared" si="155"/>
        <v>#DIV/0!</v>
      </c>
      <c r="I133" s="254" t="e">
        <f t="shared" si="155"/>
        <v>#DIV/0!</v>
      </c>
      <c r="J133" s="254" t="e">
        <f t="shared" si="155"/>
        <v>#DIV/0!</v>
      </c>
      <c r="K133" s="254" t="e">
        <f t="shared" si="155"/>
        <v>#DIV/0!</v>
      </c>
      <c r="L133" s="488" t="e">
        <f t="shared" si="155"/>
        <v>#DIV/0!</v>
      </c>
    </row>
    <row r="136" spans="1:13" x14ac:dyDescent="0.2">
      <c r="A136" s="246" t="s">
        <v>321</v>
      </c>
    </row>
    <row r="137" spans="1:13" x14ac:dyDescent="0.2">
      <c r="A137" s="246"/>
    </row>
    <row r="138" spans="1:13" x14ac:dyDescent="0.2">
      <c r="A138" s="632"/>
      <c r="B138" s="633"/>
      <c r="C138" s="262" t="s">
        <v>425</v>
      </c>
      <c r="D138" s="262" t="s">
        <v>350</v>
      </c>
      <c r="E138" s="262" t="s">
        <v>351</v>
      </c>
      <c r="F138" s="262" t="s">
        <v>352</v>
      </c>
      <c r="G138" s="262" t="s">
        <v>426</v>
      </c>
      <c r="H138" s="262" t="s">
        <v>427</v>
      </c>
      <c r="I138" s="262" t="s">
        <v>428</v>
      </c>
      <c r="J138" s="262" t="s">
        <v>429</v>
      </c>
      <c r="K138" s="262" t="s">
        <v>430</v>
      </c>
      <c r="L138" s="262" t="s">
        <v>431</v>
      </c>
      <c r="M138" s="262" t="s">
        <v>432</v>
      </c>
    </row>
    <row r="139" spans="1:13" x14ac:dyDescent="0.2">
      <c r="A139" s="631" t="s">
        <v>435</v>
      </c>
      <c r="B139" s="631"/>
      <c r="C139" s="263">
        <f>AVERAGE(B51:B89)</f>
        <v>1.7551114946110193E-2</v>
      </c>
      <c r="D139" s="263">
        <f t="shared" ref="D139:E139" si="156">AVERAGE(C51:C89)</f>
        <v>4.6438148778762608E-2</v>
      </c>
      <c r="E139" s="263">
        <f t="shared" si="156"/>
        <v>3.5880466020769379E-2</v>
      </c>
      <c r="F139" s="263" t="e">
        <f>AVERAGE(E51:E89)</f>
        <v>#DIV/0!</v>
      </c>
      <c r="G139" s="263" t="e">
        <f t="shared" ref="G139:M139" si="157">AVERAGE(F51:F89)</f>
        <v>#DIV/0!</v>
      </c>
      <c r="H139" s="263" t="e">
        <f t="shared" si="157"/>
        <v>#DIV/0!</v>
      </c>
      <c r="I139" s="263" t="e">
        <f t="shared" si="157"/>
        <v>#DIV/0!</v>
      </c>
      <c r="J139" s="263" t="e">
        <f t="shared" si="157"/>
        <v>#DIV/0!</v>
      </c>
      <c r="K139" s="263" t="e">
        <f t="shared" si="157"/>
        <v>#DIV/0!</v>
      </c>
      <c r="L139" s="263" t="e">
        <f t="shared" si="157"/>
        <v>#DIV/0!</v>
      </c>
      <c r="M139" s="263" t="e">
        <f t="shared" si="157"/>
        <v>#DIV/0!</v>
      </c>
    </row>
    <row r="140" spans="1:13" x14ac:dyDescent="0.2">
      <c r="A140" s="631" t="s">
        <v>436</v>
      </c>
      <c r="B140" s="631"/>
      <c r="C140" s="263">
        <f>GEOMEAN(B95:B133)</f>
        <v>1.0168864864416787</v>
      </c>
      <c r="D140" s="263">
        <f t="shared" ref="D140:F140" si="158">GEOMEAN(C95:C133)</f>
        <v>1.0423772930661823</v>
      </c>
      <c r="E140" s="263">
        <f t="shared" si="158"/>
        <v>1.0321078811524149</v>
      </c>
      <c r="F140" s="263" t="e">
        <f t="shared" si="158"/>
        <v>#DIV/0!</v>
      </c>
      <c r="G140" s="263" t="e">
        <f t="shared" ref="G140:M140" si="159">GEOMEAN(F95:F133)</f>
        <v>#DIV/0!</v>
      </c>
      <c r="H140" s="263" t="e">
        <f t="shared" si="159"/>
        <v>#DIV/0!</v>
      </c>
      <c r="I140" s="263" t="e">
        <f t="shared" si="159"/>
        <v>#DIV/0!</v>
      </c>
      <c r="J140" s="263" t="e">
        <f t="shared" si="159"/>
        <v>#DIV/0!</v>
      </c>
      <c r="K140" s="263" t="e">
        <f t="shared" si="159"/>
        <v>#DIV/0!</v>
      </c>
      <c r="L140" s="263" t="e">
        <f t="shared" si="159"/>
        <v>#DIV/0!</v>
      </c>
      <c r="M140" s="263" t="e">
        <f t="shared" si="159"/>
        <v>#DIV/0!</v>
      </c>
    </row>
    <row r="143" spans="1:13" x14ac:dyDescent="0.2">
      <c r="A143" s="246" t="s">
        <v>327</v>
      </c>
    </row>
    <row r="144" spans="1:13" x14ac:dyDescent="0.2">
      <c r="B144" s="260"/>
      <c r="C144" s="260" t="s">
        <v>425</v>
      </c>
      <c r="D144" s="260" t="s">
        <v>350</v>
      </c>
      <c r="E144" s="260" t="s">
        <v>351</v>
      </c>
      <c r="F144" s="260" t="s">
        <v>352</v>
      </c>
      <c r="G144" s="260" t="s">
        <v>426</v>
      </c>
      <c r="H144" s="260" t="s">
        <v>427</v>
      </c>
      <c r="I144" s="260" t="s">
        <v>428</v>
      </c>
      <c r="J144" s="260" t="s">
        <v>429</v>
      </c>
      <c r="K144" s="260" t="s">
        <v>430</v>
      </c>
      <c r="L144" s="260" t="s">
        <v>431</v>
      </c>
      <c r="M144" s="260" t="s">
        <v>432</v>
      </c>
    </row>
    <row r="145" spans="1:13" x14ac:dyDescent="0.2">
      <c r="B145" s="260" t="s">
        <v>437</v>
      </c>
      <c r="C145" s="265">
        <f>_xlfn.VAR.S(B51:B89)</f>
        <v>1.383972677674993E-3</v>
      </c>
      <c r="D145" s="263">
        <f t="shared" ref="D145:M145" si="160">_xlfn.VAR.S(C51:C89)</f>
        <v>8.7230978071016936E-3</v>
      </c>
      <c r="E145" s="263">
        <f t="shared" si="160"/>
        <v>7.8382895808874857E-3</v>
      </c>
      <c r="F145" s="263" t="e">
        <f t="shared" si="160"/>
        <v>#DIV/0!</v>
      </c>
      <c r="G145" s="263" t="e">
        <f t="shared" si="160"/>
        <v>#DIV/0!</v>
      </c>
      <c r="H145" s="263" t="e">
        <f t="shared" si="160"/>
        <v>#DIV/0!</v>
      </c>
      <c r="I145" s="263" t="e">
        <f t="shared" si="160"/>
        <v>#DIV/0!</v>
      </c>
      <c r="J145" s="263" t="e">
        <f t="shared" si="160"/>
        <v>#DIV/0!</v>
      </c>
      <c r="K145" s="263" t="e">
        <f t="shared" si="160"/>
        <v>#DIV/0!</v>
      </c>
      <c r="L145" s="263" t="e">
        <f t="shared" si="160"/>
        <v>#DIV/0!</v>
      </c>
      <c r="M145" s="263" t="e">
        <f t="shared" si="160"/>
        <v>#DIV/0!</v>
      </c>
    </row>
    <row r="146" spans="1:13" x14ac:dyDescent="0.2">
      <c r="B146" s="260" t="s">
        <v>438</v>
      </c>
      <c r="C146" s="263">
        <f>SQRT(C145)</f>
        <v>3.720178325934112E-2</v>
      </c>
      <c r="D146" s="263">
        <f t="shared" ref="D146:M146" si="161">SQRT(D145)</f>
        <v>9.3397525701175266E-2</v>
      </c>
      <c r="E146" s="263">
        <f t="shared" si="161"/>
        <v>8.8534115350453954E-2</v>
      </c>
      <c r="F146" s="263" t="e">
        <f t="shared" si="161"/>
        <v>#DIV/0!</v>
      </c>
      <c r="G146" s="263" t="e">
        <f t="shared" si="161"/>
        <v>#DIV/0!</v>
      </c>
      <c r="H146" s="263" t="e">
        <f t="shared" si="161"/>
        <v>#DIV/0!</v>
      </c>
      <c r="I146" s="263" t="e">
        <f t="shared" si="161"/>
        <v>#DIV/0!</v>
      </c>
      <c r="J146" s="263" t="e">
        <f t="shared" si="161"/>
        <v>#DIV/0!</v>
      </c>
      <c r="K146" s="263" t="e">
        <f t="shared" si="161"/>
        <v>#DIV/0!</v>
      </c>
      <c r="L146" s="263" t="e">
        <f t="shared" si="161"/>
        <v>#DIV/0!</v>
      </c>
      <c r="M146" s="263" t="e">
        <f t="shared" si="161"/>
        <v>#DIV/0!</v>
      </c>
    </row>
    <row r="149" spans="1:13" x14ac:dyDescent="0.2">
      <c r="A149" s="246" t="s">
        <v>366</v>
      </c>
    </row>
    <row r="150" spans="1:13" x14ac:dyDescent="0.2">
      <c r="B150" s="260"/>
      <c r="C150" s="260" t="s">
        <v>425</v>
      </c>
      <c r="D150" s="260" t="s">
        <v>350</v>
      </c>
      <c r="E150" s="260" t="s">
        <v>351</v>
      </c>
      <c r="F150" s="260" t="s">
        <v>352</v>
      </c>
      <c r="G150" s="260" t="s">
        <v>426</v>
      </c>
      <c r="H150" s="260" t="s">
        <v>427</v>
      </c>
      <c r="I150" s="260" t="s">
        <v>428</v>
      </c>
      <c r="J150" s="260" t="s">
        <v>429</v>
      </c>
      <c r="K150" s="260" t="s">
        <v>430</v>
      </c>
      <c r="L150" s="260" t="s">
        <v>431</v>
      </c>
      <c r="M150" s="260" t="s">
        <v>432</v>
      </c>
    </row>
    <row r="151" spans="1:13" x14ac:dyDescent="0.2">
      <c r="B151" s="260" t="s">
        <v>425</v>
      </c>
      <c r="C151" s="265">
        <f>C145</f>
        <v>1.383972677674993E-3</v>
      </c>
      <c r="D151" s="265">
        <f>_xlfn.COVARIANCE.S($B$51:$B$89,C51:C89)</f>
        <v>1.1231588467187045E-3</v>
      </c>
      <c r="E151" s="265">
        <f>_xlfn.COVARIANCE.S($B$51:$B$89,D51:D89)</f>
        <v>1.8168724109802741E-3</v>
      </c>
      <c r="F151" s="263" t="e">
        <f t="shared" ref="F151:M151" si="162">_xlfn.COVARIANCE.S($B$51:$B$89,E51:E89)</f>
        <v>#DIV/0!</v>
      </c>
      <c r="G151" s="263" t="e">
        <f t="shared" si="162"/>
        <v>#DIV/0!</v>
      </c>
      <c r="H151" s="263" t="e">
        <f t="shared" si="162"/>
        <v>#DIV/0!</v>
      </c>
      <c r="I151" s="263" t="e">
        <f t="shared" si="162"/>
        <v>#DIV/0!</v>
      </c>
      <c r="J151" s="263" t="e">
        <f t="shared" si="162"/>
        <v>#DIV/0!</v>
      </c>
      <c r="K151" s="263" t="e">
        <f t="shared" si="162"/>
        <v>#DIV/0!</v>
      </c>
      <c r="L151" s="263" t="e">
        <f t="shared" si="162"/>
        <v>#DIV/0!</v>
      </c>
      <c r="M151" s="263" t="e">
        <f t="shared" si="162"/>
        <v>#DIV/0!</v>
      </c>
    </row>
    <row r="152" spans="1:13" x14ac:dyDescent="0.2">
      <c r="B152" s="260" t="s">
        <v>350</v>
      </c>
      <c r="C152" s="265">
        <f>_xlfn.COVARIANCE.S($C$51:$C$89,B51:B89)</f>
        <v>1.1231588467187045E-3</v>
      </c>
      <c r="D152" s="265">
        <f t="shared" ref="D152:M152" si="163">_xlfn.COVARIANCE.S($C$51:$C$89,C95:C133)</f>
        <v>8.7230978071016953E-3</v>
      </c>
      <c r="E152" s="265">
        <f t="shared" si="163"/>
        <v>2.9733712863791841E-3</v>
      </c>
      <c r="F152" s="263" t="e">
        <f t="shared" si="163"/>
        <v>#DIV/0!</v>
      </c>
      <c r="G152" s="263" t="e">
        <f t="shared" si="163"/>
        <v>#DIV/0!</v>
      </c>
      <c r="H152" s="263" t="e">
        <f t="shared" si="163"/>
        <v>#DIV/0!</v>
      </c>
      <c r="I152" s="263" t="e">
        <f t="shared" si="163"/>
        <v>#DIV/0!</v>
      </c>
      <c r="J152" s="263" t="e">
        <f t="shared" si="163"/>
        <v>#DIV/0!</v>
      </c>
      <c r="K152" s="263" t="e">
        <f t="shared" si="163"/>
        <v>#DIV/0!</v>
      </c>
      <c r="L152" s="263" t="e">
        <f t="shared" si="163"/>
        <v>#DIV/0!</v>
      </c>
      <c r="M152" s="263" t="e">
        <f t="shared" si="163"/>
        <v>#DIV/0!</v>
      </c>
    </row>
    <row r="153" spans="1:13" x14ac:dyDescent="0.2">
      <c r="B153" s="260" t="s">
        <v>351</v>
      </c>
      <c r="C153" s="265">
        <f>_xlfn.COVARIANCE.S($D$51:$D$89,B51:B89)</f>
        <v>1.8168724109802741E-3</v>
      </c>
      <c r="D153" s="265">
        <f t="shared" ref="D153:M153" si="164">_xlfn.COVARIANCE.S($D$51:$D$89,C51:C89)</f>
        <v>2.9733712863791841E-3</v>
      </c>
      <c r="E153" s="265">
        <f t="shared" si="164"/>
        <v>7.8382895808874874E-3</v>
      </c>
      <c r="F153" s="263" t="e">
        <f>_xlfn.COVARIANCE.S($D$51:$D$89,E51:E89)</f>
        <v>#DIV/0!</v>
      </c>
      <c r="G153" s="263" t="e">
        <f t="shared" si="164"/>
        <v>#DIV/0!</v>
      </c>
      <c r="H153" s="263" t="e">
        <f t="shared" si="164"/>
        <v>#DIV/0!</v>
      </c>
      <c r="I153" s="263" t="e">
        <f t="shared" si="164"/>
        <v>#DIV/0!</v>
      </c>
      <c r="J153" s="263" t="e">
        <f t="shared" si="164"/>
        <v>#DIV/0!</v>
      </c>
      <c r="K153" s="263" t="e">
        <f t="shared" si="164"/>
        <v>#DIV/0!</v>
      </c>
      <c r="L153" s="263" t="e">
        <f t="shared" si="164"/>
        <v>#DIV/0!</v>
      </c>
      <c r="M153" s="263" t="e">
        <f t="shared" si="164"/>
        <v>#DIV/0!</v>
      </c>
    </row>
    <row r="154" spans="1:13" x14ac:dyDescent="0.2">
      <c r="B154" s="260" t="s">
        <v>352</v>
      </c>
      <c r="C154" s="263" t="e">
        <f>_xlfn.COVARIANCE.S($E$51:$E$89,B51:B89)</f>
        <v>#DIV/0!</v>
      </c>
      <c r="D154" s="263" t="e">
        <f t="shared" ref="D154:M154" si="165">_xlfn.COVARIANCE.S($E$51:$E$89,C51:C89)</f>
        <v>#DIV/0!</v>
      </c>
      <c r="E154" s="263" t="e">
        <f t="shared" si="165"/>
        <v>#DIV/0!</v>
      </c>
      <c r="F154" s="263" t="e">
        <f t="shared" si="165"/>
        <v>#DIV/0!</v>
      </c>
      <c r="G154" s="263" t="e">
        <f t="shared" si="165"/>
        <v>#DIV/0!</v>
      </c>
      <c r="H154" s="263" t="e">
        <f t="shared" si="165"/>
        <v>#DIV/0!</v>
      </c>
      <c r="I154" s="263" t="e">
        <f t="shared" si="165"/>
        <v>#DIV/0!</v>
      </c>
      <c r="J154" s="263" t="e">
        <f t="shared" si="165"/>
        <v>#DIV/0!</v>
      </c>
      <c r="K154" s="263" t="e">
        <f t="shared" si="165"/>
        <v>#DIV/0!</v>
      </c>
      <c r="L154" s="263" t="e">
        <f t="shared" si="165"/>
        <v>#DIV/0!</v>
      </c>
      <c r="M154" s="263" t="e">
        <f t="shared" si="165"/>
        <v>#DIV/0!</v>
      </c>
    </row>
    <row r="155" spans="1:13" x14ac:dyDescent="0.2">
      <c r="B155" s="260" t="s">
        <v>426</v>
      </c>
      <c r="C155" s="263" t="e">
        <f>_xlfn.COVARIANCE.S($F$51:$F$89,B51:B89)</f>
        <v>#DIV/0!</v>
      </c>
      <c r="D155" s="263" t="e">
        <f t="shared" ref="D155:M155" si="166">_xlfn.COVARIANCE.S($F$51:$F$89,C51:C89)</f>
        <v>#DIV/0!</v>
      </c>
      <c r="E155" s="263" t="e">
        <f t="shared" si="166"/>
        <v>#DIV/0!</v>
      </c>
      <c r="F155" s="263" t="e">
        <f t="shared" si="166"/>
        <v>#DIV/0!</v>
      </c>
      <c r="G155" s="263" t="e">
        <f t="shared" si="166"/>
        <v>#DIV/0!</v>
      </c>
      <c r="H155" s="263" t="e">
        <f t="shared" si="166"/>
        <v>#DIV/0!</v>
      </c>
      <c r="I155" s="263" t="e">
        <f t="shared" si="166"/>
        <v>#DIV/0!</v>
      </c>
      <c r="J155" s="263" t="e">
        <f t="shared" si="166"/>
        <v>#DIV/0!</v>
      </c>
      <c r="K155" s="263" t="e">
        <f t="shared" si="166"/>
        <v>#DIV/0!</v>
      </c>
      <c r="L155" s="263" t="e">
        <f t="shared" si="166"/>
        <v>#DIV/0!</v>
      </c>
      <c r="M155" s="263" t="e">
        <f t="shared" si="166"/>
        <v>#DIV/0!</v>
      </c>
    </row>
    <row r="156" spans="1:13" x14ac:dyDescent="0.2">
      <c r="B156" s="260" t="s">
        <v>427</v>
      </c>
      <c r="C156" s="263" t="e">
        <f>_xlfn.COVARIANCE.S($G$51:$G$89,B51:B89)</f>
        <v>#DIV/0!</v>
      </c>
      <c r="D156" s="263" t="e">
        <f t="shared" ref="D156:M156" si="167">_xlfn.COVARIANCE.S($G$51:$G$89,C51:C89)</f>
        <v>#DIV/0!</v>
      </c>
      <c r="E156" s="263" t="e">
        <f t="shared" si="167"/>
        <v>#DIV/0!</v>
      </c>
      <c r="F156" s="263" t="e">
        <f t="shared" si="167"/>
        <v>#DIV/0!</v>
      </c>
      <c r="G156" s="263" t="e">
        <f t="shared" si="167"/>
        <v>#DIV/0!</v>
      </c>
      <c r="H156" s="263" t="e">
        <f t="shared" si="167"/>
        <v>#DIV/0!</v>
      </c>
      <c r="I156" s="263" t="e">
        <f t="shared" si="167"/>
        <v>#DIV/0!</v>
      </c>
      <c r="J156" s="263" t="e">
        <f t="shared" si="167"/>
        <v>#DIV/0!</v>
      </c>
      <c r="K156" s="263" t="e">
        <f t="shared" si="167"/>
        <v>#DIV/0!</v>
      </c>
      <c r="L156" s="263" t="e">
        <f t="shared" si="167"/>
        <v>#DIV/0!</v>
      </c>
      <c r="M156" s="263" t="e">
        <f t="shared" si="167"/>
        <v>#DIV/0!</v>
      </c>
    </row>
    <row r="157" spans="1:13" x14ac:dyDescent="0.2">
      <c r="B157" s="260" t="s">
        <v>428</v>
      </c>
      <c r="C157" s="263" t="e">
        <f>_xlfn.COVARIANCE.S($H$51:$H$89,B51:B89)</f>
        <v>#DIV/0!</v>
      </c>
      <c r="D157" s="263" t="e">
        <f t="shared" ref="D157:M157" si="168">_xlfn.COVARIANCE.S($H$51:$H$89,C51:C89)</f>
        <v>#DIV/0!</v>
      </c>
      <c r="E157" s="263" t="e">
        <f t="shared" si="168"/>
        <v>#DIV/0!</v>
      </c>
      <c r="F157" s="263" t="e">
        <f t="shared" si="168"/>
        <v>#DIV/0!</v>
      </c>
      <c r="G157" s="263" t="e">
        <f t="shared" si="168"/>
        <v>#DIV/0!</v>
      </c>
      <c r="H157" s="263" t="e">
        <f t="shared" si="168"/>
        <v>#DIV/0!</v>
      </c>
      <c r="I157" s="263" t="e">
        <f t="shared" si="168"/>
        <v>#DIV/0!</v>
      </c>
      <c r="J157" s="263" t="e">
        <f t="shared" si="168"/>
        <v>#DIV/0!</v>
      </c>
      <c r="K157" s="263" t="e">
        <f t="shared" si="168"/>
        <v>#DIV/0!</v>
      </c>
      <c r="L157" s="263" t="e">
        <f t="shared" si="168"/>
        <v>#DIV/0!</v>
      </c>
      <c r="M157" s="263" t="e">
        <f t="shared" si="168"/>
        <v>#DIV/0!</v>
      </c>
    </row>
    <row r="158" spans="1:13" x14ac:dyDescent="0.2">
      <c r="B158" s="260" t="s">
        <v>429</v>
      </c>
      <c r="C158" s="263" t="e">
        <f>_xlfn.COVARIANCE.S($I$51:$I$89,B51:B89)</f>
        <v>#DIV/0!</v>
      </c>
      <c r="D158" s="263" t="e">
        <f t="shared" ref="D158:M158" si="169">_xlfn.COVARIANCE.S($I$51:$I$89,C51:C89)</f>
        <v>#DIV/0!</v>
      </c>
      <c r="E158" s="263" t="e">
        <f t="shared" si="169"/>
        <v>#DIV/0!</v>
      </c>
      <c r="F158" s="263" t="e">
        <f t="shared" si="169"/>
        <v>#DIV/0!</v>
      </c>
      <c r="G158" s="263" t="e">
        <f t="shared" si="169"/>
        <v>#DIV/0!</v>
      </c>
      <c r="H158" s="263" t="e">
        <f t="shared" si="169"/>
        <v>#DIV/0!</v>
      </c>
      <c r="I158" s="263" t="e">
        <f t="shared" si="169"/>
        <v>#DIV/0!</v>
      </c>
      <c r="J158" s="263" t="e">
        <f t="shared" si="169"/>
        <v>#DIV/0!</v>
      </c>
      <c r="K158" s="263" t="e">
        <f t="shared" si="169"/>
        <v>#DIV/0!</v>
      </c>
      <c r="L158" s="263" t="e">
        <f t="shared" si="169"/>
        <v>#DIV/0!</v>
      </c>
      <c r="M158" s="263" t="e">
        <f t="shared" si="169"/>
        <v>#DIV/0!</v>
      </c>
    </row>
    <row r="159" spans="1:13" x14ac:dyDescent="0.2">
      <c r="B159" s="260" t="s">
        <v>430</v>
      </c>
      <c r="C159" s="263" t="e">
        <f>_xlfn.COVARIANCE.S($J$51:$J$89,B51:B89)</f>
        <v>#DIV/0!</v>
      </c>
      <c r="D159" s="263" t="e">
        <f t="shared" ref="D159:M159" si="170">_xlfn.COVARIANCE.S($J$51:$J$89,C51:C89)</f>
        <v>#DIV/0!</v>
      </c>
      <c r="E159" s="263" t="e">
        <f t="shared" si="170"/>
        <v>#DIV/0!</v>
      </c>
      <c r="F159" s="263" t="e">
        <f t="shared" si="170"/>
        <v>#DIV/0!</v>
      </c>
      <c r="G159" s="263" t="e">
        <f t="shared" si="170"/>
        <v>#DIV/0!</v>
      </c>
      <c r="H159" s="263" t="e">
        <f t="shared" si="170"/>
        <v>#DIV/0!</v>
      </c>
      <c r="I159" s="263" t="e">
        <f t="shared" si="170"/>
        <v>#DIV/0!</v>
      </c>
      <c r="J159" s="263" t="e">
        <f t="shared" si="170"/>
        <v>#DIV/0!</v>
      </c>
      <c r="K159" s="263" t="e">
        <f t="shared" si="170"/>
        <v>#DIV/0!</v>
      </c>
      <c r="L159" s="263" t="e">
        <f t="shared" si="170"/>
        <v>#DIV/0!</v>
      </c>
      <c r="M159" s="263" t="e">
        <f t="shared" si="170"/>
        <v>#DIV/0!</v>
      </c>
    </row>
    <row r="160" spans="1:13" x14ac:dyDescent="0.2">
      <c r="B160" s="260" t="s">
        <v>431</v>
      </c>
      <c r="C160" s="263" t="e">
        <f>_xlfn.COVARIANCE.S($K$51:$K$89,B51:B89)</f>
        <v>#DIV/0!</v>
      </c>
      <c r="D160" s="263" t="e">
        <f t="shared" ref="D160:M160" si="171">_xlfn.COVARIANCE.S($K$51:$K$89,C51:C89)</f>
        <v>#DIV/0!</v>
      </c>
      <c r="E160" s="263" t="e">
        <f t="shared" si="171"/>
        <v>#DIV/0!</v>
      </c>
      <c r="F160" s="263" t="e">
        <f t="shared" si="171"/>
        <v>#DIV/0!</v>
      </c>
      <c r="G160" s="263" t="e">
        <f t="shared" si="171"/>
        <v>#DIV/0!</v>
      </c>
      <c r="H160" s="263" t="e">
        <f t="shared" si="171"/>
        <v>#DIV/0!</v>
      </c>
      <c r="I160" s="263" t="e">
        <f t="shared" si="171"/>
        <v>#DIV/0!</v>
      </c>
      <c r="J160" s="263" t="e">
        <f t="shared" si="171"/>
        <v>#DIV/0!</v>
      </c>
      <c r="K160" s="263" t="e">
        <f t="shared" si="171"/>
        <v>#DIV/0!</v>
      </c>
      <c r="L160" s="263" t="e">
        <f t="shared" si="171"/>
        <v>#DIV/0!</v>
      </c>
      <c r="M160" s="263" t="e">
        <f t="shared" si="171"/>
        <v>#DIV/0!</v>
      </c>
    </row>
    <row r="161" spans="1:13" x14ac:dyDescent="0.2">
      <c r="B161" s="260" t="s">
        <v>432</v>
      </c>
      <c r="C161" s="263" t="e">
        <f>_xlfn.COVARIANCE.S($L$51:$L$89,B51:B89)</f>
        <v>#DIV/0!</v>
      </c>
      <c r="D161" s="263" t="e">
        <f t="shared" ref="D161:M161" si="172">_xlfn.COVARIANCE.S($L$51:$L$89,C51:C89)</f>
        <v>#DIV/0!</v>
      </c>
      <c r="E161" s="263" t="e">
        <f t="shared" si="172"/>
        <v>#DIV/0!</v>
      </c>
      <c r="F161" s="263" t="e">
        <f t="shared" si="172"/>
        <v>#DIV/0!</v>
      </c>
      <c r="G161" s="263" t="e">
        <f t="shared" si="172"/>
        <v>#DIV/0!</v>
      </c>
      <c r="H161" s="263" t="e">
        <f t="shared" si="172"/>
        <v>#DIV/0!</v>
      </c>
      <c r="I161" s="263" t="e">
        <f t="shared" si="172"/>
        <v>#DIV/0!</v>
      </c>
      <c r="J161" s="263" t="e">
        <f t="shared" si="172"/>
        <v>#DIV/0!</v>
      </c>
      <c r="K161" s="263" t="e">
        <f t="shared" si="172"/>
        <v>#DIV/0!</v>
      </c>
      <c r="L161" s="263" t="e">
        <f t="shared" si="172"/>
        <v>#DIV/0!</v>
      </c>
      <c r="M161" s="263" t="e">
        <f t="shared" si="172"/>
        <v>#DIV/0!</v>
      </c>
    </row>
    <row r="163" spans="1:13" x14ac:dyDescent="0.2">
      <c r="A163" s="246" t="s">
        <v>439</v>
      </c>
    </row>
    <row r="165" spans="1:13" x14ac:dyDescent="0.2">
      <c r="B165" s="260"/>
      <c r="C165" s="260">
        <v>0</v>
      </c>
      <c r="D165" s="260">
        <v>0.5</v>
      </c>
      <c r="E165" s="260">
        <v>0.5</v>
      </c>
      <c r="F165" s="260">
        <v>0</v>
      </c>
      <c r="G165" s="260">
        <v>0</v>
      </c>
      <c r="H165" s="260">
        <v>0</v>
      </c>
      <c r="I165" s="260">
        <v>0</v>
      </c>
      <c r="J165" s="260">
        <v>0</v>
      </c>
      <c r="K165" s="260">
        <v>0</v>
      </c>
      <c r="L165" s="260">
        <v>0</v>
      </c>
      <c r="M165" s="260">
        <v>0</v>
      </c>
    </row>
    <row r="166" spans="1:13" x14ac:dyDescent="0.2">
      <c r="B166" s="260">
        <f>C165</f>
        <v>0</v>
      </c>
      <c r="C166" s="263">
        <f>C$165*$B166*C151</f>
        <v>0</v>
      </c>
      <c r="D166" s="263">
        <f>D$165*$B166*D151</f>
        <v>0</v>
      </c>
      <c r="E166" s="263">
        <f t="shared" ref="E166:M166" si="173">E$165*$B166*E151</f>
        <v>0</v>
      </c>
      <c r="F166" s="263" t="e">
        <f t="shared" si="173"/>
        <v>#DIV/0!</v>
      </c>
      <c r="G166" s="263" t="e">
        <f t="shared" si="173"/>
        <v>#DIV/0!</v>
      </c>
      <c r="H166" s="263" t="e">
        <f t="shared" si="173"/>
        <v>#DIV/0!</v>
      </c>
      <c r="I166" s="263" t="e">
        <f t="shared" si="173"/>
        <v>#DIV/0!</v>
      </c>
      <c r="J166" s="263" t="e">
        <f t="shared" si="173"/>
        <v>#DIV/0!</v>
      </c>
      <c r="K166" s="263" t="e">
        <f t="shared" si="173"/>
        <v>#DIV/0!</v>
      </c>
      <c r="L166" s="263" t="e">
        <f t="shared" si="173"/>
        <v>#DIV/0!</v>
      </c>
      <c r="M166" s="263" t="e">
        <f t="shared" si="173"/>
        <v>#DIV/0!</v>
      </c>
    </row>
    <row r="167" spans="1:13" x14ac:dyDescent="0.2">
      <c r="B167" s="260">
        <f>D165</f>
        <v>0.5</v>
      </c>
      <c r="C167" s="263">
        <f>C$165*$B167*C152</f>
        <v>0</v>
      </c>
      <c r="D167" s="263">
        <f>D$165*$B167*D152</f>
        <v>2.1807744517754238E-3</v>
      </c>
      <c r="E167" s="263">
        <f>E$165*$B167*E152</f>
        <v>7.4334282159479602E-4</v>
      </c>
      <c r="F167" s="263" t="e">
        <f t="shared" ref="C167:M176" si="174">F$165*$B167*F152</f>
        <v>#DIV/0!</v>
      </c>
      <c r="G167" s="263" t="e">
        <f t="shared" si="174"/>
        <v>#DIV/0!</v>
      </c>
      <c r="H167" s="263" t="e">
        <f t="shared" si="174"/>
        <v>#DIV/0!</v>
      </c>
      <c r="I167" s="263" t="e">
        <f t="shared" si="174"/>
        <v>#DIV/0!</v>
      </c>
      <c r="J167" s="263" t="e">
        <f t="shared" si="174"/>
        <v>#DIV/0!</v>
      </c>
      <c r="K167" s="263" t="e">
        <f t="shared" si="174"/>
        <v>#DIV/0!</v>
      </c>
      <c r="L167" s="263" t="e">
        <f t="shared" si="174"/>
        <v>#DIV/0!</v>
      </c>
      <c r="M167" s="263" t="e">
        <f t="shared" si="174"/>
        <v>#DIV/0!</v>
      </c>
    </row>
    <row r="168" spans="1:13" x14ac:dyDescent="0.2">
      <c r="B168" s="260">
        <f>E165</f>
        <v>0.5</v>
      </c>
      <c r="C168" s="263">
        <f t="shared" si="174"/>
        <v>0</v>
      </c>
      <c r="D168" s="263">
        <f>D$165*$B168*D153</f>
        <v>7.4334282159479602E-4</v>
      </c>
      <c r="E168" s="263">
        <f>E$165*$B168*E153</f>
        <v>1.9595723952218719E-3</v>
      </c>
      <c r="F168" s="263" t="e">
        <f t="shared" si="174"/>
        <v>#DIV/0!</v>
      </c>
      <c r="G168" s="263" t="e">
        <f t="shared" si="174"/>
        <v>#DIV/0!</v>
      </c>
      <c r="H168" s="263" t="e">
        <f t="shared" si="174"/>
        <v>#DIV/0!</v>
      </c>
      <c r="I168" s="263" t="e">
        <f t="shared" si="174"/>
        <v>#DIV/0!</v>
      </c>
      <c r="J168" s="263" t="e">
        <f t="shared" si="174"/>
        <v>#DIV/0!</v>
      </c>
      <c r="K168" s="263" t="e">
        <f t="shared" si="174"/>
        <v>#DIV/0!</v>
      </c>
      <c r="L168" s="263" t="e">
        <f t="shared" si="174"/>
        <v>#DIV/0!</v>
      </c>
      <c r="M168" s="263" t="e">
        <f t="shared" si="174"/>
        <v>#DIV/0!</v>
      </c>
    </row>
    <row r="169" spans="1:13" x14ac:dyDescent="0.2">
      <c r="B169" s="266">
        <f>F165</f>
        <v>0</v>
      </c>
      <c r="C169" s="263" t="e">
        <f t="shared" si="174"/>
        <v>#DIV/0!</v>
      </c>
      <c r="D169" s="263" t="e">
        <f t="shared" si="174"/>
        <v>#DIV/0!</v>
      </c>
      <c r="E169" s="263" t="e">
        <f t="shared" si="174"/>
        <v>#DIV/0!</v>
      </c>
      <c r="F169" s="263" t="e">
        <f t="shared" si="174"/>
        <v>#DIV/0!</v>
      </c>
      <c r="G169" s="263" t="e">
        <f t="shared" si="174"/>
        <v>#DIV/0!</v>
      </c>
      <c r="H169" s="263" t="e">
        <f t="shared" si="174"/>
        <v>#DIV/0!</v>
      </c>
      <c r="I169" s="263" t="e">
        <f t="shared" si="174"/>
        <v>#DIV/0!</v>
      </c>
      <c r="J169" s="263" t="e">
        <f t="shared" si="174"/>
        <v>#DIV/0!</v>
      </c>
      <c r="K169" s="263" t="e">
        <f t="shared" si="174"/>
        <v>#DIV/0!</v>
      </c>
      <c r="L169" s="263" t="e">
        <f t="shared" si="174"/>
        <v>#DIV/0!</v>
      </c>
      <c r="M169" s="263" t="e">
        <f t="shared" si="174"/>
        <v>#DIV/0!</v>
      </c>
    </row>
    <row r="170" spans="1:13" x14ac:dyDescent="0.2">
      <c r="B170" s="266">
        <f>G165</f>
        <v>0</v>
      </c>
      <c r="C170" s="263" t="e">
        <f t="shared" si="174"/>
        <v>#DIV/0!</v>
      </c>
      <c r="D170" s="263" t="e">
        <f t="shared" si="174"/>
        <v>#DIV/0!</v>
      </c>
      <c r="E170" s="263" t="e">
        <f t="shared" si="174"/>
        <v>#DIV/0!</v>
      </c>
      <c r="F170" s="263" t="e">
        <f t="shared" si="174"/>
        <v>#DIV/0!</v>
      </c>
      <c r="G170" s="263" t="e">
        <f t="shared" si="174"/>
        <v>#DIV/0!</v>
      </c>
      <c r="H170" s="263" t="e">
        <f t="shared" si="174"/>
        <v>#DIV/0!</v>
      </c>
      <c r="I170" s="263" t="e">
        <f t="shared" si="174"/>
        <v>#DIV/0!</v>
      </c>
      <c r="J170" s="263" t="e">
        <f t="shared" si="174"/>
        <v>#DIV/0!</v>
      </c>
      <c r="K170" s="263" t="e">
        <f t="shared" si="174"/>
        <v>#DIV/0!</v>
      </c>
      <c r="L170" s="263" t="e">
        <f t="shared" si="174"/>
        <v>#DIV/0!</v>
      </c>
      <c r="M170" s="263" t="e">
        <f t="shared" si="174"/>
        <v>#DIV/0!</v>
      </c>
    </row>
    <row r="171" spans="1:13" x14ac:dyDescent="0.2">
      <c r="B171" s="266">
        <f>H165</f>
        <v>0</v>
      </c>
      <c r="C171" s="263" t="e">
        <f t="shared" si="174"/>
        <v>#DIV/0!</v>
      </c>
      <c r="D171" s="263" t="e">
        <f t="shared" si="174"/>
        <v>#DIV/0!</v>
      </c>
      <c r="E171" s="263" t="e">
        <f t="shared" si="174"/>
        <v>#DIV/0!</v>
      </c>
      <c r="F171" s="263" t="e">
        <f t="shared" si="174"/>
        <v>#DIV/0!</v>
      </c>
      <c r="G171" s="263" t="e">
        <f t="shared" si="174"/>
        <v>#DIV/0!</v>
      </c>
      <c r="H171" s="263" t="e">
        <f t="shared" si="174"/>
        <v>#DIV/0!</v>
      </c>
      <c r="I171" s="263" t="e">
        <f t="shared" si="174"/>
        <v>#DIV/0!</v>
      </c>
      <c r="J171" s="263" t="e">
        <f t="shared" si="174"/>
        <v>#DIV/0!</v>
      </c>
      <c r="K171" s="263" t="e">
        <f t="shared" si="174"/>
        <v>#DIV/0!</v>
      </c>
      <c r="L171" s="263" t="e">
        <f t="shared" si="174"/>
        <v>#DIV/0!</v>
      </c>
      <c r="M171" s="263" t="e">
        <f t="shared" si="174"/>
        <v>#DIV/0!</v>
      </c>
    </row>
    <row r="172" spans="1:13" x14ac:dyDescent="0.2">
      <c r="B172" s="260">
        <f>I165</f>
        <v>0</v>
      </c>
      <c r="C172" s="263" t="e">
        <f t="shared" si="174"/>
        <v>#DIV/0!</v>
      </c>
      <c r="D172" s="263" t="e">
        <f t="shared" si="174"/>
        <v>#DIV/0!</v>
      </c>
      <c r="E172" s="263" t="e">
        <f t="shared" si="174"/>
        <v>#DIV/0!</v>
      </c>
      <c r="F172" s="263" t="e">
        <f t="shared" si="174"/>
        <v>#DIV/0!</v>
      </c>
      <c r="G172" s="263" t="e">
        <f t="shared" si="174"/>
        <v>#DIV/0!</v>
      </c>
      <c r="H172" s="263" t="e">
        <f t="shared" si="174"/>
        <v>#DIV/0!</v>
      </c>
      <c r="I172" s="263" t="e">
        <f t="shared" si="174"/>
        <v>#DIV/0!</v>
      </c>
      <c r="J172" s="263" t="e">
        <f t="shared" si="174"/>
        <v>#DIV/0!</v>
      </c>
      <c r="K172" s="263" t="e">
        <f t="shared" si="174"/>
        <v>#DIV/0!</v>
      </c>
      <c r="L172" s="263" t="e">
        <f t="shared" si="174"/>
        <v>#DIV/0!</v>
      </c>
      <c r="M172" s="263" t="e">
        <f t="shared" si="174"/>
        <v>#DIV/0!</v>
      </c>
    </row>
    <row r="173" spans="1:13" x14ac:dyDescent="0.2">
      <c r="B173" s="260">
        <f>J165</f>
        <v>0</v>
      </c>
      <c r="C173" s="263" t="e">
        <f t="shared" si="174"/>
        <v>#DIV/0!</v>
      </c>
      <c r="D173" s="263" t="e">
        <f t="shared" si="174"/>
        <v>#DIV/0!</v>
      </c>
      <c r="E173" s="263" t="e">
        <f t="shared" si="174"/>
        <v>#DIV/0!</v>
      </c>
      <c r="F173" s="263" t="e">
        <f t="shared" si="174"/>
        <v>#DIV/0!</v>
      </c>
      <c r="G173" s="263" t="e">
        <f t="shared" si="174"/>
        <v>#DIV/0!</v>
      </c>
      <c r="H173" s="263" t="e">
        <f t="shared" si="174"/>
        <v>#DIV/0!</v>
      </c>
      <c r="I173" s="263" t="e">
        <f t="shared" si="174"/>
        <v>#DIV/0!</v>
      </c>
      <c r="J173" s="263" t="e">
        <f t="shared" si="174"/>
        <v>#DIV/0!</v>
      </c>
      <c r="K173" s="263" t="e">
        <f t="shared" si="174"/>
        <v>#DIV/0!</v>
      </c>
      <c r="L173" s="263" t="e">
        <f t="shared" si="174"/>
        <v>#DIV/0!</v>
      </c>
      <c r="M173" s="263" t="e">
        <f t="shared" si="174"/>
        <v>#DIV/0!</v>
      </c>
    </row>
    <row r="174" spans="1:13" x14ac:dyDescent="0.2">
      <c r="B174" s="260">
        <f>K165</f>
        <v>0</v>
      </c>
      <c r="C174" s="263" t="e">
        <f t="shared" si="174"/>
        <v>#DIV/0!</v>
      </c>
      <c r="D174" s="263" t="e">
        <f t="shared" si="174"/>
        <v>#DIV/0!</v>
      </c>
      <c r="E174" s="263" t="e">
        <f t="shared" si="174"/>
        <v>#DIV/0!</v>
      </c>
      <c r="F174" s="263" t="e">
        <f t="shared" si="174"/>
        <v>#DIV/0!</v>
      </c>
      <c r="G174" s="263" t="e">
        <f t="shared" si="174"/>
        <v>#DIV/0!</v>
      </c>
      <c r="H174" s="263" t="e">
        <f t="shared" si="174"/>
        <v>#DIV/0!</v>
      </c>
      <c r="I174" s="263" t="e">
        <f t="shared" si="174"/>
        <v>#DIV/0!</v>
      </c>
      <c r="J174" s="263" t="e">
        <f t="shared" si="174"/>
        <v>#DIV/0!</v>
      </c>
      <c r="K174" s="263" t="e">
        <f t="shared" si="174"/>
        <v>#DIV/0!</v>
      </c>
      <c r="L174" s="263" t="e">
        <f t="shared" si="174"/>
        <v>#DIV/0!</v>
      </c>
      <c r="M174" s="263" t="e">
        <f t="shared" si="174"/>
        <v>#DIV/0!</v>
      </c>
    </row>
    <row r="175" spans="1:13" x14ac:dyDescent="0.2">
      <c r="B175" s="260">
        <f>L165</f>
        <v>0</v>
      </c>
      <c r="C175" s="263" t="e">
        <f t="shared" si="174"/>
        <v>#DIV/0!</v>
      </c>
      <c r="D175" s="263" t="e">
        <f t="shared" si="174"/>
        <v>#DIV/0!</v>
      </c>
      <c r="E175" s="263" t="e">
        <f t="shared" si="174"/>
        <v>#DIV/0!</v>
      </c>
      <c r="F175" s="263" t="e">
        <f t="shared" si="174"/>
        <v>#DIV/0!</v>
      </c>
      <c r="G175" s="263" t="e">
        <f t="shared" si="174"/>
        <v>#DIV/0!</v>
      </c>
      <c r="H175" s="263" t="e">
        <f t="shared" si="174"/>
        <v>#DIV/0!</v>
      </c>
      <c r="I175" s="263" t="e">
        <f t="shared" si="174"/>
        <v>#DIV/0!</v>
      </c>
      <c r="J175" s="263" t="e">
        <f t="shared" si="174"/>
        <v>#DIV/0!</v>
      </c>
      <c r="K175" s="263" t="e">
        <f t="shared" si="174"/>
        <v>#DIV/0!</v>
      </c>
      <c r="L175" s="263" t="e">
        <f t="shared" si="174"/>
        <v>#DIV/0!</v>
      </c>
      <c r="M175" s="263" t="e">
        <f t="shared" si="174"/>
        <v>#DIV/0!</v>
      </c>
    </row>
    <row r="176" spans="1:13" x14ac:dyDescent="0.2">
      <c r="B176" s="260">
        <f>M165</f>
        <v>0</v>
      </c>
      <c r="C176" s="263" t="e">
        <f t="shared" si="174"/>
        <v>#DIV/0!</v>
      </c>
      <c r="D176" s="263" t="e">
        <f t="shared" si="174"/>
        <v>#DIV/0!</v>
      </c>
      <c r="E176" s="263" t="e">
        <f t="shared" si="174"/>
        <v>#DIV/0!</v>
      </c>
      <c r="F176" s="263" t="e">
        <f t="shared" si="174"/>
        <v>#DIV/0!</v>
      </c>
      <c r="G176" s="263" t="e">
        <f t="shared" si="174"/>
        <v>#DIV/0!</v>
      </c>
      <c r="H176" s="263" t="e">
        <f t="shared" si="174"/>
        <v>#DIV/0!</v>
      </c>
      <c r="I176" s="263" t="e">
        <f t="shared" si="174"/>
        <v>#DIV/0!</v>
      </c>
      <c r="J176" s="263" t="e">
        <f t="shared" si="174"/>
        <v>#DIV/0!</v>
      </c>
      <c r="K176" s="263" t="e">
        <f t="shared" si="174"/>
        <v>#DIV/0!</v>
      </c>
      <c r="L176" s="263" t="e">
        <f t="shared" si="174"/>
        <v>#DIV/0!</v>
      </c>
      <c r="M176" s="263" t="e">
        <f t="shared" si="174"/>
        <v>#DIV/0!</v>
      </c>
    </row>
    <row r="179" spans="1:7" x14ac:dyDescent="0.2">
      <c r="A179" s="3" t="s">
        <v>361</v>
      </c>
      <c r="B179"/>
      <c r="C179"/>
    </row>
    <row r="180" spans="1:7" x14ac:dyDescent="0.2">
      <c r="A180" s="620" t="s">
        <v>362</v>
      </c>
      <c r="B180" s="621"/>
      <c r="C180" s="190">
        <f>SUM(B166:B176)</f>
        <v>1</v>
      </c>
    </row>
    <row r="181" spans="1:7" x14ac:dyDescent="0.2">
      <c r="A181" s="620" t="s">
        <v>369</v>
      </c>
      <c r="B181" s="621"/>
      <c r="C181" s="191">
        <f>SUMPRODUCT(C139:E139,C165:E165)</f>
        <v>4.115930739976599E-2</v>
      </c>
    </row>
    <row r="182" spans="1:7" x14ac:dyDescent="0.2">
      <c r="A182" s="620" t="s">
        <v>363</v>
      </c>
      <c r="B182" s="621"/>
      <c r="C182" s="191">
        <f>SUM(C166:E168)</f>
        <v>5.6270324901868882E-3</v>
      </c>
    </row>
    <row r="183" spans="1:7" x14ac:dyDescent="0.2">
      <c r="A183" s="620" t="s">
        <v>364</v>
      </c>
      <c r="B183" s="621"/>
      <c r="C183" s="264">
        <f>SQRT(C182)</f>
        <v>7.5013548710795491E-2</v>
      </c>
    </row>
    <row r="186" spans="1:7" x14ac:dyDescent="0.2">
      <c r="A186" s="246" t="s">
        <v>440</v>
      </c>
    </row>
    <row r="187" spans="1:7" x14ac:dyDescent="0.2">
      <c r="A187" s="636" t="s">
        <v>441</v>
      </c>
      <c r="B187" s="636"/>
      <c r="C187" s="636"/>
      <c r="D187" s="636"/>
      <c r="E187" s="636"/>
      <c r="F187" s="636"/>
      <c r="G187" s="636"/>
    </row>
    <row r="188" spans="1:7" x14ac:dyDescent="0.2">
      <c r="A188" s="636"/>
      <c r="B188" s="636"/>
      <c r="C188" s="636"/>
      <c r="D188" s="636"/>
      <c r="E188" s="636"/>
      <c r="F188" s="636"/>
      <c r="G188" s="636"/>
    </row>
    <row r="190" spans="1:7" x14ac:dyDescent="0.2">
      <c r="B190" s="260" t="s">
        <v>445</v>
      </c>
      <c r="C190" s="263">
        <f>C139</f>
        <v>1.7551114946110193E-2</v>
      </c>
    </row>
    <row r="191" spans="1:7" x14ac:dyDescent="0.2">
      <c r="B191" s="260" t="s">
        <v>446</v>
      </c>
      <c r="C191" s="473" t="s">
        <v>724</v>
      </c>
    </row>
    <row r="193" spans="2:6" x14ac:dyDescent="0.2">
      <c r="B193" s="260"/>
      <c r="C193" s="637" t="s">
        <v>442</v>
      </c>
      <c r="D193" s="637"/>
      <c r="E193" s="262" t="s">
        <v>444</v>
      </c>
      <c r="F193" s="261" t="s">
        <v>447</v>
      </c>
    </row>
    <row r="194" spans="2:6" x14ac:dyDescent="0.2">
      <c r="B194" s="260" t="s">
        <v>443</v>
      </c>
      <c r="C194" s="634">
        <f>C151</f>
        <v>1.383972677674993E-3</v>
      </c>
      <c r="D194" s="635"/>
      <c r="E194" s="260">
        <f>C194/$C$194</f>
        <v>1</v>
      </c>
      <c r="F194" s="474">
        <f>C190</f>
        <v>1.7551114946110193E-2</v>
      </c>
    </row>
    <row r="195" spans="2:6" x14ac:dyDescent="0.2">
      <c r="B195" s="260" t="s">
        <v>350</v>
      </c>
      <c r="C195" s="634">
        <f>D151</f>
        <v>1.1231588467187045E-3</v>
      </c>
      <c r="D195" s="635"/>
      <c r="E195" s="263">
        <f t="shared" ref="E195:E204" si="175">C195/$C$194</f>
        <v>0.81154697981867452</v>
      </c>
      <c r="F195" s="263" t="e">
        <f>$C$191+E195*($C$190-$C$191)</f>
        <v>#VALUE!</v>
      </c>
    </row>
    <row r="196" spans="2:6" x14ac:dyDescent="0.2">
      <c r="B196" s="260" t="s">
        <v>351</v>
      </c>
      <c r="C196" s="634">
        <f>E151</f>
        <v>1.8168724109802741E-3</v>
      </c>
      <c r="D196" s="635"/>
      <c r="E196" s="263">
        <f t="shared" si="175"/>
        <v>1.3127949997051471</v>
      </c>
      <c r="F196" s="263" t="e">
        <f>$C$191+E196*($C$190-$C$191)</f>
        <v>#VALUE!</v>
      </c>
    </row>
    <row r="197" spans="2:6" x14ac:dyDescent="0.2">
      <c r="B197" s="260" t="s">
        <v>352</v>
      </c>
      <c r="C197" s="634" t="e">
        <f>F151</f>
        <v>#DIV/0!</v>
      </c>
      <c r="D197" s="635"/>
      <c r="E197" s="260" t="e">
        <f t="shared" si="175"/>
        <v>#DIV/0!</v>
      </c>
      <c r="F197" s="260" t="e">
        <f>$C$191+E197*($C$190-$C$191)</f>
        <v>#VALUE!</v>
      </c>
    </row>
    <row r="198" spans="2:6" x14ac:dyDescent="0.2">
      <c r="B198" s="260" t="s">
        <v>426</v>
      </c>
      <c r="C198" s="634" t="e">
        <f>G151</f>
        <v>#DIV/0!</v>
      </c>
      <c r="D198" s="635"/>
      <c r="E198" s="260" t="e">
        <f t="shared" si="175"/>
        <v>#DIV/0!</v>
      </c>
      <c r="F198" s="260" t="e">
        <f t="shared" ref="F198:F204" si="176">$C$191+E198*($C$190-$C$191)</f>
        <v>#VALUE!</v>
      </c>
    </row>
    <row r="199" spans="2:6" x14ac:dyDescent="0.2">
      <c r="B199" s="260" t="s">
        <v>427</v>
      </c>
      <c r="C199" s="634" t="e">
        <f>H151</f>
        <v>#DIV/0!</v>
      </c>
      <c r="D199" s="635"/>
      <c r="E199" s="260" t="e">
        <f t="shared" si="175"/>
        <v>#DIV/0!</v>
      </c>
      <c r="F199" s="260" t="e">
        <f t="shared" si="176"/>
        <v>#VALUE!</v>
      </c>
    </row>
    <row r="200" spans="2:6" x14ac:dyDescent="0.2">
      <c r="B200" s="260" t="s">
        <v>428</v>
      </c>
      <c r="C200" s="634" t="e">
        <f>I151</f>
        <v>#DIV/0!</v>
      </c>
      <c r="D200" s="635"/>
      <c r="E200" s="260" t="e">
        <f t="shared" si="175"/>
        <v>#DIV/0!</v>
      </c>
      <c r="F200" s="260" t="e">
        <f t="shared" si="176"/>
        <v>#VALUE!</v>
      </c>
    </row>
    <row r="201" spans="2:6" x14ac:dyDescent="0.2">
      <c r="B201" s="260" t="s">
        <v>429</v>
      </c>
      <c r="C201" s="634" t="e">
        <f>J151</f>
        <v>#DIV/0!</v>
      </c>
      <c r="D201" s="635"/>
      <c r="E201" s="260" t="e">
        <f t="shared" si="175"/>
        <v>#DIV/0!</v>
      </c>
      <c r="F201" s="260" t="e">
        <f t="shared" si="176"/>
        <v>#VALUE!</v>
      </c>
    </row>
    <row r="202" spans="2:6" x14ac:dyDescent="0.2">
      <c r="B202" s="260" t="s">
        <v>430</v>
      </c>
      <c r="C202" s="634" t="e">
        <f>K151</f>
        <v>#DIV/0!</v>
      </c>
      <c r="D202" s="635"/>
      <c r="E202" s="260" t="e">
        <f t="shared" si="175"/>
        <v>#DIV/0!</v>
      </c>
      <c r="F202" s="260" t="e">
        <f t="shared" si="176"/>
        <v>#VALUE!</v>
      </c>
    </row>
    <row r="203" spans="2:6" x14ac:dyDescent="0.2">
      <c r="B203" s="260" t="s">
        <v>431</v>
      </c>
      <c r="C203" s="634" t="e">
        <f>L151</f>
        <v>#DIV/0!</v>
      </c>
      <c r="D203" s="635"/>
      <c r="E203" s="260" t="e">
        <f t="shared" si="175"/>
        <v>#DIV/0!</v>
      </c>
      <c r="F203" s="260" t="e">
        <f t="shared" si="176"/>
        <v>#VALUE!</v>
      </c>
    </row>
    <row r="204" spans="2:6" x14ac:dyDescent="0.2">
      <c r="B204" s="260" t="s">
        <v>432</v>
      </c>
      <c r="C204" s="634" t="e">
        <f>M151</f>
        <v>#DIV/0!</v>
      </c>
      <c r="D204" s="635"/>
      <c r="E204" s="260" t="e">
        <f t="shared" si="175"/>
        <v>#DIV/0!</v>
      </c>
      <c r="F204" s="260" t="e">
        <f t="shared" si="176"/>
        <v>#VALUE!</v>
      </c>
    </row>
  </sheetData>
  <mergeCells count="20">
    <mergeCell ref="C200:D200"/>
    <mergeCell ref="C201:D201"/>
    <mergeCell ref="C202:D202"/>
    <mergeCell ref="C203:D203"/>
    <mergeCell ref="C204:D204"/>
    <mergeCell ref="C196:D196"/>
    <mergeCell ref="C197:D197"/>
    <mergeCell ref="C198:D198"/>
    <mergeCell ref="C199:D199"/>
    <mergeCell ref="A183:B183"/>
    <mergeCell ref="A187:G188"/>
    <mergeCell ref="C193:D193"/>
    <mergeCell ref="C194:D194"/>
    <mergeCell ref="C195:D195"/>
    <mergeCell ref="A182:B182"/>
    <mergeCell ref="A139:B139"/>
    <mergeCell ref="A140:B140"/>
    <mergeCell ref="A138:B138"/>
    <mergeCell ref="A180:B180"/>
    <mergeCell ref="A181:B181"/>
  </mergeCells>
  <pageMargins left="0.7" right="0.7" top="0.75" bottom="0.75" header="0.3" footer="0.3"/>
  <ignoredErrors>
    <ignoredError sqref="B8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sheetPr>
  <dimension ref="A1:K38"/>
  <sheetViews>
    <sheetView topLeftCell="A32" workbookViewId="0">
      <selection activeCell="H59" sqref="H59"/>
    </sheetView>
  </sheetViews>
  <sheetFormatPr baseColWidth="10" defaultColWidth="10.5" defaultRowHeight="16" x14ac:dyDescent="0.2"/>
  <cols>
    <col min="2" max="2" width="27.5" customWidth="1"/>
    <col min="3" max="5" width="12" bestFit="1" customWidth="1"/>
  </cols>
  <sheetData>
    <row r="1" spans="1:11" x14ac:dyDescent="0.2">
      <c r="A1" s="196" t="s">
        <v>371</v>
      </c>
      <c r="B1" s="31"/>
      <c r="C1" s="31"/>
      <c r="D1" s="31"/>
      <c r="E1" s="31"/>
      <c r="F1" s="31"/>
      <c r="G1" s="31"/>
      <c r="H1" s="31"/>
      <c r="I1" s="31"/>
      <c r="J1" s="31"/>
      <c r="K1" s="31"/>
    </row>
    <row r="2" spans="1:11" x14ac:dyDescent="0.2">
      <c r="A2" s="539" t="s">
        <v>462</v>
      </c>
      <c r="B2" s="539"/>
      <c r="C2" s="539"/>
      <c r="D2" s="539"/>
      <c r="E2" s="539"/>
      <c r="F2" s="539"/>
      <c r="G2" s="539"/>
      <c r="H2" s="539"/>
      <c r="I2" s="539"/>
      <c r="J2" s="31"/>
      <c r="K2" s="31"/>
    </row>
    <row r="3" spans="1:11" x14ac:dyDescent="0.2">
      <c r="A3" s="539"/>
      <c r="B3" s="539"/>
      <c r="C3" s="539"/>
      <c r="D3" s="539"/>
      <c r="E3" s="539"/>
      <c r="F3" s="539"/>
      <c r="G3" s="539"/>
      <c r="H3" s="539"/>
      <c r="I3" s="539"/>
      <c r="J3" s="31"/>
      <c r="K3" s="31"/>
    </row>
    <row r="4" spans="1:11" x14ac:dyDescent="0.2">
      <c r="E4" s="31"/>
      <c r="F4" s="31"/>
      <c r="G4" s="31"/>
      <c r="H4" s="31"/>
      <c r="I4" s="31"/>
      <c r="J4" s="31"/>
      <c r="K4" s="31"/>
    </row>
    <row r="5" spans="1:11" x14ac:dyDescent="0.2">
      <c r="A5" s="3" t="s">
        <v>448</v>
      </c>
      <c r="E5" s="31"/>
      <c r="F5" s="31"/>
      <c r="G5" s="31"/>
      <c r="H5" s="31"/>
      <c r="I5" s="31"/>
      <c r="J5" s="31"/>
      <c r="K5" s="31"/>
    </row>
    <row r="6" spans="1:11" ht="16" customHeight="1" x14ac:dyDescent="0.2">
      <c r="A6" s="539" t="s">
        <v>463</v>
      </c>
      <c r="B6" s="539"/>
      <c r="C6" s="539"/>
      <c r="D6" s="539"/>
      <c r="E6" s="539"/>
      <c r="F6" s="539"/>
      <c r="G6" s="539"/>
      <c r="H6" s="539"/>
      <c r="I6" s="31"/>
      <c r="J6" s="31"/>
      <c r="K6" s="31"/>
    </row>
    <row r="7" spans="1:11" x14ac:dyDescent="0.2">
      <c r="A7" s="539"/>
      <c r="B7" s="539"/>
      <c r="C7" s="539"/>
      <c r="D7" s="539"/>
      <c r="E7" s="539"/>
      <c r="F7" s="539"/>
      <c r="G7" s="539"/>
      <c r="H7" s="539"/>
      <c r="I7" s="31"/>
      <c r="J7" s="31"/>
      <c r="K7" s="31"/>
    </row>
    <row r="8" spans="1:11" x14ac:dyDescent="0.2">
      <c r="A8" s="539"/>
      <c r="B8" s="539"/>
      <c r="C8" s="539"/>
      <c r="D8" s="539"/>
      <c r="E8" s="539"/>
      <c r="F8" s="539"/>
      <c r="G8" s="539"/>
      <c r="H8" s="539"/>
      <c r="I8" s="31"/>
      <c r="J8" s="31"/>
      <c r="K8" s="31"/>
    </row>
    <row r="9" spans="1:11" x14ac:dyDescent="0.2">
      <c r="F9" s="31"/>
      <c r="G9" s="31"/>
      <c r="H9" s="31"/>
      <c r="I9" s="31"/>
      <c r="J9" s="31"/>
      <c r="K9" s="31"/>
    </row>
    <row r="10" spans="1:11" x14ac:dyDescent="0.2">
      <c r="B10" s="281" t="s">
        <v>468</v>
      </c>
      <c r="C10" t="s">
        <v>729</v>
      </c>
      <c r="F10" s="31"/>
      <c r="G10" s="31"/>
      <c r="H10" s="31"/>
      <c r="I10" s="31"/>
      <c r="J10" s="31"/>
      <c r="K10" s="31"/>
    </row>
    <row r="11" spans="1:11" x14ac:dyDescent="0.2">
      <c r="B11" s="281"/>
      <c r="F11" s="31"/>
      <c r="G11" s="31"/>
      <c r="H11" s="31"/>
      <c r="I11" s="31"/>
      <c r="J11" s="31"/>
      <c r="K11" s="31"/>
    </row>
    <row r="12" spans="1:11" ht="18" x14ac:dyDescent="0.25">
      <c r="B12" s="143" t="s">
        <v>459</v>
      </c>
      <c r="C12" t="s">
        <v>730</v>
      </c>
      <c r="F12" s="31"/>
      <c r="G12" s="31"/>
      <c r="H12" s="31"/>
      <c r="I12" s="31"/>
      <c r="J12" s="31"/>
      <c r="K12" s="31"/>
    </row>
    <row r="13" spans="1:11" x14ac:dyDescent="0.2">
      <c r="B13" s="143"/>
      <c r="F13" s="31"/>
      <c r="G13" s="31"/>
      <c r="H13" s="31"/>
      <c r="I13" s="31"/>
      <c r="J13" s="31"/>
      <c r="K13" s="31"/>
    </row>
    <row r="14" spans="1:11" ht="18" customHeight="1" x14ac:dyDescent="0.25">
      <c r="B14" s="143" t="s">
        <v>460</v>
      </c>
      <c r="C14" t="s">
        <v>731</v>
      </c>
      <c r="D14" s="489"/>
      <c r="E14" s="489"/>
      <c r="F14" s="489"/>
      <c r="G14" s="489"/>
      <c r="H14" s="489"/>
      <c r="I14" s="489"/>
      <c r="J14" s="31"/>
      <c r="K14" s="31"/>
    </row>
    <row r="15" spans="1:11" x14ac:dyDescent="0.2">
      <c r="B15" s="143"/>
      <c r="C15" s="489"/>
      <c r="D15" s="489"/>
      <c r="E15" s="489"/>
      <c r="F15" s="489"/>
      <c r="G15" s="489"/>
      <c r="H15" s="489"/>
      <c r="I15" s="489"/>
      <c r="J15" s="31"/>
      <c r="K15" s="31"/>
    </row>
    <row r="16" spans="1:11" x14ac:dyDescent="0.2">
      <c r="B16" s="143" t="s">
        <v>458</v>
      </c>
      <c r="C16" t="s">
        <v>461</v>
      </c>
      <c r="F16" s="31"/>
      <c r="G16" s="31"/>
      <c r="H16" s="31"/>
      <c r="I16" s="31"/>
      <c r="J16" s="31"/>
      <c r="K16" s="31"/>
    </row>
    <row r="17" spans="1:11" x14ac:dyDescent="0.2">
      <c r="B17" s="124"/>
      <c r="F17" s="31"/>
      <c r="G17" s="31"/>
      <c r="H17" s="31"/>
      <c r="I17" s="31"/>
      <c r="J17" s="31"/>
      <c r="K17" s="31"/>
    </row>
    <row r="18" spans="1:11" x14ac:dyDescent="0.2">
      <c r="E18" s="31"/>
      <c r="F18" s="31"/>
      <c r="G18" s="31"/>
      <c r="H18" s="31"/>
      <c r="I18" s="31"/>
      <c r="J18" s="31"/>
      <c r="K18" s="31"/>
    </row>
    <row r="19" spans="1:11" x14ac:dyDescent="0.2">
      <c r="B19" s="280"/>
      <c r="C19" s="188" t="s">
        <v>350</v>
      </c>
      <c r="D19" s="188" t="s">
        <v>351</v>
      </c>
      <c r="E19" s="201" t="s">
        <v>352</v>
      </c>
      <c r="F19" s="31"/>
      <c r="G19" s="31"/>
      <c r="H19" s="31"/>
      <c r="I19" s="31"/>
      <c r="J19" s="31"/>
      <c r="K19" s="31"/>
    </row>
    <row r="20" spans="1:11" x14ac:dyDescent="0.2">
      <c r="B20" s="280" t="s">
        <v>467</v>
      </c>
      <c r="C20" s="181"/>
      <c r="D20" s="181"/>
      <c r="E20" s="199"/>
      <c r="F20" s="31"/>
      <c r="G20" s="31"/>
      <c r="H20" s="31"/>
      <c r="I20" s="31"/>
      <c r="J20" s="31"/>
      <c r="K20" s="31"/>
    </row>
    <row r="21" spans="1:11" ht="18" x14ac:dyDescent="0.25">
      <c r="B21" s="280" t="s">
        <v>374</v>
      </c>
      <c r="C21" s="293"/>
      <c r="D21" s="293"/>
      <c r="E21" s="294"/>
    </row>
    <row r="22" spans="1:11" ht="18" x14ac:dyDescent="0.25">
      <c r="B22" s="280" t="s">
        <v>375</v>
      </c>
      <c r="C22" s="293"/>
      <c r="D22" s="293"/>
      <c r="E22" s="294"/>
    </row>
    <row r="23" spans="1:11" x14ac:dyDescent="0.2">
      <c r="B23" s="280" t="s">
        <v>372</v>
      </c>
      <c r="C23" s="293"/>
      <c r="D23" s="293"/>
      <c r="E23" s="294"/>
    </row>
    <row r="24" spans="1:11" x14ac:dyDescent="0.2">
      <c r="B24" s="280" t="s">
        <v>373</v>
      </c>
      <c r="C24" s="200" t="e">
        <f>C20/((1+C23))+(C20*(1+C21)^1)/(1+C23)^2+(((C20*(1+C21)^2)/(C23-C22)))/(1+C23)^2</f>
        <v>#DIV/0!</v>
      </c>
      <c r="D24" s="200" t="e">
        <f t="shared" ref="D24:E24" si="0">D20/((1+D23))+(D20*(1+D21)^1)/(1+D23)^2+(((D20*(1+D21)^2)/(D23-D22)))/(1+D23)^2</f>
        <v>#DIV/0!</v>
      </c>
      <c r="E24" s="200" t="e">
        <f t="shared" si="0"/>
        <v>#DIV/0!</v>
      </c>
    </row>
    <row r="27" spans="1:11" x14ac:dyDescent="0.2">
      <c r="A27" s="3" t="s">
        <v>464</v>
      </c>
    </row>
    <row r="28" spans="1:11" ht="16" customHeight="1" x14ac:dyDescent="0.2">
      <c r="A28" s="539" t="s">
        <v>465</v>
      </c>
      <c r="B28" s="539"/>
      <c r="C28" s="539"/>
      <c r="D28" s="539"/>
      <c r="E28" s="539"/>
      <c r="F28" s="539"/>
      <c r="G28" s="539"/>
      <c r="H28" s="539"/>
      <c r="I28" s="539"/>
    </row>
    <row r="29" spans="1:11" x14ac:dyDescent="0.2">
      <c r="A29" s="539"/>
      <c r="B29" s="539"/>
      <c r="C29" s="539"/>
      <c r="D29" s="539"/>
      <c r="E29" s="539"/>
      <c r="F29" s="539"/>
      <c r="G29" s="539"/>
      <c r="H29" s="539"/>
      <c r="I29" s="539"/>
    </row>
    <row r="30" spans="1:11" x14ac:dyDescent="0.2">
      <c r="A30" s="539"/>
      <c r="B30" s="539"/>
      <c r="C30" s="539"/>
      <c r="D30" s="539"/>
      <c r="E30" s="539"/>
      <c r="F30" s="539"/>
      <c r="G30" s="539"/>
      <c r="H30" s="539"/>
      <c r="I30" s="539"/>
    </row>
    <row r="31" spans="1:11" x14ac:dyDescent="0.2">
      <c r="A31" s="138" t="s">
        <v>469</v>
      </c>
      <c r="B31" s="156"/>
      <c r="C31" s="156"/>
      <c r="D31" s="156"/>
      <c r="E31" s="156"/>
      <c r="F31" s="156"/>
      <c r="G31" s="156"/>
      <c r="H31" s="156"/>
      <c r="I31" s="156"/>
    </row>
    <row r="33" spans="2:5" x14ac:dyDescent="0.2">
      <c r="B33" s="280"/>
      <c r="C33" s="188" t="s">
        <v>350</v>
      </c>
      <c r="D33" s="188" t="s">
        <v>351</v>
      </c>
      <c r="E33" s="201" t="s">
        <v>352</v>
      </c>
    </row>
    <row r="34" spans="2:5" x14ac:dyDescent="0.2">
      <c r="B34" s="205" t="s">
        <v>466</v>
      </c>
      <c r="C34" s="181"/>
      <c r="D34" s="181"/>
      <c r="E34" s="199"/>
    </row>
    <row r="35" spans="2:5" ht="18" x14ac:dyDescent="0.25">
      <c r="B35" s="280" t="s">
        <v>374</v>
      </c>
      <c r="C35" s="181"/>
      <c r="D35" s="181"/>
      <c r="E35" s="199"/>
    </row>
    <row r="36" spans="2:5" ht="18" x14ac:dyDescent="0.25">
      <c r="B36" s="280" t="s">
        <v>375</v>
      </c>
      <c r="C36" s="181"/>
      <c r="D36" s="181"/>
      <c r="E36" s="199"/>
    </row>
    <row r="37" spans="2:5" x14ac:dyDescent="0.2">
      <c r="B37" s="280" t="s">
        <v>372</v>
      </c>
      <c r="C37" s="181"/>
      <c r="D37" s="181"/>
      <c r="E37" s="199"/>
    </row>
    <row r="38" spans="2:5" x14ac:dyDescent="0.2">
      <c r="B38" s="280" t="s">
        <v>373</v>
      </c>
      <c r="C38" s="200" t="e">
        <f>C34/((1+C37))+(C34*(1+C35)^1/(1+C37)^2+(((C34*(1+C35)^2)/(C37-C36)))/(1+C37)^2)</f>
        <v>#DIV/0!</v>
      </c>
      <c r="D38" s="200" t="e">
        <f t="shared" ref="D38:E38" si="1">D34/((1+D37))+(D34*(1+D35)^1/(1+D37)^2+(((D34*(1+D35)^2)/(D37-D36)))/(1+D37)^2)</f>
        <v>#DIV/0!</v>
      </c>
      <c r="E38" s="200" t="e">
        <f t="shared" si="1"/>
        <v>#DIV/0!</v>
      </c>
    </row>
  </sheetData>
  <mergeCells count="3">
    <mergeCell ref="A28:I30"/>
    <mergeCell ref="A2:I3"/>
    <mergeCell ref="A6:H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M163"/>
  <sheetViews>
    <sheetView zoomScale="92" workbookViewId="0">
      <selection activeCell="K29" sqref="K29"/>
    </sheetView>
  </sheetViews>
  <sheetFormatPr baseColWidth="10" defaultColWidth="10.5" defaultRowHeight="16" x14ac:dyDescent="0.2"/>
  <cols>
    <col min="1" max="1" width="25" customWidth="1"/>
    <col min="2" max="2" width="12.5" bestFit="1" customWidth="1"/>
    <col min="3" max="3" width="12.5" customWidth="1"/>
    <col min="4" max="4" width="18.83203125" bestFit="1" customWidth="1"/>
    <col min="5" max="5" width="12" bestFit="1" customWidth="1"/>
    <col min="7" max="7" width="14" customWidth="1"/>
    <col min="10" max="10" width="19" bestFit="1" customWidth="1"/>
    <col min="11" max="11" width="12" bestFit="1" customWidth="1"/>
  </cols>
  <sheetData>
    <row r="1" spans="1:5" ht="21" x14ac:dyDescent="0.25">
      <c r="A1" s="126" t="s">
        <v>684</v>
      </c>
    </row>
    <row r="2" spans="1:5" x14ac:dyDescent="0.2">
      <c r="A2" t="s">
        <v>137</v>
      </c>
    </row>
    <row r="3" spans="1:5" x14ac:dyDescent="0.2">
      <c r="A3" t="s">
        <v>229</v>
      </c>
    </row>
    <row r="4" spans="1:5" x14ac:dyDescent="0.2">
      <c r="A4" t="s">
        <v>138</v>
      </c>
    </row>
    <row r="6" spans="1:5" x14ac:dyDescent="0.2">
      <c r="A6" s="1" t="s">
        <v>689</v>
      </c>
    </row>
    <row r="7" spans="1:5" x14ac:dyDescent="0.2">
      <c r="A7" s="426"/>
    </row>
    <row r="8" spans="1:5" x14ac:dyDescent="0.2">
      <c r="A8" s="130"/>
      <c r="B8" s="420" t="s">
        <v>144</v>
      </c>
      <c r="C8" s="420" t="s">
        <v>145</v>
      </c>
    </row>
    <row r="9" spans="1:5" x14ac:dyDescent="0.2">
      <c r="A9" s="127" t="s">
        <v>142</v>
      </c>
      <c r="B9" s="420"/>
      <c r="C9" s="420"/>
      <c r="D9" s="3" t="s">
        <v>724</v>
      </c>
    </row>
    <row r="10" spans="1:5" x14ac:dyDescent="0.2">
      <c r="A10" s="127" t="s">
        <v>143</v>
      </c>
      <c r="B10" s="420"/>
      <c r="C10" s="420"/>
    </row>
    <row r="11" spans="1:5" x14ac:dyDescent="0.2">
      <c r="A11" s="127" t="s">
        <v>47</v>
      </c>
      <c r="B11" s="420"/>
      <c r="C11" s="420"/>
    </row>
    <row r="12" spans="1:5" s="238" customFormat="1" x14ac:dyDescent="0.2">
      <c r="A12" s="424"/>
      <c r="B12" s="425"/>
      <c r="C12" s="425"/>
    </row>
    <row r="13" spans="1:5" ht="19" x14ac:dyDescent="0.25">
      <c r="A13" s="135"/>
      <c r="B13" s="116"/>
      <c r="C13" s="116"/>
    </row>
    <row r="14" spans="1:5" x14ac:dyDescent="0.2">
      <c r="A14" s="1" t="s">
        <v>694</v>
      </c>
      <c r="B14" s="116"/>
      <c r="C14" s="116"/>
    </row>
    <row r="15" spans="1:5" x14ac:dyDescent="0.2">
      <c r="A15" s="138"/>
      <c r="B15" s="3" t="s">
        <v>690</v>
      </c>
      <c r="C15" s="12" t="s">
        <v>691</v>
      </c>
    </row>
    <row r="16" spans="1:5" ht="18" x14ac:dyDescent="0.25">
      <c r="A16" s="118"/>
      <c r="B16" s="120" t="s">
        <v>146</v>
      </c>
      <c r="C16" s="117" t="s">
        <v>147</v>
      </c>
      <c r="E16" t="s">
        <v>343</v>
      </c>
    </row>
    <row r="17" spans="1:7" x14ac:dyDescent="0.2">
      <c r="A17" s="119" t="s">
        <v>149</v>
      </c>
      <c r="B17" s="121" t="e">
        <f>(C10-B10)/(C9-B9)</f>
        <v>#DIV/0!</v>
      </c>
      <c r="C17" s="118" t="e">
        <f>(C9-B9)/(C10-B10)</f>
        <v>#DIV/0!</v>
      </c>
      <c r="F17" t="s">
        <v>344</v>
      </c>
    </row>
    <row r="18" spans="1:7" x14ac:dyDescent="0.2">
      <c r="A18" s="122" t="s">
        <v>148</v>
      </c>
      <c r="B18" s="123" t="e">
        <f>B10-B17*B9</f>
        <v>#DIV/0!</v>
      </c>
      <c r="C18" s="123" t="e">
        <f>C9-C17*C10</f>
        <v>#DIV/0!</v>
      </c>
    </row>
    <row r="20" spans="1:7" x14ac:dyDescent="0.2">
      <c r="A20" s="3" t="s">
        <v>151</v>
      </c>
    </row>
    <row r="21" spans="1:7" x14ac:dyDescent="0.2">
      <c r="A21" s="3"/>
    </row>
    <row r="22" spans="1:7" x14ac:dyDescent="0.2">
      <c r="B22" s="568" t="s">
        <v>725</v>
      </c>
      <c r="C22" s="568"/>
      <c r="D22" s="568"/>
    </row>
    <row r="23" spans="1:7" x14ac:dyDescent="0.2">
      <c r="B23" s="423" t="s">
        <v>165</v>
      </c>
      <c r="C23" s="181" t="s">
        <v>154</v>
      </c>
      <c r="D23" s="181" t="s">
        <v>153</v>
      </c>
      <c r="E23" t="s">
        <v>726</v>
      </c>
    </row>
    <row r="24" spans="1:7" x14ac:dyDescent="0.2">
      <c r="B24" s="130" t="e">
        <f>-C17</f>
        <v>#DIV/0!</v>
      </c>
      <c r="C24" s="475" t="s">
        <v>724</v>
      </c>
      <c r="D24" s="181" t="e">
        <f>C17*C24+C18</f>
        <v>#DIV/0!</v>
      </c>
      <c r="E24" t="e">
        <f>B24*C24/D24</f>
        <v>#DIV/0!</v>
      </c>
      <c r="G24" t="s">
        <v>36</v>
      </c>
    </row>
    <row r="25" spans="1:7" s="238" customFormat="1" x14ac:dyDescent="0.2"/>
    <row r="27" spans="1:7" x14ac:dyDescent="0.2">
      <c r="A27" s="1" t="s">
        <v>544</v>
      </c>
    </row>
    <row r="28" spans="1:7" x14ac:dyDescent="0.2">
      <c r="A28" s="3" t="s">
        <v>139</v>
      </c>
    </row>
    <row r="29" spans="1:7" x14ac:dyDescent="0.2">
      <c r="A29" s="3"/>
    </row>
    <row r="30" spans="1:7" ht="19" x14ac:dyDescent="0.2">
      <c r="B30" s="638" t="s">
        <v>676</v>
      </c>
      <c r="C30" s="638"/>
    </row>
    <row r="31" spans="1:7" x14ac:dyDescent="0.2">
      <c r="A31" s="130"/>
      <c r="B31" s="476" t="s">
        <v>669</v>
      </c>
      <c r="C31" s="476" t="s">
        <v>670</v>
      </c>
    </row>
    <row r="32" spans="1:7" x14ac:dyDescent="0.2">
      <c r="A32" s="130" t="s">
        <v>163</v>
      </c>
      <c r="B32" s="181" t="e">
        <f>B17</f>
        <v>#DIV/0!</v>
      </c>
      <c r="C32" s="287" t="e">
        <f>B18</f>
        <v>#DIV/0!</v>
      </c>
    </row>
    <row r="33" spans="1:11" x14ac:dyDescent="0.2">
      <c r="B33" s="97"/>
      <c r="C33" s="128"/>
    </row>
    <row r="35" spans="1:11" x14ac:dyDescent="0.2">
      <c r="A35" t="s">
        <v>140</v>
      </c>
    </row>
    <row r="37" spans="1:11" x14ac:dyDescent="0.2">
      <c r="B37" s="97" t="s">
        <v>672</v>
      </c>
    </row>
    <row r="38" spans="1:11" x14ac:dyDescent="0.2">
      <c r="A38" s="130"/>
      <c r="B38" s="181" t="s">
        <v>671</v>
      </c>
      <c r="C38" s="181" t="s">
        <v>670</v>
      </c>
    </row>
    <row r="39" spans="1:11" x14ac:dyDescent="0.2">
      <c r="A39" s="130" t="s">
        <v>163</v>
      </c>
      <c r="B39" s="181" t="e">
        <f>2*B32</f>
        <v>#DIV/0!</v>
      </c>
      <c r="C39" s="287" t="e">
        <f>C32</f>
        <v>#DIV/0!</v>
      </c>
    </row>
    <row r="40" spans="1:11" s="238" customFormat="1" x14ac:dyDescent="0.2">
      <c r="B40" s="164"/>
      <c r="C40" s="422"/>
    </row>
    <row r="41" spans="1:11" x14ac:dyDescent="0.2">
      <c r="B41" s="97"/>
      <c r="C41" s="128"/>
    </row>
    <row r="42" spans="1:11" x14ac:dyDescent="0.2">
      <c r="A42" s="1" t="s">
        <v>545</v>
      </c>
    </row>
    <row r="43" spans="1:11" x14ac:dyDescent="0.2">
      <c r="A43" t="s">
        <v>150</v>
      </c>
    </row>
    <row r="45" spans="1:11" ht="20" x14ac:dyDescent="0.25">
      <c r="B45" s="639" t="s">
        <v>675</v>
      </c>
      <c r="C45" s="639"/>
      <c r="D45" s="639"/>
    </row>
    <row r="46" spans="1:11" ht="18" x14ac:dyDescent="0.25">
      <c r="A46" s="130"/>
      <c r="B46" s="476" t="s">
        <v>164</v>
      </c>
      <c r="C46" s="476" t="s">
        <v>674</v>
      </c>
      <c r="D46" s="476" t="s">
        <v>673</v>
      </c>
      <c r="H46" s="97"/>
      <c r="I46" s="97"/>
      <c r="J46" s="97"/>
      <c r="K46" s="97"/>
    </row>
    <row r="47" spans="1:11" x14ac:dyDescent="0.2">
      <c r="A47" s="130" t="s">
        <v>163</v>
      </c>
      <c r="B47" s="181"/>
      <c r="C47" s="287"/>
      <c r="D47" s="130"/>
      <c r="E47" s="3" t="s">
        <v>695</v>
      </c>
      <c r="J47" s="97"/>
      <c r="K47" s="97"/>
    </row>
    <row r="48" spans="1:11" x14ac:dyDescent="0.2">
      <c r="B48" s="97"/>
      <c r="C48" s="128"/>
      <c r="H48" s="97"/>
      <c r="I48" s="97"/>
    </row>
    <row r="50" spans="1:6" x14ac:dyDescent="0.2">
      <c r="A50" s="3" t="s">
        <v>141</v>
      </c>
    </row>
    <row r="51" spans="1:6" x14ac:dyDescent="0.2">
      <c r="A51" s="3"/>
    </row>
    <row r="52" spans="1:6" ht="18" x14ac:dyDescent="0.25">
      <c r="B52" s="164" t="s">
        <v>692</v>
      </c>
      <c r="C52" s="238"/>
    </row>
    <row r="53" spans="1:6" ht="18" x14ac:dyDescent="0.25">
      <c r="A53" s="130"/>
      <c r="B53" s="476" t="s">
        <v>674</v>
      </c>
      <c r="C53" s="476" t="s">
        <v>693</v>
      </c>
      <c r="F53" s="97"/>
    </row>
    <row r="54" spans="1:6" x14ac:dyDescent="0.2">
      <c r="A54" s="130" t="s">
        <v>163</v>
      </c>
      <c r="B54" s="287">
        <f>C47</f>
        <v>0</v>
      </c>
      <c r="C54" s="181">
        <f>2*D47</f>
        <v>0</v>
      </c>
      <c r="F54" s="97"/>
    </row>
    <row r="55" spans="1:6" x14ac:dyDescent="0.2">
      <c r="B55" s="97"/>
      <c r="C55" s="97"/>
    </row>
    <row r="56" spans="1:6" s="238" customFormat="1" x14ac:dyDescent="0.2">
      <c r="C56" s="164"/>
      <c r="D56" s="164"/>
    </row>
    <row r="58" spans="1:6" x14ac:dyDescent="0.2">
      <c r="A58" s="125" t="s">
        <v>677</v>
      </c>
    </row>
    <row r="59" spans="1:6" x14ac:dyDescent="0.2">
      <c r="A59" s="132" t="s">
        <v>678</v>
      </c>
    </row>
    <row r="60" spans="1:6" x14ac:dyDescent="0.2">
      <c r="A60" s="116"/>
      <c r="B60" s="116"/>
      <c r="C60" s="116"/>
    </row>
    <row r="61" spans="1:6" x14ac:dyDescent="0.2">
      <c r="A61" s="420"/>
      <c r="B61" s="420" t="s">
        <v>153</v>
      </c>
      <c r="C61" s="420" t="s">
        <v>154</v>
      </c>
    </row>
    <row r="62" spans="1:6" x14ac:dyDescent="0.2">
      <c r="A62" s="417" t="s">
        <v>152</v>
      </c>
      <c r="B62" s="420">
        <v>2.25</v>
      </c>
      <c r="C62" s="420" t="e">
        <f>B17*B62+B18</f>
        <v>#DIV/0!</v>
      </c>
    </row>
    <row r="64" spans="1:6" x14ac:dyDescent="0.2">
      <c r="A64" s="3" t="s">
        <v>680</v>
      </c>
    </row>
    <row r="65" spans="1:3" x14ac:dyDescent="0.2">
      <c r="A65" s="413" t="s">
        <v>157</v>
      </c>
      <c r="B65" s="130" t="e">
        <f>B32*B62^2+C32*B62</f>
        <v>#DIV/0!</v>
      </c>
    </row>
    <row r="66" spans="1:3" x14ac:dyDescent="0.2">
      <c r="A66" s="413" t="s">
        <v>158</v>
      </c>
      <c r="B66" s="130" t="e">
        <f>B39*B62+C39</f>
        <v>#DIV/0!</v>
      </c>
    </row>
    <row r="67" spans="1:3" x14ac:dyDescent="0.2">
      <c r="A67" s="413" t="s">
        <v>160</v>
      </c>
      <c r="B67" s="130">
        <f>B47+C47*B62+D47*B62^2</f>
        <v>0</v>
      </c>
    </row>
    <row r="68" spans="1:3" x14ac:dyDescent="0.2">
      <c r="A68" s="413" t="s">
        <v>679</v>
      </c>
      <c r="B68" s="413" t="e">
        <f>B65-B67</f>
        <v>#DIV/0!</v>
      </c>
    </row>
    <row r="69" spans="1:3" x14ac:dyDescent="0.2">
      <c r="A69" s="413" t="s">
        <v>156</v>
      </c>
      <c r="B69" s="419" t="e">
        <f>B24*C62/B62</f>
        <v>#DIV/0!</v>
      </c>
    </row>
    <row r="70" spans="1:3" x14ac:dyDescent="0.2">
      <c r="B70" s="3"/>
      <c r="C70" s="97"/>
    </row>
    <row r="72" spans="1:3" x14ac:dyDescent="0.2">
      <c r="A72" s="418" t="s">
        <v>682</v>
      </c>
    </row>
    <row r="73" spans="1:3" x14ac:dyDescent="0.2">
      <c r="A73" s="413" t="s">
        <v>155</v>
      </c>
      <c r="B73" s="130" t="e">
        <f>(C47-C39)/(2*B32-2*D47)</f>
        <v>#DIV/0!</v>
      </c>
      <c r="C73" s="144"/>
    </row>
    <row r="74" spans="1:3" x14ac:dyDescent="0.2">
      <c r="A74" s="417" t="s">
        <v>228</v>
      </c>
      <c r="B74" s="130" t="e">
        <f>B17*B73+B18</f>
        <v>#DIV/0!</v>
      </c>
    </row>
    <row r="75" spans="1:3" x14ac:dyDescent="0.2">
      <c r="A75" s="417" t="s">
        <v>681</v>
      </c>
      <c r="B75" s="130" t="e">
        <f>B32*B73^2+C32*B73-(B47+C47*B73+D47*B73^2)</f>
        <v>#DIV/0!</v>
      </c>
    </row>
    <row r="77" spans="1:3" x14ac:dyDescent="0.2">
      <c r="A77" s="3" t="s">
        <v>62</v>
      </c>
    </row>
    <row r="78" spans="1:3" x14ac:dyDescent="0.2">
      <c r="A78" t="s">
        <v>166</v>
      </c>
    </row>
    <row r="79" spans="1:3" x14ac:dyDescent="0.2">
      <c r="A79" s="130" t="s">
        <v>142</v>
      </c>
      <c r="B79" s="130">
        <f>B62</f>
        <v>2.25</v>
      </c>
    </row>
    <row r="80" spans="1:3" x14ac:dyDescent="0.2">
      <c r="A80" s="130" t="s">
        <v>168</v>
      </c>
      <c r="B80" s="130" t="e">
        <f>($B$17*B79+$B$18)*B79</f>
        <v>#DIV/0!</v>
      </c>
    </row>
    <row r="81" spans="1:13" x14ac:dyDescent="0.2">
      <c r="A81" s="130" t="s">
        <v>167</v>
      </c>
      <c r="B81" s="130">
        <f>C47*B79+D47*B79^2</f>
        <v>0</v>
      </c>
    </row>
    <row r="82" spans="1:13" x14ac:dyDescent="0.2">
      <c r="A82" s="130" t="s">
        <v>169</v>
      </c>
      <c r="B82" s="130" t="e">
        <f>B80-B81</f>
        <v>#DIV/0!</v>
      </c>
    </row>
    <row r="84" spans="1:13" s="238" customFormat="1" ht="17.25" customHeight="1" x14ac:dyDescent="0.2"/>
    <row r="87" spans="1:13" x14ac:dyDescent="0.2">
      <c r="A87" s="1" t="s">
        <v>683</v>
      </c>
      <c r="B87" s="174" t="s">
        <v>345</v>
      </c>
    </row>
    <row r="88" spans="1:13" x14ac:dyDescent="0.2">
      <c r="A88" s="97" t="s">
        <v>153</v>
      </c>
      <c r="B88" t="s">
        <v>146</v>
      </c>
      <c r="C88" t="s">
        <v>147</v>
      </c>
      <c r="D88" t="s">
        <v>157</v>
      </c>
      <c r="E88" t="s">
        <v>158</v>
      </c>
      <c r="G88" t="s">
        <v>160</v>
      </c>
      <c r="H88" t="s">
        <v>226</v>
      </c>
      <c r="I88" t="s">
        <v>161</v>
      </c>
      <c r="J88" t="s">
        <v>159</v>
      </c>
      <c r="K88" t="s">
        <v>227</v>
      </c>
    </row>
    <row r="89" spans="1:13" x14ac:dyDescent="0.2">
      <c r="A89" s="96">
        <v>0</v>
      </c>
      <c r="B89" s="96" t="e">
        <f>$B$17*A89+$B$18</f>
        <v>#DIV/0!</v>
      </c>
      <c r="C89" s="145" t="e">
        <f>$C$17*A89+$C$18</f>
        <v>#DIV/0!</v>
      </c>
      <c r="D89" s="96" t="e">
        <f>B89*A89</f>
        <v>#DIV/0!</v>
      </c>
      <c r="E89" s="96" t="e">
        <f>2*$B$17*A89+$B$18</f>
        <v>#DIV/0!</v>
      </c>
      <c r="G89" s="202">
        <f>$B$47+$D$47*A89^2+$C$47*A89</f>
        <v>0</v>
      </c>
      <c r="I89" s="173">
        <f>$B$54+$C$54*A89</f>
        <v>0</v>
      </c>
      <c r="J89" s="96" t="e">
        <f>D89-G89</f>
        <v>#DIV/0!</v>
      </c>
    </row>
    <row r="90" spans="1:13" x14ac:dyDescent="0.2">
      <c r="A90" s="96">
        <v>1</v>
      </c>
      <c r="B90" s="96" t="e">
        <f>$B$17*A90+$B$18</f>
        <v>#DIV/0!</v>
      </c>
      <c r="C90" s="145" t="e">
        <f>$C$17*A90+$C$18</f>
        <v>#DIV/0!</v>
      </c>
      <c r="D90" s="96" t="e">
        <f>B90*A90</f>
        <v>#DIV/0!</v>
      </c>
      <c r="E90" s="96" t="e">
        <f>$B$39*A90+$C$39</f>
        <v>#DIV/0!</v>
      </c>
      <c r="G90" s="202">
        <f t="shared" ref="G90:G104" si="0">$B$47+$D$47*A90^2+$C$47*A90</f>
        <v>0</v>
      </c>
      <c r="H90" s="142">
        <f>G90/A90</f>
        <v>0</v>
      </c>
      <c r="I90" s="173">
        <f t="shared" ref="I90:I104" si="1">$B$54+$C$54*A90</f>
        <v>0</v>
      </c>
      <c r="J90" s="96" t="e">
        <f>D90-G90</f>
        <v>#DIV/0!</v>
      </c>
      <c r="K90" s="142" t="e">
        <f t="shared" ref="K90:K104" si="2">-$C$17*B90/A90</f>
        <v>#DIV/0!</v>
      </c>
      <c r="M90" s="173"/>
    </row>
    <row r="91" spans="1:13" x14ac:dyDescent="0.2">
      <c r="A91" s="96">
        <v>2</v>
      </c>
      <c r="B91" s="96" t="e">
        <f t="shared" ref="B91:B104" si="3">$B$17*A91+$B$18</f>
        <v>#DIV/0!</v>
      </c>
      <c r="C91" s="145" t="e">
        <f t="shared" ref="C91:C104" si="4">$C$17*A91+$C$18</f>
        <v>#DIV/0!</v>
      </c>
      <c r="D91" s="96" t="e">
        <f t="shared" ref="D91:D104" si="5">B91*A91</f>
        <v>#DIV/0!</v>
      </c>
      <c r="E91" s="96" t="e">
        <f t="shared" ref="E91:E104" si="6">2*$B$17*A91+$B$18</f>
        <v>#DIV/0!</v>
      </c>
      <c r="G91" s="202">
        <f t="shared" si="0"/>
        <v>0</v>
      </c>
      <c r="H91" s="142">
        <f>G91/A91</f>
        <v>0</v>
      </c>
      <c r="I91" s="173">
        <f t="shared" si="1"/>
        <v>0</v>
      </c>
      <c r="J91" s="96" t="e">
        <f t="shared" ref="J91:J104" si="7">D91-G91</f>
        <v>#DIV/0!</v>
      </c>
      <c r="K91" s="142" t="e">
        <f t="shared" si="2"/>
        <v>#DIV/0!</v>
      </c>
    </row>
    <row r="92" spans="1:13" x14ac:dyDescent="0.2">
      <c r="A92" s="96">
        <v>3</v>
      </c>
      <c r="B92" s="96" t="e">
        <f t="shared" si="3"/>
        <v>#DIV/0!</v>
      </c>
      <c r="C92" s="145" t="e">
        <f t="shared" si="4"/>
        <v>#DIV/0!</v>
      </c>
      <c r="D92" s="96" t="e">
        <f t="shared" si="5"/>
        <v>#DIV/0!</v>
      </c>
      <c r="E92" s="96" t="e">
        <f>2*$B$17*A92+$B$18</f>
        <v>#DIV/0!</v>
      </c>
      <c r="G92" s="202">
        <f t="shared" si="0"/>
        <v>0</v>
      </c>
      <c r="H92" s="142">
        <f t="shared" ref="H92:H104" si="8">G92/A92</f>
        <v>0</v>
      </c>
      <c r="I92" s="173">
        <f t="shared" si="1"/>
        <v>0</v>
      </c>
      <c r="J92" s="96" t="e">
        <f t="shared" si="7"/>
        <v>#DIV/0!</v>
      </c>
      <c r="K92" s="142" t="e">
        <f t="shared" si="2"/>
        <v>#DIV/0!</v>
      </c>
    </row>
    <row r="93" spans="1:13" x14ac:dyDescent="0.2">
      <c r="A93" s="96">
        <v>4</v>
      </c>
      <c r="B93" s="96" t="e">
        <f t="shared" si="3"/>
        <v>#DIV/0!</v>
      </c>
      <c r="C93" s="145" t="e">
        <f t="shared" si="4"/>
        <v>#DIV/0!</v>
      </c>
      <c r="D93" s="96" t="e">
        <f t="shared" si="5"/>
        <v>#DIV/0!</v>
      </c>
      <c r="E93" s="96" t="e">
        <f t="shared" si="6"/>
        <v>#DIV/0!</v>
      </c>
      <c r="G93" s="202">
        <f t="shared" si="0"/>
        <v>0</v>
      </c>
      <c r="H93" s="142">
        <f t="shared" si="8"/>
        <v>0</v>
      </c>
      <c r="I93" s="173">
        <f t="shared" si="1"/>
        <v>0</v>
      </c>
      <c r="J93" s="96" t="e">
        <f t="shared" si="7"/>
        <v>#DIV/0!</v>
      </c>
      <c r="K93" s="142" t="e">
        <f t="shared" si="2"/>
        <v>#DIV/0!</v>
      </c>
    </row>
    <row r="94" spans="1:13" x14ac:dyDescent="0.2">
      <c r="A94" s="96">
        <v>5</v>
      </c>
      <c r="B94" s="96" t="e">
        <f t="shared" si="3"/>
        <v>#DIV/0!</v>
      </c>
      <c r="C94" s="145" t="e">
        <f t="shared" si="4"/>
        <v>#DIV/0!</v>
      </c>
      <c r="D94" s="96" t="e">
        <f t="shared" si="5"/>
        <v>#DIV/0!</v>
      </c>
      <c r="E94" s="96" t="e">
        <f>2*$B$17*A94+$B$18</f>
        <v>#DIV/0!</v>
      </c>
      <c r="G94" s="202">
        <f t="shared" si="0"/>
        <v>0</v>
      </c>
      <c r="H94" s="142">
        <f t="shared" si="8"/>
        <v>0</v>
      </c>
      <c r="I94" s="173">
        <f t="shared" si="1"/>
        <v>0</v>
      </c>
      <c r="J94" s="96" t="e">
        <f t="shared" si="7"/>
        <v>#DIV/0!</v>
      </c>
      <c r="K94" s="142" t="e">
        <f t="shared" si="2"/>
        <v>#DIV/0!</v>
      </c>
    </row>
    <row r="95" spans="1:13" x14ac:dyDescent="0.2">
      <c r="A95" s="96">
        <v>6</v>
      </c>
      <c r="B95" s="96" t="e">
        <f t="shared" si="3"/>
        <v>#DIV/0!</v>
      </c>
      <c r="C95" s="145" t="e">
        <f t="shared" si="4"/>
        <v>#DIV/0!</v>
      </c>
      <c r="D95" s="96" t="e">
        <f t="shared" si="5"/>
        <v>#DIV/0!</v>
      </c>
      <c r="E95" s="96" t="e">
        <f t="shared" si="6"/>
        <v>#DIV/0!</v>
      </c>
      <c r="G95" s="202">
        <f t="shared" si="0"/>
        <v>0</v>
      </c>
      <c r="H95" s="142">
        <f t="shared" si="8"/>
        <v>0</v>
      </c>
      <c r="I95" s="173">
        <f t="shared" si="1"/>
        <v>0</v>
      </c>
      <c r="J95" s="96" t="e">
        <f t="shared" si="7"/>
        <v>#DIV/0!</v>
      </c>
      <c r="K95" s="142" t="e">
        <f t="shared" si="2"/>
        <v>#DIV/0!</v>
      </c>
    </row>
    <row r="96" spans="1:13" x14ac:dyDescent="0.2">
      <c r="A96" s="96">
        <v>7</v>
      </c>
      <c r="B96" s="96" t="e">
        <f t="shared" si="3"/>
        <v>#DIV/0!</v>
      </c>
      <c r="C96" s="145" t="e">
        <f t="shared" si="4"/>
        <v>#DIV/0!</v>
      </c>
      <c r="D96" s="96" t="e">
        <f t="shared" si="5"/>
        <v>#DIV/0!</v>
      </c>
      <c r="E96" s="96" t="e">
        <f t="shared" si="6"/>
        <v>#DIV/0!</v>
      </c>
      <c r="G96" s="202">
        <f t="shared" si="0"/>
        <v>0</v>
      </c>
      <c r="H96" s="142">
        <f t="shared" si="8"/>
        <v>0</v>
      </c>
      <c r="I96" s="173">
        <f t="shared" si="1"/>
        <v>0</v>
      </c>
      <c r="J96" s="96" t="e">
        <f t="shared" si="7"/>
        <v>#DIV/0!</v>
      </c>
      <c r="K96" s="142" t="e">
        <f t="shared" si="2"/>
        <v>#DIV/0!</v>
      </c>
    </row>
    <row r="97" spans="1:11" x14ac:dyDescent="0.2">
      <c r="A97" s="96">
        <v>8</v>
      </c>
      <c r="B97" s="96" t="e">
        <f t="shared" si="3"/>
        <v>#DIV/0!</v>
      </c>
      <c r="C97" s="145" t="e">
        <f t="shared" si="4"/>
        <v>#DIV/0!</v>
      </c>
      <c r="D97" s="96" t="e">
        <f t="shared" si="5"/>
        <v>#DIV/0!</v>
      </c>
      <c r="E97" s="96" t="e">
        <f t="shared" si="6"/>
        <v>#DIV/0!</v>
      </c>
      <c r="G97" s="202">
        <f t="shared" si="0"/>
        <v>0</v>
      </c>
      <c r="H97" s="142">
        <f t="shared" si="8"/>
        <v>0</v>
      </c>
      <c r="I97" s="173">
        <f t="shared" si="1"/>
        <v>0</v>
      </c>
      <c r="J97" s="96" t="e">
        <f t="shared" si="7"/>
        <v>#DIV/0!</v>
      </c>
      <c r="K97" s="142" t="e">
        <f t="shared" si="2"/>
        <v>#DIV/0!</v>
      </c>
    </row>
    <row r="98" spans="1:11" x14ac:dyDescent="0.2">
      <c r="A98" s="96">
        <v>9</v>
      </c>
      <c r="B98" s="96" t="e">
        <f t="shared" si="3"/>
        <v>#DIV/0!</v>
      </c>
      <c r="C98" s="145" t="e">
        <f t="shared" si="4"/>
        <v>#DIV/0!</v>
      </c>
      <c r="D98" s="96" t="e">
        <f t="shared" si="5"/>
        <v>#DIV/0!</v>
      </c>
      <c r="E98" s="96" t="e">
        <f t="shared" si="6"/>
        <v>#DIV/0!</v>
      </c>
      <c r="G98" s="202">
        <f t="shared" si="0"/>
        <v>0</v>
      </c>
      <c r="H98" s="142">
        <f t="shared" si="8"/>
        <v>0</v>
      </c>
      <c r="I98" s="173">
        <f t="shared" si="1"/>
        <v>0</v>
      </c>
      <c r="J98" s="96" t="e">
        <f t="shared" si="7"/>
        <v>#DIV/0!</v>
      </c>
      <c r="K98" s="142" t="e">
        <f t="shared" si="2"/>
        <v>#DIV/0!</v>
      </c>
    </row>
    <row r="99" spans="1:11" x14ac:dyDescent="0.2">
      <c r="A99" s="96">
        <v>10</v>
      </c>
      <c r="B99" s="96" t="e">
        <f t="shared" si="3"/>
        <v>#DIV/0!</v>
      </c>
      <c r="C99" s="145" t="e">
        <f t="shared" si="4"/>
        <v>#DIV/0!</v>
      </c>
      <c r="D99" s="96" t="e">
        <f t="shared" si="5"/>
        <v>#DIV/0!</v>
      </c>
      <c r="E99" s="96" t="e">
        <f t="shared" si="6"/>
        <v>#DIV/0!</v>
      </c>
      <c r="G99" s="202">
        <f t="shared" si="0"/>
        <v>0</v>
      </c>
      <c r="H99" s="142">
        <f t="shared" si="8"/>
        <v>0</v>
      </c>
      <c r="I99" s="173">
        <f t="shared" si="1"/>
        <v>0</v>
      </c>
      <c r="J99" s="96" t="e">
        <f t="shared" si="7"/>
        <v>#DIV/0!</v>
      </c>
      <c r="K99" s="142" t="e">
        <f>-$C$17*B99/A99</f>
        <v>#DIV/0!</v>
      </c>
    </row>
    <row r="100" spans="1:11" x14ac:dyDescent="0.2">
      <c r="A100" s="96">
        <v>11</v>
      </c>
      <c r="B100" s="96" t="e">
        <f t="shared" si="3"/>
        <v>#DIV/0!</v>
      </c>
      <c r="C100" s="145" t="e">
        <f t="shared" si="4"/>
        <v>#DIV/0!</v>
      </c>
      <c r="D100" s="96" t="e">
        <f t="shared" si="5"/>
        <v>#DIV/0!</v>
      </c>
      <c r="E100" s="96" t="e">
        <f t="shared" si="6"/>
        <v>#DIV/0!</v>
      </c>
      <c r="G100" s="202">
        <f t="shared" si="0"/>
        <v>0</v>
      </c>
      <c r="H100" s="142">
        <f t="shared" si="8"/>
        <v>0</v>
      </c>
      <c r="I100" s="173">
        <f t="shared" si="1"/>
        <v>0</v>
      </c>
      <c r="J100" s="96" t="e">
        <f t="shared" si="7"/>
        <v>#DIV/0!</v>
      </c>
      <c r="K100" s="142" t="e">
        <f t="shared" si="2"/>
        <v>#DIV/0!</v>
      </c>
    </row>
    <row r="101" spans="1:11" x14ac:dyDescent="0.2">
      <c r="A101" s="96">
        <v>12</v>
      </c>
      <c r="B101" s="96" t="e">
        <f t="shared" si="3"/>
        <v>#DIV/0!</v>
      </c>
      <c r="C101" s="145" t="e">
        <f t="shared" si="4"/>
        <v>#DIV/0!</v>
      </c>
      <c r="D101" s="96" t="e">
        <f t="shared" si="5"/>
        <v>#DIV/0!</v>
      </c>
      <c r="E101" s="96" t="e">
        <f t="shared" si="6"/>
        <v>#DIV/0!</v>
      </c>
      <c r="G101" s="202">
        <f t="shared" si="0"/>
        <v>0</v>
      </c>
      <c r="H101" s="142">
        <f t="shared" si="8"/>
        <v>0</v>
      </c>
      <c r="I101" s="173">
        <f t="shared" si="1"/>
        <v>0</v>
      </c>
      <c r="J101" s="96" t="e">
        <f t="shared" si="7"/>
        <v>#DIV/0!</v>
      </c>
      <c r="K101" s="142" t="e">
        <f t="shared" si="2"/>
        <v>#DIV/0!</v>
      </c>
    </row>
    <row r="102" spans="1:11" x14ac:dyDescent="0.2">
      <c r="A102" s="96">
        <v>13</v>
      </c>
      <c r="B102" s="96" t="e">
        <f t="shared" si="3"/>
        <v>#DIV/0!</v>
      </c>
      <c r="C102" s="145" t="e">
        <f t="shared" si="4"/>
        <v>#DIV/0!</v>
      </c>
      <c r="D102" s="96" t="e">
        <f t="shared" si="5"/>
        <v>#DIV/0!</v>
      </c>
      <c r="E102" s="96" t="e">
        <f t="shared" si="6"/>
        <v>#DIV/0!</v>
      </c>
      <c r="G102" s="202">
        <f t="shared" si="0"/>
        <v>0</v>
      </c>
      <c r="H102" s="142">
        <f t="shared" si="8"/>
        <v>0</v>
      </c>
      <c r="I102" s="173">
        <f t="shared" si="1"/>
        <v>0</v>
      </c>
      <c r="J102" s="96" t="e">
        <f t="shared" si="7"/>
        <v>#DIV/0!</v>
      </c>
      <c r="K102" s="142" t="e">
        <f t="shared" si="2"/>
        <v>#DIV/0!</v>
      </c>
    </row>
    <row r="103" spans="1:11" x14ac:dyDescent="0.2">
      <c r="A103" s="96">
        <v>14</v>
      </c>
      <c r="B103" s="96" t="e">
        <f t="shared" si="3"/>
        <v>#DIV/0!</v>
      </c>
      <c r="C103" s="145" t="e">
        <f t="shared" si="4"/>
        <v>#DIV/0!</v>
      </c>
      <c r="D103" s="96" t="e">
        <f t="shared" si="5"/>
        <v>#DIV/0!</v>
      </c>
      <c r="E103" s="96" t="e">
        <f t="shared" si="6"/>
        <v>#DIV/0!</v>
      </c>
      <c r="G103" s="202">
        <f t="shared" si="0"/>
        <v>0</v>
      </c>
      <c r="H103" s="142">
        <f t="shared" si="8"/>
        <v>0</v>
      </c>
      <c r="I103" s="173">
        <f t="shared" si="1"/>
        <v>0</v>
      </c>
      <c r="J103" s="96" t="e">
        <f t="shared" si="7"/>
        <v>#DIV/0!</v>
      </c>
      <c r="K103" s="142" t="e">
        <f t="shared" si="2"/>
        <v>#DIV/0!</v>
      </c>
    </row>
    <row r="104" spans="1:11" x14ac:dyDescent="0.2">
      <c r="A104" s="96">
        <v>15</v>
      </c>
      <c r="B104" s="96" t="e">
        <f t="shared" si="3"/>
        <v>#DIV/0!</v>
      </c>
      <c r="C104" s="145" t="e">
        <f t="shared" si="4"/>
        <v>#DIV/0!</v>
      </c>
      <c r="D104" s="96" t="e">
        <f t="shared" si="5"/>
        <v>#DIV/0!</v>
      </c>
      <c r="E104" s="96" t="e">
        <f t="shared" si="6"/>
        <v>#DIV/0!</v>
      </c>
      <c r="G104" s="202">
        <f t="shared" si="0"/>
        <v>0</v>
      </c>
      <c r="H104" s="142">
        <f t="shared" si="8"/>
        <v>0</v>
      </c>
      <c r="I104" s="173">
        <f t="shared" si="1"/>
        <v>0</v>
      </c>
      <c r="J104" s="96" t="e">
        <f t="shared" si="7"/>
        <v>#DIV/0!</v>
      </c>
      <c r="K104" s="142" t="e">
        <f t="shared" si="2"/>
        <v>#DIV/0!</v>
      </c>
    </row>
    <row r="163" spans="1:1" ht="21" x14ac:dyDescent="0.25">
      <c r="A163" s="126"/>
    </row>
  </sheetData>
  <mergeCells count="3">
    <mergeCell ref="B22:D22"/>
    <mergeCell ref="B30:C30"/>
    <mergeCell ref="B45:D4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topLeftCell="E1" zoomScale="75" workbookViewId="0">
      <selection activeCell="F48" sqref="F48"/>
    </sheetView>
  </sheetViews>
  <sheetFormatPr baseColWidth="10" defaultColWidth="10.5" defaultRowHeight="16" x14ac:dyDescent="0.2"/>
  <cols>
    <col min="1" max="1" width="13.33203125" customWidth="1"/>
    <col min="5" max="5" width="7.33203125" customWidth="1"/>
    <col min="6" max="6" width="16.33203125" customWidth="1"/>
    <col min="7" max="7" width="8" customWidth="1"/>
    <col min="9" max="9" width="8.5" customWidth="1"/>
    <col min="10" max="10" width="13" customWidth="1"/>
    <col min="11" max="11" width="18.5" customWidth="1"/>
    <col min="12" max="12" width="9.33203125" customWidth="1"/>
    <col min="14" max="14" width="22" customWidth="1"/>
    <col min="15" max="15" width="12.83203125" bestFit="1" customWidth="1"/>
    <col min="16" max="16" width="12.33203125" bestFit="1" customWidth="1"/>
    <col min="17" max="17" width="12" bestFit="1" customWidth="1"/>
  </cols>
  <sheetData>
    <row r="1" spans="1:17" ht="19" x14ac:dyDescent="0.25">
      <c r="A1" s="135" t="s">
        <v>170</v>
      </c>
    </row>
    <row r="2" spans="1:17" x14ac:dyDescent="0.2">
      <c r="A2" t="s">
        <v>171</v>
      </c>
    </row>
    <row r="3" spans="1:17" x14ac:dyDescent="0.2">
      <c r="A3" t="s">
        <v>172</v>
      </c>
    </row>
    <row r="5" spans="1:17" x14ac:dyDescent="0.2">
      <c r="A5" s="1" t="s">
        <v>205</v>
      </c>
    </row>
    <row r="6" spans="1:17" x14ac:dyDescent="0.2">
      <c r="A6" s="132" t="s">
        <v>173</v>
      </c>
      <c r="K6" s="137"/>
      <c r="N6" s="1" t="s">
        <v>204</v>
      </c>
    </row>
    <row r="7" spans="1:17" x14ac:dyDescent="0.2">
      <c r="A7" s="132"/>
      <c r="K7" s="137"/>
      <c r="N7" s="3"/>
    </row>
    <row r="8" spans="1:17" x14ac:dyDescent="0.2">
      <c r="A8" t="s">
        <v>175</v>
      </c>
      <c r="B8" s="97" t="s">
        <v>106</v>
      </c>
      <c r="C8" s="97" t="s">
        <v>110</v>
      </c>
      <c r="D8" s="97" t="s">
        <v>106</v>
      </c>
      <c r="E8" s="97" t="s">
        <v>177</v>
      </c>
      <c r="F8" s="97" t="s">
        <v>178</v>
      </c>
      <c r="G8" s="97" t="s">
        <v>177</v>
      </c>
      <c r="H8" s="97" t="s">
        <v>32</v>
      </c>
      <c r="I8" s="97" t="s">
        <v>177</v>
      </c>
      <c r="J8" s="97" t="s">
        <v>179</v>
      </c>
      <c r="K8" s="137"/>
      <c r="O8" s="97">
        <v>2014</v>
      </c>
      <c r="P8" s="97">
        <v>2013</v>
      </c>
      <c r="Q8" s="97">
        <v>2012</v>
      </c>
    </row>
    <row r="9" spans="1:17" x14ac:dyDescent="0.2">
      <c r="B9" s="134" t="s">
        <v>174</v>
      </c>
      <c r="D9" s="134" t="s">
        <v>176</v>
      </c>
      <c r="F9" s="134" t="s">
        <v>32</v>
      </c>
      <c r="H9" s="134" t="s">
        <v>179</v>
      </c>
      <c r="J9" s="134" t="s">
        <v>98</v>
      </c>
      <c r="K9" s="137"/>
      <c r="M9" s="540" t="s">
        <v>106</v>
      </c>
      <c r="N9" s="540"/>
      <c r="O9" s="283"/>
      <c r="P9" s="283"/>
      <c r="Q9" s="283"/>
    </row>
    <row r="10" spans="1:17" x14ac:dyDescent="0.2">
      <c r="D10" s="116" t="s">
        <v>182</v>
      </c>
      <c r="F10" s="3" t="s">
        <v>180</v>
      </c>
      <c r="H10" s="116" t="s">
        <v>181</v>
      </c>
      <c r="J10" s="116" t="s">
        <v>183</v>
      </c>
      <c r="K10" s="137"/>
      <c r="M10" s="540" t="s">
        <v>194</v>
      </c>
      <c r="N10" s="540"/>
      <c r="O10" s="283"/>
      <c r="P10" s="283"/>
      <c r="Q10" s="283"/>
    </row>
    <row r="11" spans="1:17" x14ac:dyDescent="0.2">
      <c r="K11" s="137"/>
      <c r="M11" s="540" t="s">
        <v>98</v>
      </c>
      <c r="N11" s="540"/>
      <c r="O11" s="283"/>
      <c r="P11" s="283"/>
      <c r="Q11" s="283"/>
    </row>
    <row r="12" spans="1:17" x14ac:dyDescent="0.2">
      <c r="K12" s="137"/>
      <c r="M12" s="540" t="s">
        <v>32</v>
      </c>
      <c r="N12" s="540"/>
      <c r="O12" s="283"/>
      <c r="P12" s="283"/>
      <c r="Q12" s="283"/>
    </row>
    <row r="13" spans="1:17" x14ac:dyDescent="0.2">
      <c r="A13" t="s">
        <v>207</v>
      </c>
      <c r="K13" s="137"/>
      <c r="M13" s="540" t="s">
        <v>472</v>
      </c>
      <c r="N13" s="540"/>
      <c r="O13" s="283"/>
      <c r="P13" s="283"/>
      <c r="Q13" s="283"/>
    </row>
    <row r="14" spans="1:17" x14ac:dyDescent="0.2">
      <c r="K14" s="137"/>
      <c r="M14" s="540" t="s">
        <v>536</v>
      </c>
      <c r="N14" s="540"/>
      <c r="O14" s="283"/>
      <c r="P14" s="283"/>
      <c r="Q14" s="283"/>
    </row>
    <row r="15" spans="1:17" x14ac:dyDescent="0.2">
      <c r="A15" s="131" t="s">
        <v>180</v>
      </c>
      <c r="K15" s="137"/>
      <c r="M15" s="540" t="s">
        <v>480</v>
      </c>
      <c r="N15" s="540"/>
      <c r="O15" s="283"/>
      <c r="P15" s="283"/>
      <c r="Q15" s="283"/>
    </row>
    <row r="16" spans="1:17" x14ac:dyDescent="0.2">
      <c r="A16" s="132" t="s">
        <v>184</v>
      </c>
      <c r="K16" s="137"/>
      <c r="M16" s="540" t="s">
        <v>481</v>
      </c>
      <c r="N16" s="540"/>
      <c r="O16" s="283"/>
      <c r="P16" s="283"/>
      <c r="Q16" s="283"/>
    </row>
    <row r="17" spans="1:17" ht="31" customHeight="1" x14ac:dyDescent="0.2">
      <c r="A17" s="480" t="s">
        <v>201</v>
      </c>
      <c r="K17" s="137"/>
      <c r="M17" s="541" t="s">
        <v>482</v>
      </c>
      <c r="N17" s="542"/>
      <c r="O17" s="283"/>
      <c r="P17" s="283"/>
      <c r="Q17" s="283"/>
    </row>
    <row r="18" spans="1:17" x14ac:dyDescent="0.2">
      <c r="K18" s="137"/>
    </row>
    <row r="19" spans="1:17" x14ac:dyDescent="0.2">
      <c r="A19" s="131" t="s">
        <v>185</v>
      </c>
      <c r="K19" s="137"/>
    </row>
    <row r="20" spans="1:17" x14ac:dyDescent="0.2">
      <c r="A20" s="132" t="s">
        <v>186</v>
      </c>
      <c r="K20" s="137"/>
      <c r="M20" s="544"/>
      <c r="N20" s="545"/>
      <c r="O20" s="181">
        <v>2014</v>
      </c>
      <c r="P20" s="181">
        <v>2013</v>
      </c>
      <c r="Q20" s="181">
        <v>2012</v>
      </c>
    </row>
    <row r="21" spans="1:17" x14ac:dyDescent="0.2">
      <c r="A21" s="132" t="s">
        <v>202</v>
      </c>
      <c r="K21" s="137"/>
      <c r="M21" s="543" t="s">
        <v>376</v>
      </c>
      <c r="N21" s="543"/>
      <c r="O21" s="284" t="e">
        <f>O9/O11</f>
        <v>#DIV/0!</v>
      </c>
      <c r="P21" s="284" t="e">
        <f>P9/P11</f>
        <v>#DIV/0!</v>
      </c>
      <c r="Q21" s="284" t="e">
        <f>Q9/Q11</f>
        <v>#DIV/0!</v>
      </c>
    </row>
    <row r="22" spans="1:17" x14ac:dyDescent="0.2">
      <c r="K22" s="137"/>
      <c r="M22" s="543" t="s">
        <v>180</v>
      </c>
      <c r="N22" s="543"/>
      <c r="O22" s="186" t="e">
        <f>(O9+O10)/O12</f>
        <v>#DIV/0!</v>
      </c>
      <c r="P22" s="186" t="e">
        <f>(P9+P10)/P12</f>
        <v>#DIV/0!</v>
      </c>
      <c r="Q22" s="186" t="e">
        <f>(Q9+Q10)/Q12</f>
        <v>#DIV/0!</v>
      </c>
    </row>
    <row r="23" spans="1:17" x14ac:dyDescent="0.2">
      <c r="A23" s="131" t="s">
        <v>213</v>
      </c>
      <c r="K23" s="137"/>
      <c r="M23" s="543" t="s">
        <v>185</v>
      </c>
      <c r="N23" s="543"/>
      <c r="O23" s="186" t="e">
        <f>O12/O13</f>
        <v>#DIV/0!</v>
      </c>
      <c r="P23" s="186" t="e">
        <f>P12/P13</f>
        <v>#DIV/0!</v>
      </c>
      <c r="Q23" s="186" t="e">
        <f>Q12/Q13</f>
        <v>#DIV/0!</v>
      </c>
    </row>
    <row r="24" spans="1:17" x14ac:dyDescent="0.2">
      <c r="A24" t="s">
        <v>187</v>
      </c>
      <c r="K24" s="137"/>
      <c r="M24" s="543" t="s">
        <v>473</v>
      </c>
      <c r="N24" s="543"/>
      <c r="O24" s="186" t="e">
        <f>O9/(O9+O10)</f>
        <v>#DIV/0!</v>
      </c>
      <c r="P24" s="186" t="e">
        <f>P9/(P9+P10)</f>
        <v>#DIV/0!</v>
      </c>
      <c r="Q24" s="186" t="e">
        <f>Q9/(Q9+Q10)</f>
        <v>#DIV/0!</v>
      </c>
    </row>
    <row r="25" spans="1:17" x14ac:dyDescent="0.2">
      <c r="A25" t="s">
        <v>198</v>
      </c>
      <c r="K25" s="137"/>
      <c r="M25" s="543" t="s">
        <v>474</v>
      </c>
      <c r="N25" s="543"/>
      <c r="O25" s="186" t="e">
        <f>O13/O11</f>
        <v>#DIV/0!</v>
      </c>
      <c r="P25" s="186" t="e">
        <f>P13/P11</f>
        <v>#DIV/0!</v>
      </c>
      <c r="Q25" s="186" t="e">
        <f>Q13/Q11</f>
        <v>#DIV/0!</v>
      </c>
    </row>
    <row r="26" spans="1:17" x14ac:dyDescent="0.2">
      <c r="A26" t="s">
        <v>203</v>
      </c>
      <c r="K26" s="137"/>
      <c r="M26" s="543" t="s">
        <v>475</v>
      </c>
      <c r="N26" s="543"/>
      <c r="O26" s="284" t="e">
        <f>(O9+O10)/O13</f>
        <v>#DIV/0!</v>
      </c>
      <c r="P26" s="284" t="e">
        <f>(P9+P10)/P13</f>
        <v>#DIV/0!</v>
      </c>
      <c r="Q26" s="284" t="e">
        <f>(Q9+Q10)/Q13</f>
        <v>#DIV/0!</v>
      </c>
    </row>
    <row r="27" spans="1:17" x14ac:dyDescent="0.2">
      <c r="K27" s="137"/>
      <c r="M27" s="543" t="s">
        <v>476</v>
      </c>
      <c r="N27" s="543"/>
      <c r="O27" s="285" t="e">
        <f>(O14+O15)/O11</f>
        <v>#DIV/0!</v>
      </c>
      <c r="P27" s="285" t="e">
        <f t="shared" ref="P27:Q27" si="0">(P14+P15)/P11</f>
        <v>#DIV/0!</v>
      </c>
      <c r="Q27" s="285" t="e">
        <f t="shared" si="0"/>
        <v>#DIV/0!</v>
      </c>
    </row>
    <row r="28" spans="1:17" x14ac:dyDescent="0.2">
      <c r="B28" s="97" t="s">
        <v>106</v>
      </c>
      <c r="C28" s="97" t="s">
        <v>177</v>
      </c>
      <c r="D28" s="97" t="s">
        <v>179</v>
      </c>
      <c r="K28" s="137"/>
      <c r="M28" s="543" t="s">
        <v>484</v>
      </c>
      <c r="N28" s="543"/>
      <c r="O28" s="285" t="e">
        <f>O10/(O14+O15)</f>
        <v>#DIV/0!</v>
      </c>
      <c r="P28" s="285" t="e">
        <f t="shared" ref="P28:Q28" si="1">P10/(P14+P15)</f>
        <v>#DIV/0!</v>
      </c>
      <c r="Q28" s="285" t="e">
        <f t="shared" si="1"/>
        <v>#DIV/0!</v>
      </c>
    </row>
    <row r="29" spans="1:17" x14ac:dyDescent="0.2">
      <c r="B29" s="134" t="s">
        <v>176</v>
      </c>
      <c r="D29" s="134" t="s">
        <v>98</v>
      </c>
      <c r="K29" s="137"/>
    </row>
    <row r="30" spans="1:17" x14ac:dyDescent="0.2">
      <c r="K30" s="137"/>
    </row>
    <row r="31" spans="1:17" x14ac:dyDescent="0.2">
      <c r="A31" t="s">
        <v>188</v>
      </c>
      <c r="K31" s="137"/>
      <c r="M31" s="543" t="s">
        <v>478</v>
      </c>
      <c r="N31" s="543" t="s">
        <v>478</v>
      </c>
      <c r="O31" s="286" t="e">
        <f>O16/O15</f>
        <v>#DIV/0!</v>
      </c>
      <c r="P31" s="284" t="e">
        <f>P16/P15</f>
        <v>#DIV/0!</v>
      </c>
      <c r="Q31" s="284" t="e">
        <f>Q16/Q15</f>
        <v>#DIV/0!</v>
      </c>
    </row>
    <row r="32" spans="1:17" x14ac:dyDescent="0.2">
      <c r="K32" s="137"/>
      <c r="M32" s="546" t="s">
        <v>479</v>
      </c>
      <c r="N32" s="547"/>
      <c r="O32" s="287" t="e">
        <f>O17/O15</f>
        <v>#DIV/0!</v>
      </c>
      <c r="P32" s="186" t="e">
        <f>P17/P15</f>
        <v>#DIV/0!</v>
      </c>
      <c r="Q32" s="186" t="e">
        <f>Q17/Q15</f>
        <v>#DIV/0!</v>
      </c>
    </row>
    <row r="33" spans="1:17" x14ac:dyDescent="0.2">
      <c r="B33" s="550" t="s">
        <v>189</v>
      </c>
      <c r="C33" s="551" t="s">
        <v>190</v>
      </c>
      <c r="D33" s="549" t="s">
        <v>197</v>
      </c>
      <c r="E33" s="551" t="s">
        <v>178</v>
      </c>
      <c r="F33" s="551"/>
      <c r="G33" s="97" t="s">
        <v>192</v>
      </c>
      <c r="H33" s="97" t="s">
        <v>194</v>
      </c>
      <c r="I33" s="548" t="s">
        <v>196</v>
      </c>
      <c r="K33" s="137"/>
    </row>
    <row r="34" spans="1:17" ht="16" customHeight="1" x14ac:dyDescent="0.2">
      <c r="B34" s="550"/>
      <c r="C34" s="551"/>
      <c r="D34" s="549"/>
      <c r="E34" s="554" t="s">
        <v>195</v>
      </c>
      <c r="F34" s="555"/>
      <c r="H34" s="136" t="s">
        <v>193</v>
      </c>
      <c r="I34" s="548"/>
      <c r="K34" s="137"/>
      <c r="M34" s="543" t="s">
        <v>483</v>
      </c>
      <c r="N34" s="543"/>
      <c r="O34" s="234" t="e">
        <f>O11/(O11+(O14+O15))*O21+(O14+O15)/(O11+(O14+O15))*O28</f>
        <v>#DIV/0!</v>
      </c>
      <c r="P34" s="234" t="e">
        <f t="shared" ref="P34:Q34" si="2">P11/(P11+(P14+P15))*P21+(P14+P15)/(P11+(P14+P15))*P28</f>
        <v>#DIV/0!</v>
      </c>
      <c r="Q34" s="234" t="e">
        <f t="shared" si="2"/>
        <v>#DIV/0!</v>
      </c>
    </row>
    <row r="35" spans="1:17" ht="16" customHeight="1" x14ac:dyDescent="0.2">
      <c r="B35" s="550"/>
      <c r="C35" s="552" t="s">
        <v>191</v>
      </c>
      <c r="D35" s="549"/>
      <c r="E35" s="133"/>
      <c r="F35" s="555" t="s">
        <v>178</v>
      </c>
      <c r="G35" s="555"/>
      <c r="H35" s="133"/>
      <c r="I35" s="548"/>
      <c r="K35" s="137"/>
    </row>
    <row r="36" spans="1:17" x14ac:dyDescent="0.2">
      <c r="B36" s="550"/>
      <c r="C36" s="553"/>
      <c r="D36" s="549"/>
      <c r="F36" s="555" t="s">
        <v>195</v>
      </c>
      <c r="G36" s="555"/>
      <c r="I36" s="548"/>
      <c r="K36" s="137"/>
    </row>
    <row r="37" spans="1:17" x14ac:dyDescent="0.2">
      <c r="K37" s="137"/>
    </row>
    <row r="38" spans="1:17" x14ac:dyDescent="0.2">
      <c r="A38" t="s">
        <v>199</v>
      </c>
      <c r="K38" s="137"/>
    </row>
    <row r="39" spans="1:17" x14ac:dyDescent="0.2">
      <c r="K39" s="137"/>
    </row>
    <row r="40" spans="1:17" x14ac:dyDescent="0.2">
      <c r="A40" t="s">
        <v>200</v>
      </c>
      <c r="K40" s="137"/>
    </row>
    <row r="41" spans="1:17" x14ac:dyDescent="0.2">
      <c r="A41" t="s">
        <v>225</v>
      </c>
      <c r="K41" s="137"/>
    </row>
    <row r="42" spans="1:17" x14ac:dyDescent="0.2">
      <c r="K42" s="137"/>
    </row>
    <row r="43" spans="1:17" x14ac:dyDescent="0.2">
      <c r="K43" s="137"/>
    </row>
    <row r="44" spans="1:17" x14ac:dyDescent="0.2">
      <c r="K44" s="137"/>
    </row>
    <row r="45" spans="1:17" x14ac:dyDescent="0.2">
      <c r="A45" s="141" t="s">
        <v>214</v>
      </c>
      <c r="K45" s="137"/>
    </row>
    <row r="46" spans="1:17" x14ac:dyDescent="0.2">
      <c r="A46" s="539" t="s">
        <v>215</v>
      </c>
      <c r="B46" s="539"/>
      <c r="C46" s="539"/>
      <c r="D46" s="539"/>
      <c r="E46" s="539"/>
      <c r="F46" s="539"/>
      <c r="G46" s="539"/>
      <c r="H46" s="539"/>
      <c r="I46" s="539"/>
      <c r="J46" s="539"/>
      <c r="K46" s="137"/>
    </row>
    <row r="47" spans="1:17" x14ac:dyDescent="0.2">
      <c r="A47" s="539"/>
      <c r="B47" s="539"/>
      <c r="C47" s="539"/>
      <c r="D47" s="539"/>
      <c r="E47" s="539"/>
      <c r="F47" s="539"/>
      <c r="G47" s="539"/>
      <c r="H47" s="539"/>
      <c r="I47" s="539"/>
      <c r="J47" s="539"/>
      <c r="K47" s="137"/>
    </row>
    <row r="48" spans="1:17" x14ac:dyDescent="0.2">
      <c r="K48" s="137"/>
    </row>
    <row r="49" spans="1:11" x14ac:dyDescent="0.2">
      <c r="A49" s="3" t="s">
        <v>212</v>
      </c>
      <c r="K49" s="137"/>
    </row>
    <row r="50" spans="1:11" x14ac:dyDescent="0.2">
      <c r="A50" t="s">
        <v>216</v>
      </c>
      <c r="K50" s="137"/>
    </row>
    <row r="51" spans="1:11" x14ac:dyDescent="0.2">
      <c r="K51" s="137"/>
    </row>
    <row r="52" spans="1:11" x14ac:dyDescent="0.2">
      <c r="A52" t="s">
        <v>217</v>
      </c>
      <c r="C52" s="97" t="s">
        <v>210</v>
      </c>
      <c r="K52" s="137"/>
    </row>
    <row r="53" spans="1:11" x14ac:dyDescent="0.2">
      <c r="C53" s="134" t="s">
        <v>98</v>
      </c>
      <c r="K53" s="137"/>
    </row>
    <row r="54" spans="1:11" x14ac:dyDescent="0.2">
      <c r="K54" s="137"/>
    </row>
    <row r="55" spans="1:11" x14ac:dyDescent="0.2">
      <c r="A55" t="s">
        <v>218</v>
      </c>
      <c r="K55" s="137"/>
    </row>
    <row r="56" spans="1:11" x14ac:dyDescent="0.2">
      <c r="A56" t="s">
        <v>219</v>
      </c>
      <c r="K56" s="137"/>
    </row>
    <row r="57" spans="1:11" x14ac:dyDescent="0.2">
      <c r="K57" s="137"/>
    </row>
    <row r="58" spans="1:11" x14ac:dyDescent="0.2">
      <c r="A58" t="s">
        <v>220</v>
      </c>
      <c r="C58" s="97" t="s">
        <v>193</v>
      </c>
      <c r="K58" s="137"/>
    </row>
    <row r="59" spans="1:11" x14ac:dyDescent="0.2">
      <c r="C59" s="134" t="s">
        <v>98</v>
      </c>
      <c r="K59" s="137"/>
    </row>
    <row r="60" spans="1:11" x14ac:dyDescent="0.2">
      <c r="C60" s="97"/>
      <c r="K60" s="137"/>
    </row>
    <row r="61" spans="1:11" x14ac:dyDescent="0.2">
      <c r="C61" s="97"/>
      <c r="K61" s="137"/>
    </row>
    <row r="62" spans="1:11" x14ac:dyDescent="0.2">
      <c r="A62" s="3" t="s">
        <v>221</v>
      </c>
      <c r="C62" s="97"/>
      <c r="K62" s="137"/>
    </row>
    <row r="63" spans="1:11" x14ac:dyDescent="0.2">
      <c r="A63" t="s">
        <v>222</v>
      </c>
      <c r="C63" s="97"/>
      <c r="K63" s="137"/>
    </row>
    <row r="64" spans="1:11" x14ac:dyDescent="0.2">
      <c r="C64" s="97"/>
      <c r="K64" s="137"/>
    </row>
    <row r="65" spans="1:11" x14ac:dyDescent="0.2">
      <c r="A65" t="s">
        <v>223</v>
      </c>
      <c r="C65" s="97" t="s">
        <v>106</v>
      </c>
      <c r="K65" s="137"/>
    </row>
    <row r="66" spans="1:11" x14ac:dyDescent="0.2">
      <c r="C66" s="134" t="s">
        <v>224</v>
      </c>
      <c r="K66" s="137"/>
    </row>
    <row r="67" spans="1:11" x14ac:dyDescent="0.2">
      <c r="C67" s="97"/>
      <c r="K67" s="137"/>
    </row>
    <row r="68" spans="1:11" x14ac:dyDescent="0.2">
      <c r="C68" s="97"/>
      <c r="K68" s="137"/>
    </row>
    <row r="69" spans="1:11" x14ac:dyDescent="0.2">
      <c r="K69" s="137"/>
    </row>
    <row r="70" spans="1:11" x14ac:dyDescent="0.2">
      <c r="A70" s="1" t="s">
        <v>206</v>
      </c>
      <c r="K70" s="137"/>
    </row>
    <row r="71" spans="1:11" x14ac:dyDescent="0.2">
      <c r="A71" t="s">
        <v>211</v>
      </c>
      <c r="K71" s="137"/>
    </row>
    <row r="72" spans="1:11" x14ac:dyDescent="0.2">
      <c r="A72" s="138" t="s">
        <v>208</v>
      </c>
      <c r="K72" s="137"/>
    </row>
    <row r="73" spans="1:11" x14ac:dyDescent="0.2">
      <c r="K73" s="137"/>
    </row>
    <row r="74" spans="1:11" x14ac:dyDescent="0.2">
      <c r="A74" t="s">
        <v>209</v>
      </c>
      <c r="C74" s="139" t="s">
        <v>178</v>
      </c>
      <c r="K74" s="137"/>
    </row>
    <row r="75" spans="1:11" x14ac:dyDescent="0.2">
      <c r="C75" s="140" t="s">
        <v>210</v>
      </c>
      <c r="K75" s="137"/>
    </row>
    <row r="77" spans="1:11" x14ac:dyDescent="0.2">
      <c r="A77" t="s">
        <v>477</v>
      </c>
    </row>
    <row r="80" spans="1:11" x14ac:dyDescent="0.2">
      <c r="A80" s="1" t="s">
        <v>483</v>
      </c>
    </row>
    <row r="81" spans="1:8" x14ac:dyDescent="0.2">
      <c r="A81" s="539" t="s">
        <v>487</v>
      </c>
      <c r="B81" s="539"/>
      <c r="C81" s="539"/>
      <c r="D81" s="539"/>
      <c r="E81" s="539"/>
      <c r="F81" s="539"/>
      <c r="G81" s="539"/>
      <c r="H81" s="539"/>
    </row>
    <row r="82" spans="1:8" x14ac:dyDescent="0.2">
      <c r="A82" s="539"/>
      <c r="B82" s="539"/>
      <c r="C82" s="539"/>
      <c r="D82" s="539"/>
      <c r="E82" s="539"/>
      <c r="F82" s="539"/>
      <c r="G82" s="539"/>
      <c r="H82" s="539"/>
    </row>
    <row r="84" spans="1:8" x14ac:dyDescent="0.2">
      <c r="B84" s="138" t="s">
        <v>492</v>
      </c>
      <c r="C84" s="164" t="s">
        <v>98</v>
      </c>
      <c r="D84" s="97" t="s">
        <v>488</v>
      </c>
      <c r="E84" s="97" t="s">
        <v>489</v>
      </c>
      <c r="F84" s="164" t="s">
        <v>193</v>
      </c>
      <c r="G84" s="97" t="s">
        <v>491</v>
      </c>
    </row>
    <row r="85" spans="1:8" x14ac:dyDescent="0.2">
      <c r="C85" s="97" t="s">
        <v>732</v>
      </c>
      <c r="D85" s="97"/>
      <c r="E85" s="97"/>
      <c r="F85" s="97" t="s">
        <v>490</v>
      </c>
      <c r="G85" s="97"/>
    </row>
  </sheetData>
  <mergeCells count="32">
    <mergeCell ref="M32:N32"/>
    <mergeCell ref="I33:I36"/>
    <mergeCell ref="D33:D36"/>
    <mergeCell ref="B33:B36"/>
    <mergeCell ref="A46:J47"/>
    <mergeCell ref="C33:C34"/>
    <mergeCell ref="C35:C36"/>
    <mergeCell ref="E33:F33"/>
    <mergeCell ref="E34:F34"/>
    <mergeCell ref="F35:G35"/>
    <mergeCell ref="F36:G36"/>
    <mergeCell ref="M9:N9"/>
    <mergeCell ref="M10:N10"/>
    <mergeCell ref="M11:N11"/>
    <mergeCell ref="M12:N12"/>
    <mergeCell ref="M13:N13"/>
    <mergeCell ref="A81:H82"/>
    <mergeCell ref="M14:N14"/>
    <mergeCell ref="M15:N15"/>
    <mergeCell ref="M16:N16"/>
    <mergeCell ref="M17:N17"/>
    <mergeCell ref="M25:N25"/>
    <mergeCell ref="M26:N26"/>
    <mergeCell ref="M27:N27"/>
    <mergeCell ref="M20:N20"/>
    <mergeCell ref="M31:N31"/>
    <mergeCell ref="M28:N28"/>
    <mergeCell ref="M21:N21"/>
    <mergeCell ref="M22:N22"/>
    <mergeCell ref="M23:N23"/>
    <mergeCell ref="M24:N24"/>
    <mergeCell ref="M34:N34"/>
  </mergeCells>
  <phoneticPr fontId="32" type="noConversion"/>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78"/>
  <sheetViews>
    <sheetView zoomScale="55" zoomScaleNormal="55" zoomScalePageLayoutView="90" workbookViewId="0">
      <selection activeCell="H25" sqref="H25"/>
    </sheetView>
  </sheetViews>
  <sheetFormatPr baseColWidth="10" defaultColWidth="10.5" defaultRowHeight="16" x14ac:dyDescent="0.2"/>
  <cols>
    <col min="2" max="2" width="29" customWidth="1"/>
    <col min="3" max="3" width="9.33203125" customWidth="1"/>
    <col min="4" max="4" width="28" customWidth="1"/>
    <col min="5" max="6" width="11" customWidth="1"/>
    <col min="7" max="7" width="28.33203125" bestFit="1" customWidth="1"/>
    <col min="8" max="8" width="12" customWidth="1"/>
    <col min="9" max="9" width="25.5" bestFit="1" customWidth="1"/>
    <col min="14" max="14" width="24" bestFit="1" customWidth="1"/>
    <col min="15" max="15" width="15.5" customWidth="1"/>
  </cols>
  <sheetData>
    <row r="1" spans="1:10" x14ac:dyDescent="0.2">
      <c r="A1" s="1" t="s">
        <v>543</v>
      </c>
    </row>
    <row r="2" spans="1:10" x14ac:dyDescent="0.2">
      <c r="A2" t="s">
        <v>257</v>
      </c>
    </row>
    <row r="3" spans="1:10" x14ac:dyDescent="0.2">
      <c r="A3" t="s">
        <v>258</v>
      </c>
    </row>
    <row r="5" spans="1:10" x14ac:dyDescent="0.2">
      <c r="A5" s="539" t="s">
        <v>537</v>
      </c>
      <c r="B5" s="539"/>
      <c r="C5" s="539"/>
      <c r="D5" s="539"/>
      <c r="E5" s="539"/>
      <c r="F5" s="539"/>
      <c r="G5" s="539"/>
      <c r="H5" s="539"/>
    </row>
    <row r="6" spans="1:10" x14ac:dyDescent="0.2">
      <c r="A6" s="539"/>
      <c r="B6" s="539"/>
      <c r="C6" s="539"/>
      <c r="D6" s="539"/>
      <c r="E6" s="539"/>
      <c r="F6" s="539"/>
      <c r="G6" s="539"/>
      <c r="H6" s="539"/>
    </row>
    <row r="7" spans="1:10" x14ac:dyDescent="0.2">
      <c r="A7" s="539"/>
      <c r="B7" s="539"/>
      <c r="C7" s="539"/>
      <c r="D7" s="539"/>
      <c r="E7" s="539"/>
      <c r="F7" s="539"/>
      <c r="G7" s="539"/>
      <c r="H7" s="539"/>
    </row>
    <row r="9" spans="1:10" ht="19" x14ac:dyDescent="0.25">
      <c r="B9" s="557" t="s">
        <v>259</v>
      </c>
      <c r="C9" s="557"/>
      <c r="D9" s="557"/>
      <c r="E9" s="557"/>
      <c r="G9" s="558" t="s">
        <v>543</v>
      </c>
      <c r="H9" s="559"/>
      <c r="I9" s="559"/>
      <c r="J9" s="560"/>
    </row>
    <row r="10" spans="1:10" x14ac:dyDescent="0.2">
      <c r="B10" s="97" t="s">
        <v>539</v>
      </c>
      <c r="C10" s="340" t="s">
        <v>260</v>
      </c>
      <c r="D10" s="97" t="s">
        <v>540</v>
      </c>
      <c r="E10" s="198" t="s">
        <v>260</v>
      </c>
      <c r="G10" s="366" t="s">
        <v>56</v>
      </c>
      <c r="H10" s="367"/>
      <c r="I10" s="368" t="s">
        <v>261</v>
      </c>
      <c r="J10" s="369"/>
    </row>
    <row r="11" spans="1:10" x14ac:dyDescent="0.2">
      <c r="B11" s="3" t="s">
        <v>538</v>
      </c>
      <c r="C11" s="341"/>
      <c r="D11" s="342" t="s">
        <v>98</v>
      </c>
      <c r="G11" s="370" t="s">
        <v>263</v>
      </c>
      <c r="H11" s="371"/>
      <c r="I11" s="372" t="s">
        <v>59</v>
      </c>
      <c r="J11" s="373"/>
    </row>
    <row r="12" spans="1:10" x14ac:dyDescent="0.2">
      <c r="B12" s="153" t="s">
        <v>262</v>
      </c>
      <c r="C12" s="137"/>
      <c r="D12" s="153" t="s">
        <v>49</v>
      </c>
      <c r="G12" s="343" t="str">
        <f t="shared" ref="G12:I13" si="0">B12</f>
        <v>Goodwill</v>
      </c>
      <c r="H12" s="153">
        <f>C12</f>
        <v>0</v>
      </c>
      <c r="I12" s="155" t="str">
        <f t="shared" si="0"/>
        <v>Indskudt kapital</v>
      </c>
      <c r="J12" s="341">
        <f>E12</f>
        <v>0</v>
      </c>
    </row>
    <row r="13" spans="1:10" x14ac:dyDescent="0.2">
      <c r="B13" t="s">
        <v>283</v>
      </c>
      <c r="C13" s="341"/>
      <c r="D13" s="153" t="s">
        <v>61</v>
      </c>
      <c r="E13" s="175">
        <f>H58</f>
        <v>0</v>
      </c>
      <c r="G13" s="343" t="str">
        <f t="shared" si="0"/>
        <v>Patent</v>
      </c>
      <c r="H13" s="153">
        <f>C13</f>
        <v>0</v>
      </c>
      <c r="I13" s="155" t="str">
        <f t="shared" si="0"/>
        <v>Henlagt overskud</v>
      </c>
      <c r="J13" s="341">
        <f>E13</f>
        <v>0</v>
      </c>
    </row>
    <row r="14" spans="1:10" x14ac:dyDescent="0.2">
      <c r="C14" s="341"/>
      <c r="D14" s="153" t="s">
        <v>99</v>
      </c>
      <c r="G14" s="374"/>
      <c r="H14" s="371"/>
      <c r="I14" s="155" t="str">
        <f>D14</f>
        <v>Udbytte</v>
      </c>
      <c r="J14" s="341">
        <f>E14</f>
        <v>0</v>
      </c>
    </row>
    <row r="15" spans="1:10" x14ac:dyDescent="0.2">
      <c r="B15" s="3" t="s">
        <v>541</v>
      </c>
      <c r="C15" s="341"/>
      <c r="G15" s="375" t="s">
        <v>267</v>
      </c>
      <c r="H15" s="376"/>
      <c r="I15" s="377" t="s">
        <v>63</v>
      </c>
      <c r="J15" s="378">
        <f>SUM(J11:J14)</f>
        <v>0</v>
      </c>
    </row>
    <row r="16" spans="1:10" x14ac:dyDescent="0.2">
      <c r="B16" s="153" t="s">
        <v>264</v>
      </c>
      <c r="C16" s="341"/>
      <c r="D16" s="342" t="s">
        <v>536</v>
      </c>
      <c r="G16" s="343" t="str">
        <f t="shared" ref="G16:H18" si="1">B16</f>
        <v>Lagerejendom</v>
      </c>
      <c r="H16" s="153">
        <f>C16</f>
        <v>0</v>
      </c>
      <c r="I16" s="379"/>
      <c r="J16" s="378"/>
    </row>
    <row r="17" spans="2:10" x14ac:dyDescent="0.2">
      <c r="B17" s="153" t="s">
        <v>265</v>
      </c>
      <c r="C17" s="341"/>
      <c r="D17" s="153" t="s">
        <v>100</v>
      </c>
      <c r="G17" s="343" t="str">
        <f t="shared" si="1"/>
        <v>Inventar</v>
      </c>
      <c r="H17" s="153">
        <f>C17</f>
        <v>0</v>
      </c>
      <c r="I17" s="370"/>
      <c r="J17" s="373"/>
    </row>
    <row r="18" spans="2:10" x14ac:dyDescent="0.2">
      <c r="B18" t="s">
        <v>36</v>
      </c>
      <c r="C18" s="341" t="s">
        <v>36</v>
      </c>
      <c r="D18" s="153" t="s">
        <v>36</v>
      </c>
      <c r="E18" t="s">
        <v>36</v>
      </c>
      <c r="G18" s="343" t="str">
        <f t="shared" si="1"/>
        <v xml:space="preserve"> </v>
      </c>
      <c r="H18" s="153" t="str">
        <f t="shared" si="1"/>
        <v xml:space="preserve"> </v>
      </c>
      <c r="I18" s="375" t="s">
        <v>272</v>
      </c>
      <c r="J18" s="380"/>
    </row>
    <row r="19" spans="2:10" x14ac:dyDescent="0.2">
      <c r="B19" s="3" t="s">
        <v>542</v>
      </c>
      <c r="C19" s="341"/>
      <c r="D19" s="153" t="s">
        <v>36</v>
      </c>
      <c r="E19" t="s">
        <v>36</v>
      </c>
      <c r="G19" s="375" t="s">
        <v>271</v>
      </c>
      <c r="H19" s="376"/>
      <c r="I19" s="343" t="str">
        <f t="shared" ref="I19:J21" si="2">D17</f>
        <v>Realkreditlån</v>
      </c>
      <c r="J19" s="341">
        <f>E17</f>
        <v>0</v>
      </c>
    </row>
    <row r="20" spans="2:10" x14ac:dyDescent="0.2">
      <c r="B20" s="153" t="s">
        <v>266</v>
      </c>
      <c r="C20" s="341"/>
      <c r="G20" s="343" t="str">
        <f>B20</f>
        <v>Aktier i datterselskab</v>
      </c>
      <c r="H20" s="153">
        <f>C20</f>
        <v>0</v>
      </c>
      <c r="I20" s="343" t="str">
        <f t="shared" si="2"/>
        <v xml:space="preserve"> </v>
      </c>
      <c r="J20" s="341" t="str">
        <f t="shared" si="2"/>
        <v xml:space="preserve"> </v>
      </c>
    </row>
    <row r="21" spans="2:10" x14ac:dyDescent="0.2">
      <c r="C21" s="341"/>
      <c r="D21" s="3" t="s">
        <v>480</v>
      </c>
      <c r="G21" s="375" t="s">
        <v>275</v>
      </c>
      <c r="H21" s="381">
        <f>SUM(H12:H20)</f>
        <v>0</v>
      </c>
      <c r="I21" s="343" t="str">
        <f t="shared" si="2"/>
        <v xml:space="preserve"> </v>
      </c>
      <c r="J21" s="341" t="str">
        <f t="shared" si="2"/>
        <v xml:space="preserve"> </v>
      </c>
    </row>
    <row r="22" spans="2:10" x14ac:dyDescent="0.2">
      <c r="B22" s="3" t="s">
        <v>481</v>
      </c>
      <c r="C22" s="341"/>
      <c r="D22" s="153" t="s">
        <v>279</v>
      </c>
      <c r="G22" s="382"/>
      <c r="H22" s="371"/>
      <c r="I22" s="383" t="s">
        <v>276</v>
      </c>
      <c r="J22" s="384">
        <f>J19</f>
        <v>0</v>
      </c>
    </row>
    <row r="23" spans="2:10" x14ac:dyDescent="0.2">
      <c r="B23" s="153" t="s">
        <v>268</v>
      </c>
      <c r="C23" s="341"/>
      <c r="D23" s="153" t="s">
        <v>280</v>
      </c>
      <c r="G23" s="375" t="s">
        <v>277</v>
      </c>
      <c r="H23" s="376"/>
      <c r="I23" s="385"/>
      <c r="J23" s="243"/>
    </row>
    <row r="24" spans="2:10" x14ac:dyDescent="0.2">
      <c r="B24" s="153" t="s">
        <v>269</v>
      </c>
      <c r="C24" s="341"/>
      <c r="D24" s="153" t="s">
        <v>525</v>
      </c>
      <c r="E24" t="s">
        <v>36</v>
      </c>
      <c r="G24" s="343" t="str">
        <f t="shared" ref="G24:G30" si="3">B23</f>
        <v>Råvarer og hjælpematerialer</v>
      </c>
      <c r="H24" s="153">
        <f>C23</f>
        <v>0</v>
      </c>
      <c r="I24" s="386"/>
      <c r="J24" s="245"/>
    </row>
    <row r="25" spans="2:10" x14ac:dyDescent="0.2">
      <c r="B25" s="153" t="s">
        <v>270</v>
      </c>
      <c r="C25" s="341"/>
      <c r="G25" s="343" t="str">
        <f t="shared" si="3"/>
        <v>Varer under produktion</v>
      </c>
      <c r="H25" s="153">
        <f t="shared" ref="H25:H30" si="4">C24</f>
        <v>0</v>
      </c>
      <c r="I25" s="379" t="s">
        <v>278</v>
      </c>
      <c r="J25" s="378"/>
    </row>
    <row r="26" spans="2:10" x14ac:dyDescent="0.2">
      <c r="B26" s="153" t="s">
        <v>234</v>
      </c>
      <c r="C26" s="341"/>
      <c r="D26" s="153"/>
      <c r="G26" s="343" t="str">
        <f t="shared" si="3"/>
        <v>Færdigvarer</v>
      </c>
      <c r="H26" s="153">
        <f t="shared" si="4"/>
        <v>0</v>
      </c>
      <c r="I26" s="343" t="str">
        <f t="shared" ref="I26:I28" si="5">D22</f>
        <v>Kassekredit</v>
      </c>
      <c r="J26" s="341">
        <f>E22</f>
        <v>0</v>
      </c>
    </row>
    <row r="27" spans="2:10" x14ac:dyDescent="0.2">
      <c r="B27" s="153" t="s">
        <v>273</v>
      </c>
      <c r="C27" s="341"/>
      <c r="D27" s="153"/>
      <c r="G27" s="343" t="str">
        <f t="shared" si="3"/>
        <v>Tilgodehavender fra kunder</v>
      </c>
      <c r="H27" s="153">
        <f t="shared" si="4"/>
        <v>0</v>
      </c>
      <c r="I27" s="343" t="str">
        <f t="shared" si="5"/>
        <v>Leverandørgæld</v>
      </c>
      <c r="J27" s="341">
        <f>E23</f>
        <v>0</v>
      </c>
    </row>
    <row r="28" spans="2:10" x14ac:dyDescent="0.2">
      <c r="B28" s="153" t="s">
        <v>383</v>
      </c>
      <c r="C28" s="137"/>
      <c r="D28" s="153"/>
      <c r="G28" s="343" t="str">
        <f t="shared" si="3"/>
        <v>Bankindestående</v>
      </c>
      <c r="H28" s="153">
        <f t="shared" si="4"/>
        <v>0</v>
      </c>
      <c r="I28" s="343" t="str">
        <f t="shared" si="5"/>
        <v>Anden kortfristet gæld</v>
      </c>
      <c r="J28" s="341" t="str">
        <f>E24</f>
        <v xml:space="preserve"> </v>
      </c>
    </row>
    <row r="29" spans="2:10" x14ac:dyDescent="0.2">
      <c r="B29" s="153" t="s">
        <v>274</v>
      </c>
      <c r="C29" s="137"/>
      <c r="D29" s="153"/>
      <c r="G29" s="343" t="str">
        <f t="shared" si="3"/>
        <v>Værdipapirer</v>
      </c>
      <c r="H29" s="153">
        <f t="shared" si="4"/>
        <v>0</v>
      </c>
      <c r="I29" s="387" t="s">
        <v>281</v>
      </c>
      <c r="J29" s="384">
        <f>SUM(J25:J27)</f>
        <v>0</v>
      </c>
    </row>
    <row r="30" spans="2:10" x14ac:dyDescent="0.2">
      <c r="C30" s="153"/>
      <c r="D30" s="153"/>
      <c r="G30" s="343" t="str">
        <f t="shared" si="3"/>
        <v>Kassebeholdning</v>
      </c>
      <c r="H30" s="153">
        <f t="shared" si="4"/>
        <v>0</v>
      </c>
      <c r="I30" s="388"/>
      <c r="J30" s="373"/>
    </row>
    <row r="31" spans="2:10" x14ac:dyDescent="0.2">
      <c r="C31" s="153"/>
      <c r="D31" s="153"/>
      <c r="G31" s="375" t="s">
        <v>282</v>
      </c>
      <c r="H31" s="392">
        <f>SUM(H24:H30)</f>
        <v>0</v>
      </c>
      <c r="I31" s="377" t="s">
        <v>73</v>
      </c>
      <c r="J31" s="378">
        <f>J22+J29</f>
        <v>0</v>
      </c>
    </row>
    <row r="32" spans="2:10" x14ac:dyDescent="0.2">
      <c r="G32" s="561"/>
      <c r="H32" s="562"/>
      <c r="I32" s="562"/>
      <c r="J32" s="563"/>
    </row>
    <row r="33" spans="1:10" x14ac:dyDescent="0.2">
      <c r="B33" s="153"/>
      <c r="C33" s="153"/>
      <c r="D33" s="153"/>
      <c r="G33" s="389" t="s">
        <v>76</v>
      </c>
      <c r="H33" s="390">
        <f>H21+H31</f>
        <v>0</v>
      </c>
      <c r="I33" s="390" t="s">
        <v>77</v>
      </c>
      <c r="J33" s="391">
        <f>J31+J15</f>
        <v>0</v>
      </c>
    </row>
    <row r="35" spans="1:10" x14ac:dyDescent="0.2">
      <c r="G35" s="154"/>
      <c r="H35" s="154"/>
      <c r="I35" s="154"/>
      <c r="J35" s="154"/>
    </row>
    <row r="37" spans="1:10" x14ac:dyDescent="0.2">
      <c r="A37" s="1" t="s">
        <v>556</v>
      </c>
    </row>
    <row r="38" spans="1:10" x14ac:dyDescent="0.2">
      <c r="A38" t="s">
        <v>286</v>
      </c>
    </row>
    <row r="39" spans="1:10" x14ac:dyDescent="0.2">
      <c r="A39" s="98" t="s">
        <v>287</v>
      </c>
    </row>
    <row r="42" spans="1:10" ht="19" x14ac:dyDescent="0.25">
      <c r="B42" s="97" t="s">
        <v>544</v>
      </c>
      <c r="C42" s="340" t="s">
        <v>260</v>
      </c>
      <c r="D42" s="354" t="s">
        <v>545</v>
      </c>
      <c r="E42" s="198" t="s">
        <v>260</v>
      </c>
      <c r="G42" s="564" t="s">
        <v>55</v>
      </c>
      <c r="H42" s="565"/>
    </row>
    <row r="43" spans="1:10" x14ac:dyDescent="0.2">
      <c r="B43" t="s">
        <v>47</v>
      </c>
      <c r="C43" s="137"/>
      <c r="D43" s="356" t="s">
        <v>89</v>
      </c>
      <c r="G43" s="364" t="s">
        <v>553</v>
      </c>
      <c r="H43" s="365">
        <f>C43+C45+C44</f>
        <v>0</v>
      </c>
    </row>
    <row r="44" spans="1:10" x14ac:dyDescent="0.2">
      <c r="B44" t="s">
        <v>546</v>
      </c>
      <c r="C44" s="137"/>
      <c r="D44" s="356" t="s">
        <v>285</v>
      </c>
      <c r="G44" s="359" t="str">
        <f>D43</f>
        <v>Vareforbrug</v>
      </c>
      <c r="H44" s="363">
        <f>E43</f>
        <v>0</v>
      </c>
    </row>
    <row r="45" spans="1:10" x14ac:dyDescent="0.2">
      <c r="B45" t="s">
        <v>548</v>
      </c>
      <c r="C45" s="137"/>
      <c r="G45" s="352" t="str">
        <f>D44</f>
        <v>Salgsprovision</v>
      </c>
      <c r="H45" s="357">
        <f>E44</f>
        <v>0</v>
      </c>
    </row>
    <row r="46" spans="1:10" x14ac:dyDescent="0.2">
      <c r="C46" s="137"/>
      <c r="D46" s="356" t="s">
        <v>90</v>
      </c>
      <c r="G46" s="361" t="s">
        <v>62</v>
      </c>
      <c r="H46" s="358">
        <f>H43-H44-H45</f>
        <v>0</v>
      </c>
    </row>
    <row r="47" spans="1:10" x14ac:dyDescent="0.2">
      <c r="B47" t="s">
        <v>547</v>
      </c>
      <c r="C47" s="137"/>
      <c r="D47" s="356" t="s">
        <v>52</v>
      </c>
      <c r="G47" s="352" t="str">
        <f t="shared" ref="G47:G50" si="6">D46</f>
        <v>Salgsfremmende omkostninger</v>
      </c>
      <c r="H47" s="353">
        <f>E46</f>
        <v>0</v>
      </c>
    </row>
    <row r="48" spans="1:10" x14ac:dyDescent="0.2">
      <c r="B48" t="s">
        <v>92</v>
      </c>
      <c r="C48" s="137"/>
      <c r="D48" s="356" t="s">
        <v>91</v>
      </c>
      <c r="G48" s="352" t="str">
        <f t="shared" si="6"/>
        <v>Personaleomkostninger</v>
      </c>
      <c r="H48" s="353">
        <f>E47</f>
        <v>0</v>
      </c>
    </row>
    <row r="49" spans="1:8" x14ac:dyDescent="0.2">
      <c r="C49" s="137"/>
      <c r="D49" s="356" t="s">
        <v>51</v>
      </c>
      <c r="G49" s="352" t="str">
        <f t="shared" si="6"/>
        <v>Lokaleomkostninger</v>
      </c>
      <c r="H49" s="353">
        <f>E48</f>
        <v>0</v>
      </c>
    </row>
    <row r="50" spans="1:8" x14ac:dyDescent="0.2">
      <c r="C50" s="137"/>
      <c r="D50" s="356"/>
      <c r="G50" s="352" t="str">
        <f t="shared" si="6"/>
        <v>Øvrige faste omkostninger</v>
      </c>
      <c r="H50" s="353">
        <f>E49</f>
        <v>0</v>
      </c>
    </row>
    <row r="51" spans="1:8" x14ac:dyDescent="0.2">
      <c r="C51" s="137"/>
      <c r="D51" s="356" t="s">
        <v>246</v>
      </c>
      <c r="G51" s="362" t="s">
        <v>66</v>
      </c>
      <c r="H51" s="351">
        <f>H46-H47-H48-H49-H50</f>
        <v>0</v>
      </c>
    </row>
    <row r="52" spans="1:8" x14ac:dyDescent="0.2">
      <c r="C52" s="137"/>
      <c r="G52" s="352" t="str">
        <f>D51</f>
        <v>Afskrivninger</v>
      </c>
      <c r="H52" s="353">
        <f>E51</f>
        <v>0</v>
      </c>
    </row>
    <row r="53" spans="1:8" x14ac:dyDescent="0.2">
      <c r="C53" s="137"/>
      <c r="D53" s="356" t="s">
        <v>549</v>
      </c>
      <c r="G53" s="362" t="s">
        <v>551</v>
      </c>
      <c r="H53" s="351">
        <f>H51-H52</f>
        <v>0</v>
      </c>
    </row>
    <row r="54" spans="1:8" x14ac:dyDescent="0.2">
      <c r="C54" s="137"/>
      <c r="D54" s="356" t="s">
        <v>48</v>
      </c>
      <c r="G54" s="352" t="str">
        <f>B47</f>
        <v>Finansielle indtægter</v>
      </c>
      <c r="H54" s="353">
        <f>C47+C48</f>
        <v>0</v>
      </c>
    </row>
    <row r="55" spans="1:8" x14ac:dyDescent="0.2">
      <c r="C55" s="137"/>
      <c r="G55" s="349" t="str">
        <f>D53</f>
        <v>Finansielle omkostninger</v>
      </c>
      <c r="H55" s="350">
        <f>E53+E54</f>
        <v>0</v>
      </c>
    </row>
    <row r="56" spans="1:8" x14ac:dyDescent="0.2">
      <c r="C56" s="137"/>
      <c r="D56" s="356" t="s">
        <v>550</v>
      </c>
      <c r="E56" s="237">
        <v>0.25</v>
      </c>
      <c r="G56" s="362" t="s">
        <v>552</v>
      </c>
      <c r="H56" s="351">
        <f>H53-H55+H54</f>
        <v>0</v>
      </c>
    </row>
    <row r="57" spans="1:8" x14ac:dyDescent="0.2">
      <c r="C57" s="137"/>
      <c r="G57" s="352" t="str">
        <f>D56</f>
        <v>Selskabsskat (xx%)</v>
      </c>
      <c r="H57" s="353">
        <f>H56*E56</f>
        <v>0</v>
      </c>
    </row>
    <row r="58" spans="1:8" x14ac:dyDescent="0.2">
      <c r="C58" s="137"/>
      <c r="G58" s="360" t="s">
        <v>554</v>
      </c>
      <c r="H58" s="351">
        <f>H56-H57</f>
        <v>0</v>
      </c>
    </row>
    <row r="59" spans="1:8" x14ac:dyDescent="0.2">
      <c r="C59" s="137"/>
    </row>
    <row r="63" spans="1:8" x14ac:dyDescent="0.2">
      <c r="A63" s="1" t="s">
        <v>555</v>
      </c>
    </row>
    <row r="64" spans="1:8" x14ac:dyDescent="0.2">
      <c r="A64" s="3" t="s">
        <v>380</v>
      </c>
    </row>
    <row r="66" spans="2:4" x14ac:dyDescent="0.2">
      <c r="B66" s="556" t="s">
        <v>376</v>
      </c>
      <c r="C66" s="556"/>
      <c r="D66" s="345" t="e">
        <f>H58/J15</f>
        <v>#DIV/0!</v>
      </c>
    </row>
    <row r="67" spans="2:4" x14ac:dyDescent="0.2">
      <c r="B67" s="556" t="s">
        <v>180</v>
      </c>
      <c r="C67" s="556"/>
      <c r="D67" s="346" t="e">
        <f>(H53)/H43</f>
        <v>#DIV/0!</v>
      </c>
    </row>
    <row r="68" spans="2:4" x14ac:dyDescent="0.2">
      <c r="B68" s="556" t="s">
        <v>181</v>
      </c>
      <c r="C68" s="556"/>
      <c r="D68" s="345" t="e">
        <f>(H43)/H33</f>
        <v>#DIV/0!</v>
      </c>
    </row>
    <row r="69" spans="2:4" x14ac:dyDescent="0.2">
      <c r="B69" s="556" t="s">
        <v>377</v>
      </c>
      <c r="C69" s="556"/>
      <c r="D69" s="346" t="e">
        <f>H58/(H53)</f>
        <v>#DIV/0!</v>
      </c>
    </row>
    <row r="70" spans="2:4" x14ac:dyDescent="0.2">
      <c r="B70" s="556" t="s">
        <v>378</v>
      </c>
      <c r="C70" s="556"/>
      <c r="D70" s="345" t="e">
        <f>H33/J15</f>
        <v>#DIV/0!</v>
      </c>
    </row>
    <row r="71" spans="2:4" x14ac:dyDescent="0.2">
      <c r="B71" s="556" t="s">
        <v>379</v>
      </c>
      <c r="C71" s="556"/>
      <c r="D71" s="347" t="e">
        <f>D69*D70</f>
        <v>#DIV/0!</v>
      </c>
    </row>
    <row r="72" spans="2:4" x14ac:dyDescent="0.2">
      <c r="B72" s="556" t="s">
        <v>206</v>
      </c>
      <c r="C72" s="556"/>
      <c r="D72" s="346" t="e">
        <f>(H53)/H33</f>
        <v>#DIV/0!</v>
      </c>
    </row>
    <row r="73" spans="2:4" x14ac:dyDescent="0.2">
      <c r="B73" s="556" t="s">
        <v>494</v>
      </c>
      <c r="C73" s="556"/>
      <c r="D73" s="346" t="e">
        <f>(H55-H54)/J31</f>
        <v>#DIV/0!</v>
      </c>
    </row>
    <row r="74" spans="2:4" x14ac:dyDescent="0.2">
      <c r="B74" s="566"/>
      <c r="C74" s="566"/>
      <c r="D74" s="348"/>
    </row>
    <row r="75" spans="2:4" x14ac:dyDescent="0.2">
      <c r="B75" s="556" t="s">
        <v>381</v>
      </c>
      <c r="C75" s="556"/>
      <c r="D75" s="347" t="e">
        <f>H31/J29</f>
        <v>#DIV/0!</v>
      </c>
    </row>
    <row r="76" spans="2:4" x14ac:dyDescent="0.2">
      <c r="B76" s="556" t="s">
        <v>382</v>
      </c>
      <c r="C76" s="556"/>
      <c r="D76" s="347" t="e">
        <f>(H30+H29+H27+H28)/J29</f>
        <v>#DIV/0!</v>
      </c>
    </row>
    <row r="78" spans="2:4" x14ac:dyDescent="0.2">
      <c r="B78" s="540" t="s">
        <v>493</v>
      </c>
      <c r="C78" s="540"/>
      <c r="D78" s="355" t="e">
        <f>J15/(J15+J31)*D66+J31/(J15+J31)*D73</f>
        <v>#DIV/0!</v>
      </c>
    </row>
  </sheetData>
  <mergeCells count="17">
    <mergeCell ref="B76:C76"/>
    <mergeCell ref="B78:C78"/>
    <mergeCell ref="B74:C74"/>
    <mergeCell ref="B70:C70"/>
    <mergeCell ref="B71:C71"/>
    <mergeCell ref="B72:C72"/>
    <mergeCell ref="B73:C73"/>
    <mergeCell ref="A5:H7"/>
    <mergeCell ref="B66:C66"/>
    <mergeCell ref="B67:C67"/>
    <mergeCell ref="B68:C68"/>
    <mergeCell ref="B75:C75"/>
    <mergeCell ref="B69:C69"/>
    <mergeCell ref="B9:E9"/>
    <mergeCell ref="G9:J9"/>
    <mergeCell ref="G32:J32"/>
    <mergeCell ref="G42:H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635A2-1D52-9549-B5D6-883C4F565114}">
  <sheetPr>
    <tabColor rgb="FFFF0000"/>
  </sheetPr>
  <dimension ref="A1:Y123"/>
  <sheetViews>
    <sheetView zoomScale="55" zoomScaleNormal="55" workbookViewId="0">
      <selection activeCell="H25" sqref="H25"/>
    </sheetView>
  </sheetViews>
  <sheetFormatPr baseColWidth="10" defaultColWidth="10.5" defaultRowHeight="16" x14ac:dyDescent="0.2"/>
  <cols>
    <col min="2" max="2" width="28.5" customWidth="1"/>
    <col min="3" max="3" width="11.5" customWidth="1"/>
    <col min="4" max="4" width="29" customWidth="1"/>
    <col min="5" max="5" width="11" customWidth="1"/>
    <col min="6" max="6" width="21.5" customWidth="1"/>
    <col min="7" max="7" width="8.83203125" customWidth="1"/>
    <col min="8" max="9" width="15.83203125" customWidth="1"/>
    <col min="10" max="10" width="6.83203125" customWidth="1"/>
    <col min="11" max="11" width="7" customWidth="1"/>
    <col min="12" max="13" width="15.83203125" customWidth="1"/>
    <col min="14" max="14" width="6.5" customWidth="1"/>
    <col min="15" max="15" width="6.83203125" customWidth="1"/>
    <col min="16" max="17" width="15.5" customWidth="1"/>
    <col min="18" max="18" width="4.83203125" customWidth="1"/>
    <col min="19" max="19" width="6.5" bestFit="1" customWidth="1"/>
    <col min="20" max="20" width="15.5" customWidth="1"/>
    <col min="21" max="21" width="19.5" customWidth="1"/>
  </cols>
  <sheetData>
    <row r="1" spans="1:21" ht="19" x14ac:dyDescent="0.25">
      <c r="A1" s="1" t="s">
        <v>562</v>
      </c>
      <c r="B1" s="209"/>
      <c r="C1" s="98"/>
      <c r="D1" s="98"/>
      <c r="E1" s="98"/>
      <c r="F1" s="98"/>
      <c r="G1" s="98"/>
      <c r="H1" s="98"/>
      <c r="I1" s="98"/>
      <c r="J1" s="98"/>
    </row>
    <row r="2" spans="1:21" ht="19" x14ac:dyDescent="0.25">
      <c r="A2" t="s">
        <v>563</v>
      </c>
      <c r="B2" s="228"/>
      <c r="C2" s="220"/>
      <c r="D2" s="220"/>
      <c r="E2" s="220"/>
      <c r="F2" s="220"/>
      <c r="G2" s="220"/>
      <c r="H2" s="220"/>
      <c r="I2" s="220"/>
      <c r="J2" s="98"/>
    </row>
    <row r="3" spans="1:21" ht="19" x14ac:dyDescent="0.25">
      <c r="B3" s="228"/>
      <c r="C3" s="220"/>
      <c r="D3" s="220"/>
      <c r="E3" s="220"/>
      <c r="F3" s="220"/>
      <c r="G3" s="220"/>
      <c r="H3" s="220"/>
      <c r="I3" s="220"/>
      <c r="J3" s="98"/>
    </row>
    <row r="4" spans="1:21" x14ac:dyDescent="0.2">
      <c r="A4" s="1" t="s">
        <v>702</v>
      </c>
      <c r="F4" s="158"/>
      <c r="H4" s="567" t="s">
        <v>246</v>
      </c>
      <c r="I4" s="567"/>
      <c r="J4" s="448"/>
      <c r="K4" s="344"/>
      <c r="L4" s="567" t="s">
        <v>717</v>
      </c>
      <c r="M4" s="567"/>
      <c r="O4" s="344"/>
      <c r="P4" s="567" t="s">
        <v>50</v>
      </c>
      <c r="Q4" s="567"/>
      <c r="S4" s="344"/>
      <c r="T4" s="567" t="s">
        <v>234</v>
      </c>
      <c r="U4" s="567"/>
    </row>
    <row r="5" spans="1:21" x14ac:dyDescent="0.2">
      <c r="A5" s="3" t="s">
        <v>256</v>
      </c>
      <c r="B5" s="210"/>
      <c r="C5" s="158"/>
      <c r="D5" s="158"/>
      <c r="E5" s="158"/>
      <c r="F5" s="158"/>
      <c r="G5" s="143" t="s">
        <v>703</v>
      </c>
      <c r="I5" s="434"/>
      <c r="K5" s="449" t="s">
        <v>703</v>
      </c>
      <c r="M5" s="434"/>
      <c r="O5" s="449" t="s">
        <v>703</v>
      </c>
      <c r="Q5" s="434"/>
      <c r="S5" s="449" t="s">
        <v>703</v>
      </c>
      <c r="U5" s="434"/>
    </row>
    <row r="6" spans="1:21" x14ac:dyDescent="0.2">
      <c r="B6" s="211" t="s">
        <v>56</v>
      </c>
      <c r="C6" s="214"/>
      <c r="D6" s="211" t="s">
        <v>57</v>
      </c>
      <c r="E6" s="214"/>
      <c r="F6" s="158"/>
      <c r="I6" s="344"/>
      <c r="J6" s="448"/>
      <c r="K6" s="344"/>
      <c r="M6" s="344"/>
      <c r="O6" s="344"/>
      <c r="Q6" s="344"/>
      <c r="S6" s="344"/>
      <c r="U6" s="344"/>
    </row>
    <row r="7" spans="1:21" x14ac:dyDescent="0.2">
      <c r="B7" s="452" t="s">
        <v>58</v>
      </c>
      <c r="C7" s="461"/>
      <c r="D7" s="467" t="s">
        <v>59</v>
      </c>
      <c r="E7" s="216"/>
      <c r="F7" s="213"/>
      <c r="I7" s="344"/>
      <c r="J7" s="448"/>
      <c r="K7" s="344"/>
      <c r="M7" s="344"/>
      <c r="O7" s="344"/>
      <c r="Q7" s="344"/>
      <c r="S7" s="344"/>
      <c r="U7" s="344"/>
    </row>
    <row r="8" spans="1:21" x14ac:dyDescent="0.2">
      <c r="B8" s="453" t="s">
        <v>60</v>
      </c>
      <c r="C8" s="462"/>
      <c r="D8" s="453" t="s">
        <v>720</v>
      </c>
      <c r="E8" s="217"/>
      <c r="F8" s="213"/>
      <c r="J8" s="448"/>
      <c r="K8" s="344"/>
      <c r="O8" s="344"/>
      <c r="S8" s="344"/>
    </row>
    <row r="9" spans="1:21" x14ac:dyDescent="0.2">
      <c r="B9" s="454" t="str">
        <f>L24</f>
        <v>Immaterialle anlægsaktiver</v>
      </c>
      <c r="C9" s="463"/>
      <c r="D9" s="455" t="s">
        <v>61</v>
      </c>
      <c r="E9" s="229">
        <f>C45</f>
        <v>0</v>
      </c>
      <c r="F9" s="213"/>
      <c r="H9" s="567" t="s">
        <v>525</v>
      </c>
      <c r="I9" s="567"/>
      <c r="J9" s="448"/>
      <c r="K9" s="344"/>
      <c r="L9" s="567" t="s">
        <v>718</v>
      </c>
      <c r="M9" s="567"/>
      <c r="O9" s="344"/>
      <c r="P9" s="567" t="s">
        <v>536</v>
      </c>
      <c r="Q9" s="567"/>
      <c r="S9" s="344"/>
      <c r="T9" s="567" t="s">
        <v>89</v>
      </c>
      <c r="U9" s="567"/>
    </row>
    <row r="10" spans="1:21" x14ac:dyDescent="0.2">
      <c r="B10" s="453" t="str">
        <f>L14</f>
        <v>Goodwill</v>
      </c>
      <c r="C10" s="462">
        <f>SUM(L15:L17)-SUM(M15:M17)</f>
        <v>0</v>
      </c>
      <c r="D10" s="456" t="s">
        <v>63</v>
      </c>
      <c r="E10" s="317">
        <f>E9+E8</f>
        <v>0</v>
      </c>
      <c r="F10" s="213"/>
      <c r="G10" s="143" t="s">
        <v>703</v>
      </c>
      <c r="I10" s="434"/>
      <c r="K10" s="449" t="s">
        <v>703</v>
      </c>
      <c r="M10" s="434"/>
      <c r="O10" s="449" t="s">
        <v>703</v>
      </c>
      <c r="Q10" s="434"/>
      <c r="S10" s="449" t="s">
        <v>703</v>
      </c>
      <c r="U10" s="434"/>
    </row>
    <row r="11" spans="1:21" x14ac:dyDescent="0.2">
      <c r="B11" s="344"/>
      <c r="D11" s="457"/>
      <c r="E11" s="222"/>
      <c r="F11" s="213"/>
      <c r="I11" s="344"/>
      <c r="K11" s="344"/>
      <c r="M11" s="344"/>
      <c r="O11" s="344"/>
      <c r="Q11" s="344"/>
      <c r="S11" s="344"/>
      <c r="U11" s="344"/>
    </row>
    <row r="12" spans="1:21" x14ac:dyDescent="0.2">
      <c r="B12" s="453" t="s">
        <v>64</v>
      </c>
      <c r="C12" s="462"/>
      <c r="D12" s="458" t="s">
        <v>65</v>
      </c>
      <c r="E12" s="217"/>
      <c r="F12" s="213"/>
      <c r="I12" s="344"/>
      <c r="K12" s="344"/>
      <c r="M12" s="344"/>
      <c r="O12" s="344"/>
      <c r="Q12" s="344"/>
      <c r="S12" s="344"/>
      <c r="U12" s="344"/>
    </row>
    <row r="13" spans="1:21" x14ac:dyDescent="0.2">
      <c r="B13" s="454" t="str">
        <f>H14</f>
        <v>Anlæg</v>
      </c>
      <c r="C13" s="462"/>
      <c r="D13" s="453" t="s">
        <v>707</v>
      </c>
      <c r="E13" s="217"/>
      <c r="F13" s="213"/>
      <c r="I13" s="158"/>
      <c r="K13" s="344"/>
      <c r="O13" s="344"/>
      <c r="S13" s="344"/>
    </row>
    <row r="14" spans="1:21" x14ac:dyDescent="0.2">
      <c r="B14" s="454" t="str">
        <f>H24</f>
        <v>Bygninger</v>
      </c>
      <c r="C14" s="462">
        <f>SUM(H25:H27)-SUM(I25:I27)</f>
        <v>0</v>
      </c>
      <c r="D14" s="454" t="str">
        <f>P9</f>
        <v>Langfristet gæld</v>
      </c>
      <c r="E14" s="217"/>
      <c r="F14" s="213"/>
      <c r="H14" s="567" t="s">
        <v>392</v>
      </c>
      <c r="I14" s="567"/>
      <c r="K14" s="344"/>
      <c r="L14" s="567" t="s">
        <v>262</v>
      </c>
      <c r="M14" s="567"/>
      <c r="O14" s="344"/>
      <c r="P14" s="567" t="s">
        <v>53</v>
      </c>
      <c r="Q14" s="567"/>
      <c r="S14" s="344"/>
      <c r="T14" s="567" t="s">
        <v>74</v>
      </c>
      <c r="U14" s="567"/>
    </row>
    <row r="15" spans="1:21" x14ac:dyDescent="0.2">
      <c r="B15" s="454" t="str">
        <f>L34</f>
        <v>Inventar</v>
      </c>
      <c r="C15" s="462"/>
      <c r="D15" s="453"/>
      <c r="E15" s="217"/>
      <c r="F15" s="213"/>
      <c r="G15" s="143" t="s">
        <v>703</v>
      </c>
      <c r="I15" s="434"/>
      <c r="K15" s="449" t="s">
        <v>703</v>
      </c>
      <c r="M15" s="434"/>
      <c r="O15" s="449" t="s">
        <v>703</v>
      </c>
      <c r="Q15" s="434"/>
      <c r="S15" s="449" t="s">
        <v>703</v>
      </c>
      <c r="U15" s="434"/>
    </row>
    <row r="16" spans="1:21" x14ac:dyDescent="0.2">
      <c r="B16" s="453" t="s">
        <v>733</v>
      </c>
      <c r="C16" s="462"/>
      <c r="D16" s="453" t="s">
        <v>70</v>
      </c>
      <c r="E16" s="217"/>
      <c r="F16" s="213"/>
      <c r="I16" s="344"/>
      <c r="K16" s="344"/>
      <c r="M16" s="344"/>
      <c r="O16" s="344"/>
      <c r="Q16" s="344"/>
      <c r="S16" s="344"/>
      <c r="U16" s="344"/>
    </row>
    <row r="17" spans="2:25" x14ac:dyDescent="0.2">
      <c r="B17" s="453" t="s">
        <v>68</v>
      </c>
      <c r="C17" s="462"/>
      <c r="D17" s="454" t="str">
        <f>P4</f>
        <v>Kassekredit</v>
      </c>
      <c r="E17" s="217"/>
      <c r="F17" s="213"/>
      <c r="I17" s="344"/>
      <c r="K17" s="344"/>
      <c r="M17" s="344"/>
      <c r="N17" s="450"/>
      <c r="O17" s="344"/>
      <c r="Q17" s="344"/>
      <c r="R17" s="451"/>
      <c r="S17" s="344"/>
      <c r="U17" s="344"/>
      <c r="V17" s="212"/>
      <c r="W17" s="212"/>
      <c r="X17" s="212"/>
      <c r="Y17" s="212"/>
    </row>
    <row r="18" spans="2:25" x14ac:dyDescent="0.2">
      <c r="B18" s="455" t="str">
        <f>H34</f>
        <v>Finansielle anlægsaktiver</v>
      </c>
      <c r="C18" s="464"/>
      <c r="D18" s="454" t="str">
        <f>P14</f>
        <v>Leverandørgæld</v>
      </c>
      <c r="E18" s="217"/>
      <c r="F18" s="213"/>
      <c r="K18" s="344"/>
      <c r="O18" s="344"/>
      <c r="S18" s="344"/>
    </row>
    <row r="19" spans="2:25" x14ac:dyDescent="0.2">
      <c r="B19" s="456" t="s">
        <v>71</v>
      </c>
      <c r="C19" s="465">
        <f>SUM(C9:C18)</f>
        <v>0</v>
      </c>
      <c r="D19" s="455" t="str">
        <f>L4</f>
        <v>Forudbetalinger fra kunder</v>
      </c>
      <c r="E19" s="230">
        <f>SUM(M5:M7)-SUM(L5:L7)</f>
        <v>0</v>
      </c>
      <c r="F19" s="213"/>
      <c r="H19" s="567" t="s">
        <v>715</v>
      </c>
      <c r="I19" s="567"/>
      <c r="K19" s="344"/>
      <c r="L19" s="567" t="s">
        <v>714</v>
      </c>
      <c r="M19" s="567"/>
      <c r="O19" s="344"/>
      <c r="P19" s="567" t="s">
        <v>47</v>
      </c>
      <c r="Q19" s="567"/>
      <c r="S19" s="344"/>
      <c r="T19" s="567" t="s">
        <v>400</v>
      </c>
      <c r="U19" s="567"/>
    </row>
    <row r="20" spans="2:25" x14ac:dyDescent="0.2">
      <c r="B20" s="457"/>
      <c r="C20" s="451"/>
      <c r="D20" s="454" t="str">
        <f>H9</f>
        <v>Anden kortfristet gæld</v>
      </c>
      <c r="E20" s="219">
        <f>SUM(I10:I12)-SUM(H10:H12)</f>
        <v>0</v>
      </c>
      <c r="F20" s="213"/>
      <c r="G20" s="143" t="s">
        <v>703</v>
      </c>
      <c r="I20" s="434"/>
      <c r="K20" s="449" t="s">
        <v>703</v>
      </c>
      <c r="M20" s="434"/>
      <c r="O20" s="449" t="s">
        <v>703</v>
      </c>
      <c r="Q20" s="434"/>
      <c r="S20" s="449" t="s">
        <v>703</v>
      </c>
      <c r="U20" s="434"/>
    </row>
    <row r="21" spans="2:25" x14ac:dyDescent="0.2">
      <c r="B21" s="458" t="s">
        <v>72</v>
      </c>
      <c r="C21" s="462"/>
      <c r="D21" s="456" t="s">
        <v>73</v>
      </c>
      <c r="E21" s="317">
        <f>SUM(E14:E20)</f>
        <v>0</v>
      </c>
      <c r="F21" s="213"/>
      <c r="I21" s="344"/>
      <c r="K21" s="344"/>
      <c r="M21" s="344"/>
      <c r="O21" s="344"/>
      <c r="Q21" s="344"/>
      <c r="S21" s="344"/>
      <c r="U21" s="344"/>
    </row>
    <row r="22" spans="2:25" x14ac:dyDescent="0.2">
      <c r="B22" s="454" t="str">
        <f>T14</f>
        <v>Varelager</v>
      </c>
      <c r="C22" s="462"/>
      <c r="D22" s="457"/>
      <c r="E22" s="222"/>
      <c r="F22" s="213"/>
      <c r="I22" s="344"/>
      <c r="K22" s="344"/>
      <c r="M22" s="344"/>
      <c r="O22" s="344"/>
      <c r="Q22" s="344"/>
      <c r="S22" s="344"/>
      <c r="U22" s="344"/>
    </row>
    <row r="23" spans="2:25" x14ac:dyDescent="0.2">
      <c r="B23" s="454" t="s">
        <v>719</v>
      </c>
      <c r="C23" s="463">
        <f>SUM(P35:P37)-SUM(Q35:Q37)</f>
        <v>0</v>
      </c>
      <c r="D23" s="471"/>
      <c r="F23" s="453"/>
      <c r="K23" s="344"/>
      <c r="O23" s="344"/>
      <c r="S23" s="344"/>
    </row>
    <row r="24" spans="2:25" x14ac:dyDescent="0.2">
      <c r="B24" s="454" t="str">
        <f>T4</f>
        <v>Tilgodehavender fra kunder</v>
      </c>
      <c r="C24" s="462"/>
      <c r="D24" s="344"/>
      <c r="F24" s="453"/>
      <c r="H24" s="567" t="s">
        <v>524</v>
      </c>
      <c r="I24" s="567"/>
      <c r="K24" s="344"/>
      <c r="L24" s="567" t="s">
        <v>716</v>
      </c>
      <c r="M24" s="567"/>
      <c r="O24" s="344"/>
      <c r="P24" s="567" t="s">
        <v>52</v>
      </c>
      <c r="Q24" s="567"/>
      <c r="S24" s="344"/>
      <c r="T24" s="567" t="s">
        <v>51</v>
      </c>
      <c r="U24" s="567"/>
    </row>
    <row r="25" spans="2:25" x14ac:dyDescent="0.2">
      <c r="B25" s="459" t="str">
        <f>L9</f>
        <v>Forudbetalte omkostninger</v>
      </c>
      <c r="C25">
        <f>SUM(L10:L12)-SUM(M10:M12)</f>
        <v>0</v>
      </c>
      <c r="D25" s="471"/>
      <c r="F25" s="453"/>
      <c r="G25" s="143" t="s">
        <v>703</v>
      </c>
      <c r="I25" s="434"/>
      <c r="K25" s="449" t="s">
        <v>703</v>
      </c>
      <c r="M25" s="434"/>
      <c r="O25" s="449" t="s">
        <v>703</v>
      </c>
      <c r="Q25" s="434"/>
      <c r="S25" s="344"/>
      <c r="U25" s="434"/>
    </row>
    <row r="26" spans="2:25" x14ac:dyDescent="0.2">
      <c r="B26" s="459" t="str">
        <f>H19</f>
        <v>Bankindeståender</v>
      </c>
      <c r="C26">
        <f>SUM(H20:H22)-SUM(I20:I22)</f>
        <v>0</v>
      </c>
      <c r="D26" s="455" t="str">
        <f>T29</f>
        <v>Øvrige passiver</v>
      </c>
      <c r="E26" s="230">
        <f>SUM(U30:U32)-SUM(T30:T32)</f>
        <v>0</v>
      </c>
      <c r="F26" s="213"/>
      <c r="G26" s="143"/>
      <c r="I26" s="344"/>
      <c r="K26" s="344"/>
      <c r="M26" s="344"/>
      <c r="O26" s="344"/>
      <c r="Q26" s="344"/>
      <c r="S26" s="449" t="s">
        <v>703</v>
      </c>
      <c r="U26" s="344"/>
    </row>
    <row r="27" spans="2:25" x14ac:dyDescent="0.2">
      <c r="B27" s="454" t="str">
        <f>H39</f>
        <v>Likvider</v>
      </c>
      <c r="C27" s="462"/>
      <c r="D27" s="456" t="s">
        <v>403</v>
      </c>
      <c r="E27" s="317">
        <f>SUM(E26)</f>
        <v>0</v>
      </c>
      <c r="F27" s="453"/>
      <c r="I27" s="344"/>
      <c r="K27" s="344"/>
      <c r="M27" s="344"/>
      <c r="O27" s="344"/>
      <c r="Q27" s="344"/>
      <c r="S27" s="344"/>
      <c r="U27" s="344"/>
    </row>
    <row r="28" spans="2:25" x14ac:dyDescent="0.2">
      <c r="B28" s="454" t="str">
        <f>T19</f>
        <v>Øvrige aktiver</v>
      </c>
      <c r="C28" s="462"/>
      <c r="D28" s="344"/>
      <c r="F28" s="471"/>
      <c r="H28" s="97"/>
      <c r="K28" s="344"/>
      <c r="O28" s="344"/>
      <c r="S28" s="344"/>
      <c r="U28" s="344"/>
    </row>
    <row r="29" spans="2:25" x14ac:dyDescent="0.2">
      <c r="B29" s="456" t="s">
        <v>75</v>
      </c>
      <c r="C29" s="465">
        <f>SUM(C22:C28)</f>
        <v>0</v>
      </c>
      <c r="D29" s="468"/>
      <c r="E29" s="230"/>
      <c r="H29" s="567" t="s">
        <v>708</v>
      </c>
      <c r="I29" s="567"/>
      <c r="K29" s="344"/>
      <c r="L29" s="567" t="s">
        <v>49</v>
      </c>
      <c r="M29" s="567"/>
      <c r="O29" s="344"/>
      <c r="P29" s="567" t="s">
        <v>48</v>
      </c>
      <c r="Q29" s="567"/>
      <c r="S29" s="344"/>
      <c r="T29" s="567" t="s">
        <v>402</v>
      </c>
      <c r="U29" s="567"/>
    </row>
    <row r="30" spans="2:25" x14ac:dyDescent="0.2">
      <c r="B30" s="460" t="s">
        <v>76</v>
      </c>
      <c r="C30" s="466">
        <f>C19+C29</f>
        <v>0</v>
      </c>
      <c r="D30" s="469" t="s">
        <v>77</v>
      </c>
      <c r="E30" s="316">
        <f>E10+E21+E27</f>
        <v>0</v>
      </c>
      <c r="F30" s="470" t="s">
        <v>162</v>
      </c>
      <c r="G30" s="143" t="s">
        <v>703</v>
      </c>
      <c r="I30" s="434"/>
      <c r="K30" s="449" t="s">
        <v>703</v>
      </c>
      <c r="M30" s="434"/>
      <c r="O30" s="449" t="s">
        <v>703</v>
      </c>
      <c r="Q30" s="434"/>
      <c r="S30" s="449" t="s">
        <v>703</v>
      </c>
      <c r="U30" s="434"/>
    </row>
    <row r="31" spans="2:25" x14ac:dyDescent="0.2">
      <c r="I31" s="344"/>
      <c r="K31" s="344"/>
      <c r="M31" s="344"/>
      <c r="O31" s="344"/>
      <c r="Q31" s="344"/>
      <c r="S31" s="344"/>
      <c r="U31" s="344"/>
    </row>
    <row r="32" spans="2:25" x14ac:dyDescent="0.2">
      <c r="I32" s="344"/>
      <c r="K32" s="344"/>
      <c r="M32" s="344"/>
      <c r="O32" s="344"/>
      <c r="Q32" s="344"/>
      <c r="S32" s="344"/>
      <c r="U32" s="344"/>
    </row>
    <row r="33" spans="1:25" x14ac:dyDescent="0.2">
      <c r="A33" s="3" t="s">
        <v>284</v>
      </c>
      <c r="B33" s="220"/>
      <c r="C33" s="220"/>
      <c r="K33" s="344"/>
      <c r="O33" s="344"/>
      <c r="S33" s="344"/>
    </row>
    <row r="34" spans="1:25" ht="16" customHeight="1" x14ac:dyDescent="0.2">
      <c r="B34" s="221" t="s">
        <v>723</v>
      </c>
      <c r="C34" s="216"/>
      <c r="H34" s="567" t="s">
        <v>542</v>
      </c>
      <c r="I34" s="567"/>
      <c r="K34" s="344"/>
      <c r="L34" s="567" t="s">
        <v>401</v>
      </c>
      <c r="M34" s="567"/>
      <c r="O34" s="344"/>
      <c r="P34" s="567" t="s">
        <v>719</v>
      </c>
      <c r="Q34" s="567"/>
      <c r="S34" s="344"/>
      <c r="T34" s="567" t="s">
        <v>721</v>
      </c>
      <c r="U34" s="567"/>
      <c r="V34" s="539" t="s">
        <v>722</v>
      </c>
      <c r="W34" s="539"/>
      <c r="X34" s="539"/>
      <c r="Y34" s="539"/>
    </row>
    <row r="35" spans="1:25" x14ac:dyDescent="0.2">
      <c r="B35" s="223" t="str">
        <f>T9</f>
        <v>Vareforbrug</v>
      </c>
      <c r="C35" s="218"/>
      <c r="G35" s="143" t="s">
        <v>703</v>
      </c>
      <c r="I35" s="434"/>
      <c r="K35" s="449" t="s">
        <v>703</v>
      </c>
      <c r="M35" s="434"/>
      <c r="O35" s="449" t="s">
        <v>703</v>
      </c>
      <c r="Q35" s="434"/>
      <c r="S35" s="449" t="s">
        <v>703</v>
      </c>
      <c r="U35" s="434"/>
      <c r="V35" s="539"/>
      <c r="W35" s="539"/>
      <c r="X35" s="539"/>
      <c r="Y35" s="539"/>
    </row>
    <row r="36" spans="1:25" x14ac:dyDescent="0.2">
      <c r="B36" s="312" t="s">
        <v>62</v>
      </c>
      <c r="C36" s="313">
        <f>C34-C35</f>
        <v>0</v>
      </c>
      <c r="I36" s="344"/>
      <c r="K36" s="344"/>
      <c r="M36" s="344"/>
      <c r="O36" s="344"/>
      <c r="Q36" s="344"/>
      <c r="S36" s="344"/>
      <c r="U36" s="344"/>
    </row>
    <row r="37" spans="1:25" x14ac:dyDescent="0.2">
      <c r="B37" s="221" t="str">
        <f>L19</f>
        <v>Husleje</v>
      </c>
      <c r="C37" s="224">
        <f>SUM(L20:L22)-SUM(M20:M22)</f>
        <v>0</v>
      </c>
      <c r="I37" s="344"/>
      <c r="K37" s="344"/>
      <c r="M37" s="344"/>
      <c r="O37" s="344"/>
      <c r="Q37" s="344"/>
      <c r="S37" s="344"/>
      <c r="U37" s="344"/>
    </row>
    <row r="38" spans="1:25" x14ac:dyDescent="0.2">
      <c r="B38" s="300" t="str">
        <f>P24</f>
        <v>Personaleomkostninger</v>
      </c>
      <c r="C38" s="301"/>
      <c r="K38" s="344"/>
    </row>
    <row r="39" spans="1:25" x14ac:dyDescent="0.2">
      <c r="B39" s="223" t="str">
        <f>T24</f>
        <v>Øvrige faste omkostninger</v>
      </c>
      <c r="C39" s="225"/>
      <c r="H39" s="568" t="s">
        <v>97</v>
      </c>
      <c r="I39" s="568"/>
      <c r="K39" s="344"/>
    </row>
    <row r="40" spans="1:25" x14ac:dyDescent="0.2">
      <c r="B40" s="436" t="s">
        <v>66</v>
      </c>
      <c r="C40" s="317">
        <f>C36-C37-C39-C38</f>
        <v>0</v>
      </c>
      <c r="G40" s="143" t="s">
        <v>703</v>
      </c>
      <c r="I40" s="344"/>
      <c r="K40" s="344"/>
    </row>
    <row r="41" spans="1:25" x14ac:dyDescent="0.2">
      <c r="B41" s="439" t="str">
        <f>H4</f>
        <v>Afskrivninger</v>
      </c>
      <c r="C41" s="440"/>
      <c r="I41" s="344"/>
      <c r="K41" s="344"/>
    </row>
    <row r="42" spans="1:25" x14ac:dyDescent="0.2">
      <c r="B42" s="437" t="str">
        <f>H29</f>
        <v>Ekstraordinære tab</v>
      </c>
      <c r="C42" s="438">
        <f>SUM(H30:H32)-SUM(I30:I32)</f>
        <v>0</v>
      </c>
      <c r="I42" s="344"/>
      <c r="K42" s="344"/>
    </row>
    <row r="43" spans="1:25" x14ac:dyDescent="0.2">
      <c r="B43" s="312" t="s">
        <v>67</v>
      </c>
      <c r="C43" s="313">
        <f>C40-C41-C42</f>
        <v>0</v>
      </c>
      <c r="I43" s="344"/>
      <c r="K43" s="344"/>
    </row>
    <row r="44" spans="1:25" x14ac:dyDescent="0.2">
      <c r="B44" s="226" t="str">
        <f>P29</f>
        <v>Renteomkostninger</v>
      </c>
      <c r="C44" s="227"/>
      <c r="I44" s="344"/>
      <c r="K44" s="344"/>
    </row>
    <row r="45" spans="1:25" x14ac:dyDescent="0.2">
      <c r="B45" s="314" t="s">
        <v>69</v>
      </c>
      <c r="C45" s="315">
        <f>C43-C44</f>
        <v>0</v>
      </c>
      <c r="I45" s="344"/>
      <c r="K45" s="344"/>
    </row>
    <row r="46" spans="1:25" x14ac:dyDescent="0.2">
      <c r="I46" s="344"/>
      <c r="K46" s="344"/>
    </row>
    <row r="47" spans="1:25" x14ac:dyDescent="0.2">
      <c r="I47" s="344"/>
      <c r="K47" s="344"/>
    </row>
    <row r="48" spans="1:25" x14ac:dyDescent="0.2">
      <c r="I48" s="344"/>
      <c r="K48" s="344"/>
    </row>
    <row r="49" spans="1:11" x14ac:dyDescent="0.2">
      <c r="I49" s="344"/>
      <c r="K49" s="344"/>
    </row>
    <row r="50" spans="1:11" x14ac:dyDescent="0.2">
      <c r="I50" s="344"/>
      <c r="K50" s="344"/>
    </row>
    <row r="51" spans="1:11" x14ac:dyDescent="0.2">
      <c r="A51" s="1" t="s">
        <v>404</v>
      </c>
      <c r="B51" s="98"/>
      <c r="C51" s="98"/>
      <c r="I51" s="344"/>
      <c r="K51" s="344"/>
    </row>
    <row r="52" spans="1:11" x14ac:dyDescent="0.2">
      <c r="B52" s="98"/>
      <c r="C52" s="98"/>
    </row>
    <row r="53" spans="1:11" x14ac:dyDescent="0.2">
      <c r="B53" s="130" t="s">
        <v>376</v>
      </c>
      <c r="C53" s="233" t="e">
        <f>C45/E10</f>
        <v>#DIV/0!</v>
      </c>
    </row>
    <row r="54" spans="1:11" x14ac:dyDescent="0.2">
      <c r="B54" s="504" t="s">
        <v>180</v>
      </c>
      <c r="C54" s="505" t="e">
        <f>(C45+C44)/C34</f>
        <v>#DIV/0!</v>
      </c>
    </row>
    <row r="55" spans="1:11" x14ac:dyDescent="0.2">
      <c r="B55" s="504" t="s">
        <v>181</v>
      </c>
      <c r="C55" s="505" t="e">
        <f>C34/C30</f>
        <v>#DIV/0!</v>
      </c>
    </row>
    <row r="56" spans="1:11" x14ac:dyDescent="0.2">
      <c r="B56" s="504" t="s">
        <v>377</v>
      </c>
      <c r="C56" s="505" t="e">
        <f>C45/(C45+C44)</f>
        <v>#DIV/0!</v>
      </c>
    </row>
    <row r="57" spans="1:11" x14ac:dyDescent="0.2">
      <c r="B57" s="504" t="s">
        <v>378</v>
      </c>
      <c r="C57" s="505" t="e">
        <f>C30/E10</f>
        <v>#DIV/0!</v>
      </c>
    </row>
    <row r="58" spans="1:11" x14ac:dyDescent="0.2">
      <c r="B58" s="504" t="s">
        <v>379</v>
      </c>
      <c r="C58" s="505" t="e">
        <f>C56*C57</f>
        <v>#DIV/0!</v>
      </c>
    </row>
    <row r="59" spans="1:11" x14ac:dyDescent="0.2">
      <c r="B59" s="504" t="s">
        <v>206</v>
      </c>
      <c r="C59" s="506" t="e">
        <f>(C45+C44)/C30</f>
        <v>#DIV/0!</v>
      </c>
    </row>
    <row r="60" spans="1:11" x14ac:dyDescent="0.2">
      <c r="B60" s="504" t="s">
        <v>494</v>
      </c>
      <c r="C60" s="506" t="e">
        <f>C44/E21</f>
        <v>#DIV/0!</v>
      </c>
    </row>
    <row r="62" spans="1:11" x14ac:dyDescent="0.2">
      <c r="B62" s="130" t="s">
        <v>495</v>
      </c>
      <c r="C62" s="203" t="e">
        <f>(#REF!+C23+C18)/(E17+E18+E19)</f>
        <v>#REF!</v>
      </c>
    </row>
    <row r="63" spans="1:11" x14ac:dyDescent="0.2">
      <c r="B63" s="130" t="s">
        <v>496</v>
      </c>
      <c r="C63" s="203" t="e">
        <f>C29/E21</f>
        <v>#DIV/0!</v>
      </c>
    </row>
    <row r="65" spans="2:10" x14ac:dyDescent="0.2">
      <c r="B65" s="130" t="s">
        <v>497</v>
      </c>
      <c r="C65" s="233" t="e">
        <f>E10/(E10+E21)*C53+E21/(E10+E21)*C60</f>
        <v>#DIV/0!</v>
      </c>
    </row>
    <row r="76" spans="2:10" x14ac:dyDescent="0.2">
      <c r="G76" s="98"/>
      <c r="H76" s="98"/>
      <c r="I76" s="158"/>
      <c r="J76" s="98"/>
    </row>
    <row r="77" spans="2:10" x14ac:dyDescent="0.2">
      <c r="J77" s="98"/>
    </row>
    <row r="78" spans="2:10" x14ac:dyDescent="0.2">
      <c r="J78" s="98"/>
    </row>
    <row r="79" spans="2:10" x14ac:dyDescent="0.2">
      <c r="J79" s="98"/>
    </row>
    <row r="80" spans="2:10" x14ac:dyDescent="0.2">
      <c r="J80" s="98"/>
    </row>
    <row r="81" spans="7:10" x14ac:dyDescent="0.2">
      <c r="J81" s="98"/>
    </row>
    <row r="82" spans="7:10" x14ac:dyDescent="0.2">
      <c r="J82" s="98"/>
    </row>
    <row r="83" spans="7:10" x14ac:dyDescent="0.2">
      <c r="J83" s="98"/>
    </row>
    <row r="84" spans="7:10" x14ac:dyDescent="0.2">
      <c r="J84" s="98"/>
    </row>
    <row r="85" spans="7:10" x14ac:dyDescent="0.2">
      <c r="J85" s="98"/>
    </row>
    <row r="86" spans="7:10" x14ac:dyDescent="0.2">
      <c r="J86" s="98"/>
    </row>
    <row r="87" spans="7:10" x14ac:dyDescent="0.2">
      <c r="J87" s="98"/>
    </row>
    <row r="88" spans="7:10" x14ac:dyDescent="0.2">
      <c r="J88" s="98"/>
    </row>
    <row r="89" spans="7:10" x14ac:dyDescent="0.2">
      <c r="G89" s="158"/>
      <c r="H89" s="158"/>
      <c r="I89" s="158"/>
      <c r="J89" s="98"/>
    </row>
    <row r="90" spans="7:10" x14ac:dyDescent="0.2">
      <c r="G90" s="158"/>
      <c r="H90" s="158"/>
      <c r="I90" s="158"/>
      <c r="J90" s="98"/>
    </row>
    <row r="91" spans="7:10" x14ac:dyDescent="0.2">
      <c r="G91" s="158"/>
      <c r="H91" s="158"/>
      <c r="I91" s="158"/>
      <c r="J91" s="98"/>
    </row>
    <row r="92" spans="7:10" x14ac:dyDescent="0.2">
      <c r="G92" s="158"/>
      <c r="H92" s="158"/>
      <c r="I92" s="158"/>
      <c r="J92" s="98"/>
    </row>
    <row r="93" spans="7:10" x14ac:dyDescent="0.2">
      <c r="G93" s="158"/>
      <c r="H93" s="158"/>
      <c r="I93" s="158"/>
      <c r="J93" s="98"/>
    </row>
    <row r="94" spans="7:10" x14ac:dyDescent="0.2">
      <c r="G94" s="158"/>
      <c r="H94" s="158"/>
      <c r="I94" s="158"/>
      <c r="J94" s="98"/>
    </row>
    <row r="95" spans="7:10" x14ac:dyDescent="0.2">
      <c r="G95" s="158"/>
      <c r="H95" s="158"/>
      <c r="I95" s="158"/>
      <c r="J95" s="98"/>
    </row>
    <row r="96" spans="7:10" x14ac:dyDescent="0.2">
      <c r="G96" s="158"/>
      <c r="H96" s="158"/>
      <c r="I96" s="158"/>
      <c r="J96" s="98"/>
    </row>
    <row r="97" spans="2:10" x14ac:dyDescent="0.2">
      <c r="G97" s="158"/>
      <c r="H97" s="158"/>
      <c r="I97" s="158"/>
      <c r="J97" s="98"/>
    </row>
    <row r="98" spans="2:10" x14ac:dyDescent="0.2">
      <c r="G98" s="158"/>
      <c r="H98" s="158"/>
      <c r="I98" s="158"/>
      <c r="J98" s="98"/>
    </row>
    <row r="99" spans="2:10" x14ac:dyDescent="0.2">
      <c r="G99" s="158"/>
      <c r="H99" s="158"/>
      <c r="I99" s="158"/>
      <c r="J99" s="98"/>
    </row>
    <row r="100" spans="2:10" x14ac:dyDescent="0.2">
      <c r="G100" s="98"/>
      <c r="H100" s="98"/>
      <c r="I100" s="98"/>
      <c r="J100" s="98"/>
    </row>
    <row r="101" spans="2:10" x14ac:dyDescent="0.2">
      <c r="B101" s="215"/>
      <c r="C101" s="215"/>
      <c r="D101" s="215"/>
      <c r="E101" s="215"/>
      <c r="F101" s="98"/>
      <c r="G101" s="98"/>
      <c r="H101" s="98"/>
      <c r="I101" s="98"/>
      <c r="J101" s="98"/>
    </row>
    <row r="102" spans="2:10" x14ac:dyDescent="0.2">
      <c r="B102" s="98"/>
      <c r="C102" s="98"/>
      <c r="D102" s="98"/>
      <c r="E102" s="98"/>
      <c r="F102" s="98"/>
      <c r="G102" s="98"/>
      <c r="H102" s="98"/>
      <c r="I102" s="98"/>
      <c r="J102" s="98"/>
    </row>
    <row r="103" spans="2:10" x14ac:dyDescent="0.2">
      <c r="D103" s="98"/>
      <c r="E103" s="98"/>
      <c r="F103" s="98"/>
      <c r="G103" s="98"/>
      <c r="H103" s="98"/>
      <c r="I103" s="98"/>
      <c r="J103" s="98"/>
    </row>
    <row r="104" spans="2:10" x14ac:dyDescent="0.2">
      <c r="D104" s="100"/>
      <c r="E104" s="98"/>
      <c r="F104" s="98"/>
      <c r="G104" s="98"/>
      <c r="H104" s="98"/>
      <c r="I104" s="98"/>
      <c r="J104" s="98"/>
    </row>
    <row r="105" spans="2:10" x14ac:dyDescent="0.2">
      <c r="D105" s="100"/>
      <c r="E105" s="98"/>
      <c r="F105" s="98"/>
      <c r="G105" s="98"/>
      <c r="H105" s="98"/>
      <c r="I105" s="98"/>
      <c r="J105" s="98"/>
    </row>
    <row r="106" spans="2:10" x14ac:dyDescent="0.2">
      <c r="D106" s="100"/>
      <c r="E106" s="98"/>
      <c r="F106" s="98"/>
      <c r="G106" s="98"/>
      <c r="H106" s="98"/>
      <c r="I106" s="98"/>
      <c r="J106" s="98"/>
    </row>
    <row r="107" spans="2:10" x14ac:dyDescent="0.2">
      <c r="D107" s="100"/>
      <c r="E107" s="98"/>
      <c r="F107" s="98"/>
      <c r="G107" s="98"/>
      <c r="H107" s="98"/>
      <c r="I107" s="98"/>
      <c r="J107" s="98"/>
    </row>
    <row r="108" spans="2:10" x14ac:dyDescent="0.2">
      <c r="D108" s="100"/>
      <c r="E108" s="98"/>
      <c r="F108" s="98"/>
      <c r="G108" s="98"/>
      <c r="H108" s="98"/>
      <c r="I108" s="98"/>
      <c r="J108" s="98"/>
    </row>
    <row r="109" spans="2:10" x14ac:dyDescent="0.2">
      <c r="D109" s="100"/>
      <c r="E109" s="98"/>
      <c r="F109" s="98"/>
      <c r="G109" s="98"/>
      <c r="H109" s="98"/>
      <c r="I109" s="98"/>
      <c r="J109" s="98"/>
    </row>
    <row r="110" spans="2:10" x14ac:dyDescent="0.2">
      <c r="D110" s="100"/>
      <c r="E110" s="98"/>
      <c r="F110" s="98"/>
      <c r="G110" s="98"/>
      <c r="H110" s="98"/>
      <c r="I110" s="98"/>
      <c r="J110" s="98"/>
    </row>
    <row r="111" spans="2:10" x14ac:dyDescent="0.2">
      <c r="D111" s="100"/>
      <c r="E111" s="98"/>
      <c r="F111" s="98"/>
      <c r="G111" s="98"/>
      <c r="H111" s="98"/>
      <c r="I111" s="98"/>
      <c r="J111" s="98"/>
    </row>
    <row r="112" spans="2:10" x14ac:dyDescent="0.2">
      <c r="D112" s="100"/>
      <c r="E112" s="98"/>
      <c r="F112" s="98"/>
      <c r="G112" s="98"/>
      <c r="H112" s="98"/>
      <c r="I112" s="98"/>
      <c r="J112" s="98"/>
    </row>
    <row r="113" spans="4:10" x14ac:dyDescent="0.2">
      <c r="D113" s="100"/>
      <c r="E113" s="98"/>
      <c r="F113" s="98"/>
      <c r="G113" s="98"/>
      <c r="H113" s="98"/>
      <c r="I113" s="98"/>
      <c r="J113" s="98"/>
    </row>
    <row r="114" spans="4:10" x14ac:dyDescent="0.2">
      <c r="D114" s="100"/>
      <c r="E114" s="98"/>
      <c r="F114" s="98"/>
      <c r="G114" s="98"/>
      <c r="H114" s="98"/>
      <c r="I114" s="98"/>
      <c r="J114" s="98"/>
    </row>
    <row r="115" spans="4:10" x14ac:dyDescent="0.2">
      <c r="D115" s="98"/>
      <c r="E115" s="98"/>
      <c r="F115" s="98"/>
      <c r="G115" s="98"/>
      <c r="H115" s="98"/>
      <c r="I115" s="98"/>
      <c r="J115" s="98"/>
    </row>
    <row r="116" spans="4:10" x14ac:dyDescent="0.2">
      <c r="D116" s="98"/>
      <c r="E116" s="98"/>
      <c r="F116" s="98"/>
      <c r="G116" s="98"/>
      <c r="H116" s="98"/>
      <c r="I116" s="98"/>
      <c r="J116" s="98"/>
    </row>
    <row r="117" spans="4:10" x14ac:dyDescent="0.2">
      <c r="D117" s="98"/>
      <c r="E117" s="98"/>
      <c r="F117" s="98"/>
      <c r="G117" s="98"/>
      <c r="H117" s="98"/>
      <c r="I117" s="98"/>
      <c r="J117" s="98"/>
    </row>
    <row r="118" spans="4:10" x14ac:dyDescent="0.2">
      <c r="D118" s="98"/>
      <c r="E118" s="98"/>
      <c r="F118" s="98"/>
      <c r="G118" s="98"/>
      <c r="H118" s="98"/>
      <c r="I118" s="98"/>
      <c r="J118" s="98"/>
    </row>
    <row r="119" spans="4:10" x14ac:dyDescent="0.2">
      <c r="D119" s="98"/>
      <c r="E119" s="98"/>
      <c r="F119" s="98"/>
      <c r="G119" s="98"/>
      <c r="H119" s="98"/>
      <c r="I119" s="98"/>
      <c r="J119" s="98"/>
    </row>
    <row r="120" spans="4:10" x14ac:dyDescent="0.2">
      <c r="D120" s="98"/>
      <c r="E120" s="98"/>
      <c r="F120" s="98"/>
      <c r="G120" s="98"/>
      <c r="H120" s="98"/>
      <c r="I120" s="98"/>
      <c r="J120" s="98"/>
    </row>
    <row r="121" spans="4:10" x14ac:dyDescent="0.2">
      <c r="D121" s="98"/>
      <c r="E121" s="98"/>
      <c r="F121" s="98"/>
      <c r="G121" s="98"/>
      <c r="H121" s="98"/>
      <c r="I121" s="98"/>
      <c r="J121" s="98"/>
    </row>
    <row r="122" spans="4:10" x14ac:dyDescent="0.2">
      <c r="D122" s="98"/>
      <c r="E122" s="98"/>
      <c r="F122" s="98"/>
      <c r="G122" s="98"/>
      <c r="H122" s="98"/>
      <c r="I122" s="98"/>
      <c r="J122" s="98"/>
    </row>
    <row r="123" spans="4:10" x14ac:dyDescent="0.2">
      <c r="D123" s="98"/>
      <c r="E123" s="98"/>
      <c r="F123" s="98"/>
      <c r="G123" s="98"/>
      <c r="H123" s="98"/>
      <c r="I123" s="98"/>
      <c r="J123" s="98"/>
    </row>
  </sheetData>
  <sortState xmlns:xlrd2="http://schemas.microsoft.com/office/spreadsheetml/2017/richdata2" ref="H41:H67">
    <sortCondition ref="H41"/>
  </sortState>
  <dataConsolidate/>
  <mergeCells count="30">
    <mergeCell ref="H39:I39"/>
    <mergeCell ref="T34:U34"/>
    <mergeCell ref="V34:Y35"/>
    <mergeCell ref="H4:I4"/>
    <mergeCell ref="H19:I19"/>
    <mergeCell ref="H14:I14"/>
    <mergeCell ref="H9:I9"/>
    <mergeCell ref="L19:M19"/>
    <mergeCell ref="L14:M14"/>
    <mergeCell ref="T4:U4"/>
    <mergeCell ref="T9:U9"/>
    <mergeCell ref="T14:U14"/>
    <mergeCell ref="L4:M4"/>
    <mergeCell ref="L9:M9"/>
    <mergeCell ref="P4:Q4"/>
    <mergeCell ref="P9:Q9"/>
    <mergeCell ref="P14:Q14"/>
    <mergeCell ref="T19:U19"/>
    <mergeCell ref="T24:U24"/>
    <mergeCell ref="H34:I34"/>
    <mergeCell ref="L34:M34"/>
    <mergeCell ref="P34:Q34"/>
    <mergeCell ref="P29:Q29"/>
    <mergeCell ref="L29:M29"/>
    <mergeCell ref="H29:I29"/>
    <mergeCell ref="P24:Q24"/>
    <mergeCell ref="L24:M24"/>
    <mergeCell ref="H24:I24"/>
    <mergeCell ref="T29:U29"/>
    <mergeCell ref="P19:Q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P73"/>
  <sheetViews>
    <sheetView zoomScale="75" workbookViewId="0">
      <selection activeCell="H25" sqref="H25"/>
    </sheetView>
  </sheetViews>
  <sheetFormatPr baseColWidth="10" defaultColWidth="10.5" defaultRowHeight="16" x14ac:dyDescent="0.2"/>
  <cols>
    <col min="2" max="2" width="49.5" customWidth="1"/>
    <col min="3" max="3" width="15" bestFit="1" customWidth="1"/>
    <col min="7" max="7" width="11" bestFit="1" customWidth="1"/>
    <col min="9" max="10" width="11" bestFit="1" customWidth="1"/>
  </cols>
  <sheetData>
    <row r="1" spans="1:14" x14ac:dyDescent="0.2">
      <c r="A1" s="1" t="s">
        <v>107</v>
      </c>
    </row>
    <row r="2" spans="1:14" x14ac:dyDescent="0.2">
      <c r="A2" t="s">
        <v>231</v>
      </c>
    </row>
    <row r="3" spans="1:14" x14ac:dyDescent="0.2">
      <c r="A3" t="s">
        <v>232</v>
      </c>
      <c r="F3" s="3" t="s">
        <v>239</v>
      </c>
      <c r="G3" s="3"/>
      <c r="H3" s="3"/>
      <c r="I3" s="3" t="s">
        <v>236</v>
      </c>
    </row>
    <row r="4" spans="1:14" x14ac:dyDescent="0.2">
      <c r="A4" t="s">
        <v>233</v>
      </c>
      <c r="F4" s="3" t="s">
        <v>238</v>
      </c>
      <c r="G4" s="3"/>
      <c r="H4" s="3"/>
      <c r="I4" s="3" t="s">
        <v>237</v>
      </c>
    </row>
    <row r="5" spans="1:14" x14ac:dyDescent="0.2">
      <c r="A5" s="1"/>
    </row>
    <row r="6" spans="1:14" x14ac:dyDescent="0.2">
      <c r="A6" s="1"/>
      <c r="B6" s="3" t="s">
        <v>560</v>
      </c>
    </row>
    <row r="7" spans="1:14" x14ac:dyDescent="0.2">
      <c r="A7" s="1"/>
      <c r="B7" s="3" t="s">
        <v>561</v>
      </c>
    </row>
    <row r="8" spans="1:14" x14ac:dyDescent="0.2">
      <c r="A8" s="1"/>
      <c r="B8" s="3"/>
    </row>
    <row r="9" spans="1:14" ht="17" thickBot="1" x14ac:dyDescent="0.25"/>
    <row r="10" spans="1:14" x14ac:dyDescent="0.2">
      <c r="A10" s="1"/>
      <c r="B10" s="590" t="s">
        <v>559</v>
      </c>
      <c r="C10" s="590"/>
      <c r="E10" s="52"/>
      <c r="F10" s="53"/>
      <c r="G10" s="569" t="s">
        <v>558</v>
      </c>
      <c r="H10" s="570"/>
      <c r="I10" s="569" t="s">
        <v>559</v>
      </c>
      <c r="J10" s="570"/>
      <c r="K10" s="569" t="s">
        <v>55</v>
      </c>
      <c r="L10" s="570"/>
      <c r="M10" s="569" t="s">
        <v>54</v>
      </c>
      <c r="N10" s="570"/>
    </row>
    <row r="11" spans="1:14" ht="17" thickBot="1" x14ac:dyDescent="0.25">
      <c r="B11" t="s">
        <v>511</v>
      </c>
      <c r="E11" s="571" t="s">
        <v>85</v>
      </c>
      <c r="F11" s="572"/>
      <c r="G11" s="54" t="s">
        <v>86</v>
      </c>
      <c r="H11" s="55" t="s">
        <v>87</v>
      </c>
      <c r="I11" s="54" t="s">
        <v>86</v>
      </c>
      <c r="J11" s="55" t="s">
        <v>87</v>
      </c>
      <c r="K11" s="54" t="s">
        <v>86</v>
      </c>
      <c r="L11" s="56" t="s">
        <v>87</v>
      </c>
      <c r="M11" s="57" t="s">
        <v>86</v>
      </c>
      <c r="N11" s="56" t="s">
        <v>87</v>
      </c>
    </row>
    <row r="12" spans="1:14" x14ac:dyDescent="0.2">
      <c r="B12" t="s">
        <v>246</v>
      </c>
      <c r="C12" s="148"/>
      <c r="E12" s="592" t="s">
        <v>88</v>
      </c>
      <c r="F12" s="593"/>
      <c r="G12" s="59"/>
      <c r="H12" s="60"/>
      <c r="I12" s="61"/>
      <c r="J12" s="62">
        <f>C41+C36+C37+C34</f>
        <v>0</v>
      </c>
      <c r="K12" s="63"/>
      <c r="L12" s="64">
        <f>H12+J12</f>
        <v>0</v>
      </c>
      <c r="M12" s="63"/>
      <c r="N12" s="65"/>
    </row>
    <row r="13" spans="1:14" x14ac:dyDescent="0.2">
      <c r="B13" t="s">
        <v>523</v>
      </c>
      <c r="E13" s="580" t="s">
        <v>89</v>
      </c>
      <c r="F13" s="581"/>
      <c r="G13" s="67"/>
      <c r="H13" s="68"/>
      <c r="I13" s="69">
        <f>J26</f>
        <v>0</v>
      </c>
      <c r="J13" s="69"/>
      <c r="K13" s="63">
        <f>G13+I13</f>
        <v>0</v>
      </c>
      <c r="L13" s="64"/>
      <c r="M13" s="70"/>
      <c r="N13" s="71"/>
    </row>
    <row r="14" spans="1:14" x14ac:dyDescent="0.2">
      <c r="B14" t="s">
        <v>392</v>
      </c>
      <c r="C14" s="149"/>
      <c r="E14" s="580" t="s">
        <v>90</v>
      </c>
      <c r="F14" s="581"/>
      <c r="G14" s="67"/>
      <c r="H14" s="68"/>
      <c r="I14" s="72">
        <f>C28+C42</f>
        <v>0</v>
      </c>
      <c r="J14" s="69"/>
      <c r="K14" s="63">
        <f>G14+I14</f>
        <v>0</v>
      </c>
      <c r="L14" s="64"/>
      <c r="M14" s="70"/>
      <c r="N14" s="71"/>
    </row>
    <row r="15" spans="1:14" x14ac:dyDescent="0.2">
      <c r="B15" t="s">
        <v>509</v>
      </c>
      <c r="C15" s="149"/>
      <c r="E15" s="580" t="s">
        <v>91</v>
      </c>
      <c r="F15" s="581"/>
      <c r="G15" s="67"/>
      <c r="H15" s="68"/>
      <c r="I15" s="72">
        <f>C26</f>
        <v>0</v>
      </c>
      <c r="J15" s="69"/>
      <c r="K15" s="63">
        <f>I15</f>
        <v>0</v>
      </c>
      <c r="L15" s="64"/>
      <c r="M15" s="70"/>
      <c r="N15" s="71"/>
    </row>
    <row r="16" spans="1:14" x14ac:dyDescent="0.2">
      <c r="B16" t="s">
        <v>499</v>
      </c>
      <c r="C16" s="149"/>
      <c r="E16" s="580" t="s">
        <v>52</v>
      </c>
      <c r="F16" s="581"/>
      <c r="G16" s="67"/>
      <c r="H16" s="68"/>
      <c r="I16" s="72">
        <f>C39</f>
        <v>0</v>
      </c>
      <c r="J16" s="69"/>
      <c r="K16" s="63">
        <f>G16+I16</f>
        <v>0</v>
      </c>
      <c r="L16" s="64"/>
      <c r="M16" s="70"/>
      <c r="N16" s="71"/>
    </row>
    <row r="17" spans="2:14" x14ac:dyDescent="0.2">
      <c r="B17" t="s">
        <v>522</v>
      </c>
      <c r="C17" s="329"/>
      <c r="E17" s="66" t="s">
        <v>249</v>
      </c>
      <c r="F17" s="73"/>
      <c r="G17" s="67"/>
      <c r="H17" s="68"/>
      <c r="I17" s="72">
        <f>C35+C16</f>
        <v>0</v>
      </c>
      <c r="J17" s="69"/>
      <c r="K17" s="63">
        <f>I17</f>
        <v>0</v>
      </c>
      <c r="L17" s="64"/>
      <c r="M17" s="70"/>
      <c r="N17" s="71"/>
    </row>
    <row r="18" spans="2:14" x14ac:dyDescent="0.2">
      <c r="B18" t="s">
        <v>109</v>
      </c>
      <c r="C18" s="148"/>
      <c r="E18" s="580" t="s">
        <v>246</v>
      </c>
      <c r="F18" s="581"/>
      <c r="G18" s="67"/>
      <c r="H18" s="68"/>
      <c r="I18" s="72">
        <f>C17</f>
        <v>0</v>
      </c>
      <c r="J18" s="69"/>
      <c r="K18" s="63">
        <f>I18</f>
        <v>0</v>
      </c>
      <c r="L18" s="64"/>
      <c r="M18" s="70"/>
      <c r="N18" s="71"/>
    </row>
    <row r="19" spans="2:14" x14ac:dyDescent="0.2">
      <c r="B19" t="s">
        <v>513</v>
      </c>
      <c r="C19" s="149"/>
      <c r="E19" s="591" t="s">
        <v>48</v>
      </c>
      <c r="F19" s="581"/>
      <c r="G19" s="67"/>
      <c r="H19" s="68"/>
      <c r="I19" s="72">
        <f>C33</f>
        <v>0</v>
      </c>
      <c r="J19" s="69"/>
      <c r="K19" s="63">
        <f>G19+I19</f>
        <v>0</v>
      </c>
      <c r="L19" s="64"/>
      <c r="M19" s="70"/>
      <c r="N19" s="71"/>
    </row>
    <row r="20" spans="2:14" x14ac:dyDescent="0.2">
      <c r="B20" t="s">
        <v>230</v>
      </c>
      <c r="C20" s="149"/>
      <c r="E20" s="584" t="s">
        <v>92</v>
      </c>
      <c r="F20" s="585"/>
      <c r="G20" s="67"/>
      <c r="H20" s="68"/>
      <c r="I20" s="72"/>
      <c r="J20" s="69">
        <f>C32</f>
        <v>0</v>
      </c>
      <c r="K20" s="63"/>
      <c r="L20" s="64">
        <f>H20</f>
        <v>0</v>
      </c>
      <c r="M20" s="58"/>
      <c r="N20" s="71"/>
    </row>
    <row r="21" spans="2:14" x14ac:dyDescent="0.2">
      <c r="B21" t="s">
        <v>520</v>
      </c>
      <c r="C21" s="329"/>
      <c r="E21" s="586" t="s">
        <v>93</v>
      </c>
      <c r="F21" s="587"/>
      <c r="G21" s="67"/>
      <c r="H21" s="68"/>
      <c r="I21" s="72">
        <f>C31</f>
        <v>0</v>
      </c>
      <c r="J21" s="69"/>
      <c r="K21" s="63"/>
      <c r="L21" s="64"/>
      <c r="M21" s="70">
        <f>G21+I21</f>
        <v>0</v>
      </c>
      <c r="N21" s="71"/>
    </row>
    <row r="22" spans="2:14" x14ac:dyDescent="0.2">
      <c r="B22" t="s">
        <v>50</v>
      </c>
      <c r="C22" s="329"/>
      <c r="D22" s="146"/>
      <c r="E22" s="588" t="s">
        <v>508</v>
      </c>
      <c r="F22" s="589"/>
      <c r="H22" s="68"/>
      <c r="I22" s="72">
        <f>C23</f>
        <v>0</v>
      </c>
      <c r="J22" s="69"/>
      <c r="K22" s="70"/>
      <c r="L22" s="71"/>
      <c r="M22" s="70">
        <f>G22</f>
        <v>0</v>
      </c>
      <c r="N22" s="68"/>
    </row>
    <row r="23" spans="2:14" x14ac:dyDescent="0.2">
      <c r="B23" t="s">
        <v>243</v>
      </c>
      <c r="C23" s="149"/>
      <c r="D23" s="147"/>
      <c r="E23" s="580" t="s">
        <v>247</v>
      </c>
      <c r="F23" s="581"/>
      <c r="G23" s="67"/>
      <c r="H23" s="68"/>
      <c r="I23" s="72"/>
      <c r="J23" s="69">
        <f>C12</f>
        <v>0</v>
      </c>
      <c r="K23" s="70"/>
      <c r="L23" s="71"/>
      <c r="M23" s="70"/>
      <c r="N23" s="68">
        <f>H23+J23</f>
        <v>0</v>
      </c>
    </row>
    <row r="24" spans="2:14" x14ac:dyDescent="0.2">
      <c r="B24" t="s">
        <v>396</v>
      </c>
      <c r="C24" s="149"/>
      <c r="E24" s="580" t="s">
        <v>94</v>
      </c>
      <c r="F24" s="581"/>
      <c r="G24" s="67"/>
      <c r="H24" s="68"/>
      <c r="I24" s="72"/>
      <c r="J24" s="69"/>
      <c r="K24" s="70"/>
      <c r="L24" s="71"/>
      <c r="M24" s="70">
        <f>G24</f>
        <v>0</v>
      </c>
      <c r="N24" s="71"/>
    </row>
    <row r="25" spans="2:14" x14ac:dyDescent="0.2">
      <c r="B25" t="s">
        <v>514</v>
      </c>
      <c r="C25" s="149"/>
      <c r="E25" s="573" t="s">
        <v>397</v>
      </c>
      <c r="F25" s="574"/>
      <c r="G25" s="67"/>
      <c r="H25" s="68"/>
      <c r="I25" s="72">
        <f>C30+C14+C21+C13</f>
        <v>0</v>
      </c>
      <c r="J25" s="69">
        <f>C15+C17</f>
        <v>0</v>
      </c>
      <c r="K25" s="70"/>
      <c r="L25" s="71"/>
      <c r="M25" s="70">
        <f>G25+I25-J25</f>
        <v>0</v>
      </c>
      <c r="N25" s="71"/>
    </row>
    <row r="26" spans="2:14" x14ac:dyDescent="0.2">
      <c r="B26" t="s">
        <v>507</v>
      </c>
      <c r="C26" s="333"/>
      <c r="E26" s="580" t="s">
        <v>74</v>
      </c>
      <c r="F26" s="581"/>
      <c r="G26" s="67"/>
      <c r="H26" s="68"/>
      <c r="I26" s="72">
        <f>C25+C24</f>
        <v>0</v>
      </c>
      <c r="J26" s="69">
        <f>G26-C44+C38</f>
        <v>0</v>
      </c>
      <c r="K26" s="70"/>
      <c r="L26" s="71"/>
      <c r="M26" s="67">
        <f>I26+G26-I13</f>
        <v>0</v>
      </c>
      <c r="N26" s="71"/>
    </row>
    <row r="27" spans="2:14" x14ac:dyDescent="0.2">
      <c r="B27" t="s">
        <v>240</v>
      </c>
      <c r="C27" s="333"/>
      <c r="D27" s="147"/>
      <c r="E27" s="580" t="s">
        <v>95</v>
      </c>
      <c r="F27" s="581"/>
      <c r="G27" s="67"/>
      <c r="H27" s="68"/>
      <c r="I27" s="69"/>
      <c r="J27" s="69"/>
      <c r="K27" s="70"/>
      <c r="L27" s="71"/>
      <c r="M27" s="70">
        <f>G27</f>
        <v>0</v>
      </c>
      <c r="N27" s="71"/>
    </row>
    <row r="28" spans="2:14" x14ac:dyDescent="0.2">
      <c r="B28" t="s">
        <v>510</v>
      </c>
      <c r="C28" s="335"/>
      <c r="E28" s="580" t="s">
        <v>96</v>
      </c>
      <c r="F28" s="581"/>
      <c r="G28" s="67"/>
      <c r="H28" s="68"/>
      <c r="I28" s="72">
        <f>C18+C19</f>
        <v>0</v>
      </c>
      <c r="J28" s="69"/>
      <c r="K28" s="70"/>
      <c r="L28" s="71"/>
      <c r="M28" s="70">
        <f>I28</f>
        <v>0</v>
      </c>
      <c r="N28" s="71"/>
    </row>
    <row r="29" spans="2:14" x14ac:dyDescent="0.2">
      <c r="B29" t="s">
        <v>242</v>
      </c>
      <c r="C29" s="333"/>
      <c r="E29" s="580" t="s">
        <v>97</v>
      </c>
      <c r="F29" s="581"/>
      <c r="G29" s="67"/>
      <c r="H29" s="68"/>
      <c r="I29" s="74">
        <f>C20+C29+C27+C32+C43+C34+C22</f>
        <v>0</v>
      </c>
      <c r="J29" s="69">
        <f>C30+C14+C23+C16+C18+C28+C39+C19+C24+C40+C33+C26+C11+C21+C42+C31</f>
        <v>0</v>
      </c>
      <c r="K29" s="70"/>
      <c r="L29" s="71"/>
      <c r="M29" s="70">
        <f>I29+G29-J29</f>
        <v>0</v>
      </c>
      <c r="N29" s="71"/>
    </row>
    <row r="30" spans="2:14" x14ac:dyDescent="0.2">
      <c r="B30" t="s">
        <v>235</v>
      </c>
      <c r="C30" s="334"/>
      <c r="E30" s="580" t="s">
        <v>98</v>
      </c>
      <c r="F30" s="581"/>
      <c r="G30" s="67"/>
      <c r="H30" s="68"/>
      <c r="I30" s="72"/>
      <c r="J30" s="75">
        <f>C20+C43</f>
        <v>0</v>
      </c>
      <c r="K30" s="70"/>
      <c r="L30" s="71"/>
      <c r="M30" s="70"/>
      <c r="N30" s="71">
        <f>H30+J30-I30</f>
        <v>0</v>
      </c>
    </row>
    <row r="31" spans="2:14" x14ac:dyDescent="0.2">
      <c r="B31" t="s">
        <v>93</v>
      </c>
      <c r="C31" s="335"/>
      <c r="E31" s="580" t="s">
        <v>99</v>
      </c>
      <c r="F31" s="581"/>
      <c r="G31" s="67"/>
      <c r="H31" s="68"/>
      <c r="I31" s="72"/>
      <c r="J31" s="75">
        <f>C40</f>
        <v>0</v>
      </c>
      <c r="K31" s="70"/>
      <c r="L31" s="71"/>
      <c r="M31" s="70">
        <f>G31</f>
        <v>0</v>
      </c>
      <c r="N31" s="71"/>
    </row>
    <row r="32" spans="2:14" x14ac:dyDescent="0.2">
      <c r="B32" t="s">
        <v>92</v>
      </c>
      <c r="C32" s="330"/>
      <c r="E32" s="580" t="s">
        <v>240</v>
      </c>
      <c r="F32" s="581"/>
      <c r="G32" s="67"/>
      <c r="H32" s="68"/>
      <c r="I32" s="72">
        <f>C11</f>
        <v>0</v>
      </c>
      <c r="J32" s="69">
        <f>C27</f>
        <v>0</v>
      </c>
      <c r="K32" s="70"/>
      <c r="L32" s="71"/>
      <c r="M32" s="70"/>
      <c r="N32" s="71">
        <f>H32+J32-I32</f>
        <v>0</v>
      </c>
    </row>
    <row r="33" spans="1:16" x14ac:dyDescent="0.2">
      <c r="B33" t="s">
        <v>399</v>
      </c>
      <c r="C33" s="330"/>
      <c r="E33" s="580" t="s">
        <v>50</v>
      </c>
      <c r="F33" s="581"/>
      <c r="G33" s="67"/>
      <c r="H33" s="68"/>
      <c r="I33" s="72"/>
      <c r="J33" s="69">
        <f>C22</f>
        <v>0</v>
      </c>
      <c r="K33" s="70"/>
      <c r="L33" s="71"/>
      <c r="M33" s="70"/>
      <c r="N33" s="71">
        <f>H33+J33-I33</f>
        <v>0</v>
      </c>
    </row>
    <row r="34" spans="1:16" x14ac:dyDescent="0.2">
      <c r="B34" t="s">
        <v>254</v>
      </c>
      <c r="C34" s="332"/>
      <c r="E34" s="66" t="s">
        <v>395</v>
      </c>
      <c r="F34" s="73"/>
      <c r="G34" s="67"/>
      <c r="H34" s="68"/>
      <c r="I34" s="72">
        <f>C41+C37+C36</f>
        <v>0</v>
      </c>
      <c r="J34" s="69">
        <f>C29</f>
        <v>0</v>
      </c>
      <c r="K34" s="70"/>
      <c r="L34" s="71"/>
      <c r="M34" s="70">
        <f>I34-J34</f>
        <v>0</v>
      </c>
      <c r="N34" s="71"/>
      <c r="P34" s="158"/>
    </row>
    <row r="35" spans="1:16" x14ac:dyDescent="0.2">
      <c r="B35" t="s">
        <v>248</v>
      </c>
      <c r="C35" s="330"/>
      <c r="E35" s="580" t="s">
        <v>53</v>
      </c>
      <c r="F35" s="581"/>
      <c r="G35" s="67"/>
      <c r="H35" s="68"/>
      <c r="I35" s="72"/>
      <c r="J35" s="69">
        <f>C25+C13</f>
        <v>0</v>
      </c>
      <c r="K35" s="70"/>
      <c r="L35" s="71"/>
      <c r="M35" s="70"/>
      <c r="N35" s="71">
        <f>H35+J35</f>
        <v>0</v>
      </c>
    </row>
    <row r="36" spans="1:16" x14ac:dyDescent="0.2">
      <c r="B36" t="s">
        <v>498</v>
      </c>
      <c r="C36" s="330"/>
      <c r="E36" s="580" t="s">
        <v>101</v>
      </c>
      <c r="F36" s="581"/>
      <c r="G36" s="67"/>
      <c r="H36" s="68"/>
      <c r="I36" s="75"/>
      <c r="J36" s="69">
        <f>G36</f>
        <v>0</v>
      </c>
      <c r="K36" s="70"/>
      <c r="L36" s="71"/>
      <c r="M36" s="70"/>
      <c r="N36" s="71"/>
    </row>
    <row r="37" spans="1:16" x14ac:dyDescent="0.2">
      <c r="B37" t="s">
        <v>512</v>
      </c>
      <c r="C37" s="330"/>
      <c r="E37" s="580" t="s">
        <v>102</v>
      </c>
      <c r="F37" s="581"/>
      <c r="G37" s="67"/>
      <c r="H37" s="68"/>
      <c r="I37" s="67">
        <f>H37</f>
        <v>0</v>
      </c>
      <c r="J37" s="75"/>
      <c r="K37" s="70"/>
      <c r="L37" s="71"/>
      <c r="M37" s="70"/>
      <c r="N37" s="71"/>
    </row>
    <row r="38" spans="1:16" x14ac:dyDescent="0.2">
      <c r="B38" t="s">
        <v>393</v>
      </c>
      <c r="C38" s="330"/>
      <c r="E38" s="580" t="s">
        <v>103</v>
      </c>
      <c r="F38" s="581"/>
      <c r="G38" s="67"/>
      <c r="H38" s="68"/>
      <c r="I38" s="76">
        <f>G36</f>
        <v>0</v>
      </c>
      <c r="J38" s="77">
        <f>H37</f>
        <v>0</v>
      </c>
      <c r="K38" s="78"/>
      <c r="L38" s="79"/>
      <c r="M38" s="78"/>
      <c r="N38" s="71">
        <f>J38-I38</f>
        <v>0</v>
      </c>
    </row>
    <row r="39" spans="1:16" ht="17" thickBot="1" x14ac:dyDescent="0.25">
      <c r="B39" t="s">
        <v>394</v>
      </c>
      <c r="C39" s="330"/>
      <c r="E39" s="582" t="s">
        <v>104</v>
      </c>
      <c r="F39" s="583"/>
      <c r="G39" s="80"/>
      <c r="H39" s="81"/>
      <c r="I39" s="82"/>
      <c r="J39" s="83">
        <f>C35</f>
        <v>0</v>
      </c>
      <c r="K39" s="78"/>
      <c r="L39" s="79"/>
      <c r="M39" s="78"/>
      <c r="N39" s="71">
        <f>H39+J39</f>
        <v>0</v>
      </c>
    </row>
    <row r="40" spans="1:16" x14ac:dyDescent="0.2">
      <c r="B40" t="s">
        <v>349</v>
      </c>
      <c r="C40" s="331"/>
      <c r="E40" s="52" t="s">
        <v>105</v>
      </c>
      <c r="F40" s="84"/>
      <c r="G40" s="85">
        <f t="shared" ref="G40:N40" si="0">SUM(G12:G39)</f>
        <v>0</v>
      </c>
      <c r="H40" s="85">
        <f t="shared" si="0"/>
        <v>0</v>
      </c>
      <c r="I40" s="85">
        <f>SUM(I12:I39)</f>
        <v>0</v>
      </c>
      <c r="J40" s="85">
        <f>SUM(J12:J39)</f>
        <v>0</v>
      </c>
      <c r="K40" s="85">
        <f t="shared" si="0"/>
        <v>0</v>
      </c>
      <c r="L40" s="85">
        <f t="shared" si="0"/>
        <v>0</v>
      </c>
      <c r="M40" s="85">
        <f>SUM(M12:M39)</f>
        <v>0</v>
      </c>
      <c r="N40" s="86">
        <f t="shared" si="0"/>
        <v>0</v>
      </c>
    </row>
    <row r="41" spans="1:16" x14ac:dyDescent="0.2">
      <c r="B41" t="s">
        <v>241</v>
      </c>
      <c r="C41" s="330"/>
      <c r="E41" s="87" t="s">
        <v>106</v>
      </c>
      <c r="F41" s="88"/>
      <c r="G41" s="70"/>
      <c r="H41" s="71"/>
      <c r="I41" s="70"/>
      <c r="J41" s="69"/>
      <c r="K41" s="70">
        <f>L40-K40</f>
        <v>0</v>
      </c>
      <c r="L41" s="71"/>
      <c r="M41" s="70"/>
      <c r="N41" s="89">
        <f>M40-N40</f>
        <v>0</v>
      </c>
      <c r="O41" s="1" t="s">
        <v>162</v>
      </c>
    </row>
    <row r="42" spans="1:16" ht="17" thickBot="1" x14ac:dyDescent="0.25">
      <c r="B42" t="s">
        <v>521</v>
      </c>
      <c r="C42" s="332"/>
      <c r="E42" s="90"/>
      <c r="F42" s="91"/>
      <c r="G42" s="92"/>
      <c r="H42" s="93"/>
      <c r="I42" s="92"/>
      <c r="J42" s="94"/>
      <c r="K42" s="92">
        <f>K40+K41</f>
        <v>0</v>
      </c>
      <c r="L42" s="92">
        <f>L40+L41</f>
        <v>0</v>
      </c>
      <c r="M42" s="92">
        <f>M40+M41</f>
        <v>0</v>
      </c>
      <c r="N42" s="95">
        <f>N40+N41</f>
        <v>0</v>
      </c>
    </row>
    <row r="43" spans="1:16" x14ac:dyDescent="0.2">
      <c r="B43" t="s">
        <v>398</v>
      </c>
      <c r="C43" s="330"/>
    </row>
    <row r="44" spans="1:16" x14ac:dyDescent="0.2">
      <c r="B44" t="s">
        <v>108</v>
      </c>
      <c r="C44" s="148"/>
    </row>
    <row r="45" spans="1:16" s="238" customFormat="1" x14ac:dyDescent="0.2">
      <c r="C45" s="427"/>
    </row>
    <row r="47" spans="1:16" x14ac:dyDescent="0.2">
      <c r="A47" s="1" t="s">
        <v>696</v>
      </c>
    </row>
    <row r="48" spans="1:16" x14ac:dyDescent="0.2">
      <c r="A48" t="s">
        <v>250</v>
      </c>
    </row>
    <row r="49" spans="1:8" x14ac:dyDescent="0.2">
      <c r="A49" t="s">
        <v>251</v>
      </c>
    </row>
    <row r="50" spans="1:8" x14ac:dyDescent="0.2">
      <c r="A50" t="s">
        <v>252</v>
      </c>
    </row>
    <row r="52" spans="1:8" x14ac:dyDescent="0.2">
      <c r="A52" t="s">
        <v>253</v>
      </c>
      <c r="C52" s="149">
        <f>(C29+C41)/100*20</f>
        <v>0</v>
      </c>
    </row>
    <row r="53" spans="1:8" x14ac:dyDescent="0.2">
      <c r="A53" t="s">
        <v>255</v>
      </c>
      <c r="C53" s="149">
        <f>(C30+C14+C16)/100*20</f>
        <v>0</v>
      </c>
      <c r="E53" s="150" t="s">
        <v>245</v>
      </c>
      <c r="F53" s="151"/>
      <c r="G53" s="151"/>
      <c r="H53" s="152"/>
    </row>
    <row r="54" spans="1:8" x14ac:dyDescent="0.2">
      <c r="E54" s="575" t="s">
        <v>244</v>
      </c>
      <c r="F54" s="539"/>
      <c r="G54" s="539"/>
      <c r="H54" s="576"/>
    </row>
    <row r="55" spans="1:8" x14ac:dyDescent="0.2">
      <c r="A55" t="s">
        <v>288</v>
      </c>
      <c r="C55" s="149">
        <f>C52-C53</f>
        <v>0</v>
      </c>
      <c r="E55" s="577"/>
      <c r="F55" s="578"/>
      <c r="G55" s="578"/>
      <c r="H55" s="579"/>
    </row>
    <row r="56" spans="1:8" s="238" customFormat="1" x14ac:dyDescent="0.2"/>
    <row r="58" spans="1:8" x14ac:dyDescent="0.2">
      <c r="A58" s="1" t="s">
        <v>697</v>
      </c>
    </row>
    <row r="59" spans="1:8" x14ac:dyDescent="0.2">
      <c r="A59" s="3" t="s">
        <v>380</v>
      </c>
    </row>
    <row r="61" spans="1:8" x14ac:dyDescent="0.2">
      <c r="B61" s="130" t="s">
        <v>376</v>
      </c>
      <c r="C61" s="203" t="e">
        <f>N41/N30</f>
        <v>#DIV/0!</v>
      </c>
    </row>
    <row r="62" spans="1:8" x14ac:dyDescent="0.2">
      <c r="B62" s="130" t="s">
        <v>180</v>
      </c>
      <c r="C62" s="204" t="e">
        <f>(N41+K19-L20)/L12</f>
        <v>#DIV/0!</v>
      </c>
    </row>
    <row r="63" spans="1:8" x14ac:dyDescent="0.2">
      <c r="B63" s="130" t="s">
        <v>181</v>
      </c>
      <c r="C63" s="203" t="e">
        <f>L12/M42</f>
        <v>#DIV/0!</v>
      </c>
    </row>
    <row r="64" spans="1:8" x14ac:dyDescent="0.2">
      <c r="B64" s="130" t="s">
        <v>377</v>
      </c>
      <c r="C64" s="204" t="e">
        <f>K41/(K41+K19-L20)</f>
        <v>#DIV/0!</v>
      </c>
    </row>
    <row r="65" spans="2:3" x14ac:dyDescent="0.2">
      <c r="B65" s="130" t="s">
        <v>378</v>
      </c>
      <c r="C65" s="203" t="e">
        <f>M42/N30</f>
        <v>#DIV/0!</v>
      </c>
    </row>
    <row r="66" spans="2:3" x14ac:dyDescent="0.2">
      <c r="B66" s="130" t="s">
        <v>379</v>
      </c>
      <c r="C66" s="203" t="e">
        <f>C64*C65</f>
        <v>#DIV/0!</v>
      </c>
    </row>
    <row r="67" spans="2:3" x14ac:dyDescent="0.2">
      <c r="B67" s="130" t="s">
        <v>206</v>
      </c>
      <c r="C67" s="204" t="e">
        <f>(K41+K19-L20)/M42</f>
        <v>#DIV/0!</v>
      </c>
    </row>
    <row r="70" spans="2:3" x14ac:dyDescent="0.2">
      <c r="B70" s="130" t="s">
        <v>381</v>
      </c>
      <c r="C70" s="130"/>
    </row>
    <row r="71" spans="2:3" x14ac:dyDescent="0.2">
      <c r="B71" s="130" t="s">
        <v>382</v>
      </c>
      <c r="C71" s="130"/>
    </row>
    <row r="73" spans="2:3" x14ac:dyDescent="0.2">
      <c r="B73" s="124"/>
    </row>
  </sheetData>
  <autoFilter ref="E10:O42" xr:uid="{00000000-0009-0000-0000-000004000000}">
    <filterColumn colId="2" showButton="0"/>
    <filterColumn colId="4" showButton="0"/>
    <filterColumn colId="6" showButton="0"/>
    <filterColumn colId="8" showButton="0"/>
  </autoFilter>
  <mergeCells count="33">
    <mergeCell ref="B10:C10"/>
    <mergeCell ref="E16:F16"/>
    <mergeCell ref="E18:F18"/>
    <mergeCell ref="E19:F19"/>
    <mergeCell ref="G10:H10"/>
    <mergeCell ref="E12:F12"/>
    <mergeCell ref="E13:F13"/>
    <mergeCell ref="E14:F14"/>
    <mergeCell ref="E15:F15"/>
    <mergeCell ref="E28:F28"/>
    <mergeCell ref="E29:F29"/>
    <mergeCell ref="E30:F30"/>
    <mergeCell ref="E20:F20"/>
    <mergeCell ref="E21:F21"/>
    <mergeCell ref="E22:F22"/>
    <mergeCell ref="E23:F23"/>
    <mergeCell ref="E24:F24"/>
    <mergeCell ref="M10:N10"/>
    <mergeCell ref="E11:F11"/>
    <mergeCell ref="E25:F25"/>
    <mergeCell ref="E54:H55"/>
    <mergeCell ref="E37:F37"/>
    <mergeCell ref="E38:F38"/>
    <mergeCell ref="E39:F39"/>
    <mergeCell ref="K10:L10"/>
    <mergeCell ref="I10:J10"/>
    <mergeCell ref="E31:F31"/>
    <mergeCell ref="E32:F32"/>
    <mergeCell ref="E33:F33"/>
    <mergeCell ref="E35:F35"/>
    <mergeCell ref="E36:F36"/>
    <mergeCell ref="E26:F26"/>
    <mergeCell ref="E27:F27"/>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39"/>
  <sheetViews>
    <sheetView topLeftCell="A24" zoomScale="71" zoomScaleNormal="80" zoomScalePageLayoutView="80" workbookViewId="0">
      <selection activeCell="H25" sqref="H25"/>
    </sheetView>
  </sheetViews>
  <sheetFormatPr baseColWidth="10" defaultColWidth="10.5" defaultRowHeight="16" x14ac:dyDescent="0.2"/>
  <cols>
    <col min="1" max="1" width="21" customWidth="1"/>
    <col min="2" max="2" width="21" bestFit="1" customWidth="1"/>
    <col min="3" max="3" width="18.5" bestFit="1" customWidth="1"/>
    <col min="4" max="4" width="22" bestFit="1" customWidth="1"/>
    <col min="6" max="6" width="67.83203125" bestFit="1" customWidth="1"/>
  </cols>
  <sheetData>
    <row r="1" spans="1:9" ht="19" x14ac:dyDescent="0.25">
      <c r="A1" s="135" t="s">
        <v>699</v>
      </c>
    </row>
    <row r="2" spans="1:9" x14ac:dyDescent="0.2">
      <c r="A2" s="539" t="s">
        <v>564</v>
      </c>
      <c r="B2" s="539"/>
      <c r="C2" s="539"/>
      <c r="D2" s="539"/>
      <c r="E2" s="539"/>
      <c r="F2" s="539"/>
    </row>
    <row r="3" spans="1:9" x14ac:dyDescent="0.2">
      <c r="A3" s="539"/>
      <c r="B3" s="539"/>
      <c r="C3" s="539"/>
      <c r="D3" s="539"/>
      <c r="E3" s="539"/>
      <c r="F3" s="539"/>
    </row>
    <row r="4" spans="1:9" x14ac:dyDescent="0.2">
      <c r="F4" s="98"/>
      <c r="G4" s="98"/>
      <c r="H4" s="98"/>
      <c r="I4" s="98"/>
    </row>
    <row r="5" spans="1:9" x14ac:dyDescent="0.2">
      <c r="A5" s="431" t="s">
        <v>698</v>
      </c>
      <c r="B5" s="105"/>
      <c r="C5" s="5"/>
      <c r="D5" s="5"/>
      <c r="E5" s="160"/>
      <c r="F5" s="5"/>
      <c r="G5" s="5"/>
      <c r="H5" s="5"/>
      <c r="I5" s="5"/>
    </row>
    <row r="6" spans="1:9" x14ac:dyDescent="0.2">
      <c r="A6" s="432" t="s">
        <v>289</v>
      </c>
      <c r="B6" s="208">
        <v>500000</v>
      </c>
      <c r="C6" s="4"/>
      <c r="D6" s="5"/>
      <c r="E6" s="160"/>
      <c r="F6" s="159"/>
      <c r="G6" s="5"/>
      <c r="H6" s="5"/>
      <c r="I6" s="5"/>
    </row>
    <row r="7" spans="1:9" x14ac:dyDescent="0.2">
      <c r="A7" s="432" t="s">
        <v>19</v>
      </c>
      <c r="B7" s="208">
        <v>0</v>
      </c>
      <c r="C7" s="4"/>
      <c r="D7" s="5"/>
      <c r="E7" s="160"/>
      <c r="F7" s="159"/>
      <c r="G7" s="5"/>
      <c r="H7" s="5"/>
      <c r="I7" s="5"/>
    </row>
    <row r="8" spans="1:9" x14ac:dyDescent="0.2">
      <c r="A8" s="432" t="s">
        <v>20</v>
      </c>
      <c r="B8" s="432">
        <v>10</v>
      </c>
      <c r="C8" s="4" t="s">
        <v>78</v>
      </c>
      <c r="D8" s="5"/>
      <c r="E8" s="160"/>
      <c r="F8" s="159"/>
      <c r="G8" s="159"/>
      <c r="H8" s="159"/>
      <c r="I8" s="5"/>
    </row>
    <row r="9" spans="1:9" x14ac:dyDescent="0.2">
      <c r="A9" s="157"/>
      <c r="B9" s="157"/>
      <c r="C9" s="157"/>
      <c r="D9" s="157"/>
      <c r="E9" s="161"/>
      <c r="F9" s="159"/>
      <c r="G9" s="159"/>
      <c r="H9" s="159"/>
      <c r="I9" s="5"/>
    </row>
    <row r="10" spans="1:9" x14ac:dyDescent="0.2">
      <c r="A10" s="47" t="s">
        <v>79</v>
      </c>
      <c r="B10" s="48" t="s">
        <v>80</v>
      </c>
      <c r="C10" s="48" t="s">
        <v>81</v>
      </c>
      <c r="D10" s="49" t="s">
        <v>82</v>
      </c>
      <c r="E10" s="45"/>
      <c r="F10" s="5"/>
      <c r="G10" s="5"/>
      <c r="H10" s="5"/>
      <c r="I10" s="5"/>
    </row>
    <row r="11" spans="1:9" x14ac:dyDescent="0.2">
      <c r="A11" s="50">
        <v>1</v>
      </c>
      <c r="B11" s="33">
        <f>B6</f>
        <v>500000</v>
      </c>
      <c r="C11" s="33">
        <f>$B$6/$B$8</f>
        <v>50000</v>
      </c>
      <c r="D11" s="41">
        <f>B11-C11</f>
        <v>450000</v>
      </c>
      <c r="E11" s="45"/>
      <c r="F11" s="5"/>
      <c r="G11" s="5"/>
      <c r="H11" s="5"/>
      <c r="I11" s="5"/>
    </row>
    <row r="12" spans="1:9" x14ac:dyDescent="0.2">
      <c r="A12" s="50">
        <v>2</v>
      </c>
      <c r="B12" s="33">
        <f>B11-C12</f>
        <v>450000</v>
      </c>
      <c r="C12" s="33">
        <f>$B$6/$B$8</f>
        <v>50000</v>
      </c>
      <c r="D12" s="41">
        <f t="shared" ref="D12:D20" si="0">B12-C12</f>
        <v>400000</v>
      </c>
      <c r="E12" s="45"/>
      <c r="F12" s="5"/>
      <c r="G12" s="5"/>
      <c r="H12" s="5"/>
      <c r="I12" s="5"/>
    </row>
    <row r="13" spans="1:9" x14ac:dyDescent="0.2">
      <c r="A13" s="50">
        <v>3</v>
      </c>
      <c r="B13" s="33">
        <f t="shared" ref="B13:B20" si="1">B12-C13</f>
        <v>400000</v>
      </c>
      <c r="C13" s="33">
        <f t="shared" ref="C13:C19" si="2">$B$6/$B$8</f>
        <v>50000</v>
      </c>
      <c r="D13" s="41">
        <f t="shared" si="0"/>
        <v>350000</v>
      </c>
      <c r="E13" s="45"/>
      <c r="F13" s="5"/>
      <c r="G13" s="5"/>
      <c r="H13" s="5"/>
      <c r="I13" s="5"/>
    </row>
    <row r="14" spans="1:9" x14ac:dyDescent="0.2">
      <c r="A14" s="50">
        <v>4</v>
      </c>
      <c r="B14" s="33">
        <f t="shared" si="1"/>
        <v>350000</v>
      </c>
      <c r="C14" s="33">
        <f t="shared" si="2"/>
        <v>50000</v>
      </c>
      <c r="D14" s="41">
        <f t="shared" si="0"/>
        <v>300000</v>
      </c>
      <c r="E14" s="45"/>
      <c r="F14" s="5"/>
      <c r="G14" s="5"/>
      <c r="H14" s="5"/>
      <c r="I14" s="5"/>
    </row>
    <row r="15" spans="1:9" x14ac:dyDescent="0.2">
      <c r="A15" s="50">
        <v>5</v>
      </c>
      <c r="B15" s="33">
        <f t="shared" si="1"/>
        <v>300000</v>
      </c>
      <c r="C15" s="33">
        <f t="shared" si="2"/>
        <v>50000</v>
      </c>
      <c r="D15" s="41">
        <f t="shared" si="0"/>
        <v>250000</v>
      </c>
      <c r="E15" s="45"/>
      <c r="F15" s="5"/>
      <c r="G15" s="5"/>
      <c r="H15" s="5"/>
      <c r="I15" s="5"/>
    </row>
    <row r="16" spans="1:9" x14ac:dyDescent="0.2">
      <c r="A16" s="50">
        <v>6</v>
      </c>
      <c r="B16" s="33">
        <f t="shared" si="1"/>
        <v>250000</v>
      </c>
      <c r="C16" s="33">
        <f t="shared" si="2"/>
        <v>50000</v>
      </c>
      <c r="D16" s="41">
        <f t="shared" si="0"/>
        <v>200000</v>
      </c>
      <c r="E16" s="45"/>
      <c r="F16" s="5"/>
      <c r="G16" s="5"/>
      <c r="H16" s="5"/>
      <c r="I16" s="5"/>
    </row>
    <row r="17" spans="1:9" x14ac:dyDescent="0.2">
      <c r="A17" s="50">
        <v>7</v>
      </c>
      <c r="B17" s="33">
        <f t="shared" si="1"/>
        <v>200000</v>
      </c>
      <c r="C17" s="33">
        <f t="shared" si="2"/>
        <v>50000</v>
      </c>
      <c r="D17" s="41">
        <f t="shared" si="0"/>
        <v>150000</v>
      </c>
      <c r="E17" s="45"/>
      <c r="F17" s="5"/>
      <c r="G17" s="5"/>
      <c r="H17" s="5"/>
      <c r="I17" s="5"/>
    </row>
    <row r="18" spans="1:9" x14ac:dyDescent="0.2">
      <c r="A18" s="50">
        <v>8</v>
      </c>
      <c r="B18" s="33">
        <f t="shared" si="1"/>
        <v>150000</v>
      </c>
      <c r="C18" s="33">
        <f t="shared" si="2"/>
        <v>50000</v>
      </c>
      <c r="D18" s="41">
        <f t="shared" si="0"/>
        <v>100000</v>
      </c>
      <c r="E18" s="45"/>
      <c r="F18" s="5"/>
      <c r="G18" s="5"/>
      <c r="H18" s="5"/>
      <c r="I18" s="5"/>
    </row>
    <row r="19" spans="1:9" x14ac:dyDescent="0.2">
      <c r="A19" s="50">
        <v>9</v>
      </c>
      <c r="B19" s="33">
        <f t="shared" si="1"/>
        <v>100000</v>
      </c>
      <c r="C19" s="33">
        <f t="shared" si="2"/>
        <v>50000</v>
      </c>
      <c r="D19" s="41">
        <f t="shared" si="0"/>
        <v>50000</v>
      </c>
      <c r="E19" s="45"/>
      <c r="F19" s="5"/>
      <c r="G19" s="5"/>
      <c r="H19" s="5"/>
      <c r="I19" s="5"/>
    </row>
    <row r="20" spans="1:9" x14ac:dyDescent="0.2">
      <c r="A20" s="51">
        <v>10</v>
      </c>
      <c r="B20" s="43">
        <f t="shared" si="1"/>
        <v>50000</v>
      </c>
      <c r="C20" s="43">
        <f>$B$6/$B$8</f>
        <v>50000</v>
      </c>
      <c r="D20" s="44">
        <f t="shared" si="0"/>
        <v>0</v>
      </c>
      <c r="E20" s="45"/>
      <c r="F20" s="5"/>
      <c r="G20" s="5"/>
      <c r="H20" s="5"/>
      <c r="I20" s="5"/>
    </row>
    <row r="21" spans="1:9" s="238" customFormat="1" x14ac:dyDescent="0.2">
      <c r="A21" s="428"/>
      <c r="B21" s="428"/>
      <c r="C21" s="428"/>
      <c r="D21" s="428"/>
      <c r="E21" s="429"/>
      <c r="F21" s="430"/>
      <c r="G21" s="430"/>
      <c r="H21" s="430"/>
      <c r="I21" s="430"/>
    </row>
    <row r="22" spans="1:9" x14ac:dyDescent="0.2">
      <c r="G22" s="14"/>
      <c r="H22" s="14"/>
      <c r="I22" s="14"/>
    </row>
    <row r="23" spans="1:9" x14ac:dyDescent="0.2">
      <c r="A23" s="431" t="s">
        <v>700</v>
      </c>
      <c r="B23" s="105"/>
      <c r="C23" s="5"/>
      <c r="D23" s="5"/>
      <c r="E23" s="5"/>
      <c r="F23" s="5"/>
      <c r="G23" s="5"/>
      <c r="H23" s="5"/>
      <c r="I23" s="5"/>
    </row>
    <row r="24" spans="1:9" x14ac:dyDescent="0.2">
      <c r="A24" s="432" t="s">
        <v>289</v>
      </c>
      <c r="B24" s="208">
        <v>500000</v>
      </c>
      <c r="C24" s="4"/>
      <c r="D24" s="5"/>
      <c r="E24" s="5"/>
      <c r="F24" s="5"/>
      <c r="G24" s="5"/>
      <c r="H24" s="5"/>
      <c r="I24" s="5"/>
    </row>
    <row r="25" spans="1:9" x14ac:dyDescent="0.2">
      <c r="A25" s="432" t="s">
        <v>19</v>
      </c>
      <c r="B25" s="432">
        <v>0</v>
      </c>
      <c r="C25" s="4"/>
      <c r="D25" s="5"/>
      <c r="E25" s="5"/>
      <c r="F25" s="5"/>
      <c r="G25" s="5"/>
      <c r="H25" s="5"/>
      <c r="I25" s="5"/>
    </row>
    <row r="26" spans="1:9" x14ac:dyDescent="0.2">
      <c r="A26" s="432" t="s">
        <v>290</v>
      </c>
      <c r="B26" s="433">
        <v>0.25</v>
      </c>
      <c r="C26" s="4"/>
      <c r="D26" s="5"/>
      <c r="E26" s="5"/>
      <c r="F26" s="5"/>
      <c r="G26" s="5"/>
      <c r="H26" s="5"/>
      <c r="I26" s="5"/>
    </row>
    <row r="27" spans="1:9" x14ac:dyDescent="0.2">
      <c r="A27" s="432" t="s">
        <v>20</v>
      </c>
      <c r="B27" s="432">
        <v>10</v>
      </c>
      <c r="C27" s="4" t="s">
        <v>83</v>
      </c>
      <c r="D27" s="5"/>
      <c r="E27" s="5"/>
      <c r="F27" s="5"/>
      <c r="G27" s="5"/>
      <c r="H27" s="5"/>
      <c r="I27" s="5"/>
    </row>
    <row r="28" spans="1:9" x14ac:dyDescent="0.2">
      <c r="A28" s="157"/>
      <c r="B28" s="157"/>
      <c r="C28" s="157"/>
      <c r="D28" s="157"/>
      <c r="E28" s="161"/>
      <c r="F28" s="5"/>
      <c r="G28" s="5"/>
      <c r="H28" s="5"/>
      <c r="I28" s="5"/>
    </row>
    <row r="29" spans="1:9" x14ac:dyDescent="0.2">
      <c r="A29" s="37" t="s">
        <v>79</v>
      </c>
      <c r="B29" s="38" t="s">
        <v>80</v>
      </c>
      <c r="C29" s="38" t="s">
        <v>81</v>
      </c>
      <c r="D29" s="39" t="s">
        <v>82</v>
      </c>
      <c r="E29" s="45"/>
      <c r="F29" s="5"/>
      <c r="G29" s="5"/>
      <c r="H29" s="5"/>
      <c r="I29" s="5"/>
    </row>
    <row r="30" spans="1:9" x14ac:dyDescent="0.2">
      <c r="A30" s="40">
        <v>1</v>
      </c>
      <c r="B30" s="33">
        <f>B24</f>
        <v>500000</v>
      </c>
      <c r="C30" s="33">
        <f>B30*0.25</f>
        <v>125000</v>
      </c>
      <c r="D30" s="41">
        <f>B30-C30</f>
        <v>375000</v>
      </c>
      <c r="E30" s="45"/>
      <c r="F30" s="5"/>
      <c r="G30" s="5"/>
      <c r="H30" s="5"/>
      <c r="I30" s="5"/>
    </row>
    <row r="31" spans="1:9" x14ac:dyDescent="0.2">
      <c r="A31" s="40">
        <v>2</v>
      </c>
      <c r="B31" s="33">
        <f>D30</f>
        <v>375000</v>
      </c>
      <c r="C31" s="33">
        <f>0.25*B31</f>
        <v>93750</v>
      </c>
      <c r="D31" s="41">
        <f t="shared" ref="D31:D38" si="3">B31-C31</f>
        <v>281250</v>
      </c>
      <c r="E31" s="45"/>
      <c r="F31" s="5"/>
      <c r="G31" s="5"/>
      <c r="H31" s="5"/>
      <c r="I31" s="5"/>
    </row>
    <row r="32" spans="1:9" x14ac:dyDescent="0.2">
      <c r="A32" s="40">
        <v>3</v>
      </c>
      <c r="B32" s="33">
        <f t="shared" ref="B32:B38" si="4">D31</f>
        <v>281250</v>
      </c>
      <c r="C32" s="33">
        <f t="shared" ref="C32:C38" si="5">0.25*B32</f>
        <v>70312.5</v>
      </c>
      <c r="D32" s="41">
        <f t="shared" si="3"/>
        <v>210937.5</v>
      </c>
      <c r="E32" s="45"/>
      <c r="F32" s="5"/>
      <c r="G32" s="36"/>
      <c r="H32" s="36"/>
      <c r="I32" s="36"/>
    </row>
    <row r="33" spans="1:9" x14ac:dyDescent="0.2">
      <c r="A33" s="40">
        <v>4</v>
      </c>
      <c r="B33" s="33">
        <f t="shared" si="4"/>
        <v>210937.5</v>
      </c>
      <c r="C33" s="33">
        <f t="shared" si="5"/>
        <v>52734.375</v>
      </c>
      <c r="D33" s="41">
        <f t="shared" si="3"/>
        <v>158203.125</v>
      </c>
      <c r="E33" s="34"/>
      <c r="F33" s="157"/>
      <c r="G33" s="34"/>
      <c r="H33" s="32"/>
      <c r="I33" s="32"/>
    </row>
    <row r="34" spans="1:9" ht="16" customHeight="1" x14ac:dyDescent="0.2">
      <c r="A34" s="40">
        <v>5</v>
      </c>
      <c r="B34" s="33">
        <f t="shared" si="4"/>
        <v>158203.125</v>
      </c>
      <c r="C34" s="33">
        <f t="shared" si="5"/>
        <v>39550.78125</v>
      </c>
      <c r="D34" s="41">
        <f t="shared" si="3"/>
        <v>118652.34375</v>
      </c>
      <c r="E34" s="45"/>
      <c r="F34" s="46" t="s">
        <v>84</v>
      </c>
      <c r="G34" s="34"/>
      <c r="H34" s="32"/>
      <c r="I34" s="32"/>
    </row>
    <row r="35" spans="1:9" ht="16" customHeight="1" x14ac:dyDescent="0.2">
      <c r="A35" s="40">
        <v>6</v>
      </c>
      <c r="B35" s="33">
        <f t="shared" si="4"/>
        <v>118652.34375</v>
      </c>
      <c r="C35" s="33">
        <f>0.25*B35</f>
        <v>29663.0859375</v>
      </c>
      <c r="D35" s="41">
        <f t="shared" si="3"/>
        <v>88989.2578125</v>
      </c>
      <c r="E35" s="45"/>
      <c r="F35" s="594" t="s">
        <v>515</v>
      </c>
      <c r="G35" s="34"/>
      <c r="H35" s="32"/>
      <c r="I35" s="32"/>
    </row>
    <row r="36" spans="1:9" x14ac:dyDescent="0.2">
      <c r="A36" s="40">
        <v>7</v>
      </c>
      <c r="B36" s="33">
        <f t="shared" si="4"/>
        <v>88989.2578125</v>
      </c>
      <c r="C36" s="33">
        <f t="shared" si="5"/>
        <v>22247.314453125</v>
      </c>
      <c r="D36" s="41">
        <f t="shared" si="3"/>
        <v>66741.943359375</v>
      </c>
      <c r="E36" s="45"/>
      <c r="F36" s="595"/>
      <c r="G36" s="35"/>
      <c r="H36" s="35"/>
      <c r="I36" s="35"/>
    </row>
    <row r="37" spans="1:9" x14ac:dyDescent="0.2">
      <c r="A37" s="40">
        <v>8</v>
      </c>
      <c r="B37" s="33">
        <f t="shared" si="4"/>
        <v>66741.943359375</v>
      </c>
      <c r="C37" s="33">
        <f t="shared" si="5"/>
        <v>16685.48583984375</v>
      </c>
      <c r="D37" s="41">
        <f t="shared" si="3"/>
        <v>50056.45751953125</v>
      </c>
      <c r="E37" s="34"/>
      <c r="F37" s="157"/>
      <c r="G37" s="5"/>
      <c r="H37" s="5"/>
      <c r="I37" s="5"/>
    </row>
    <row r="38" spans="1:9" x14ac:dyDescent="0.2">
      <c r="A38" s="40">
        <v>9</v>
      </c>
      <c r="B38" s="33">
        <f t="shared" si="4"/>
        <v>50056.45751953125</v>
      </c>
      <c r="C38" s="33">
        <f t="shared" si="5"/>
        <v>12514.114379882812</v>
      </c>
      <c r="D38" s="41">
        <f t="shared" si="3"/>
        <v>37542.343139648438</v>
      </c>
      <c r="E38" s="45"/>
      <c r="F38" s="5"/>
      <c r="G38" s="5"/>
      <c r="H38" s="5"/>
      <c r="I38" s="5"/>
    </row>
    <row r="39" spans="1:9" x14ac:dyDescent="0.2">
      <c r="A39" s="42">
        <v>10</v>
      </c>
      <c r="B39" s="43">
        <f>D38</f>
        <v>37542.343139648438</v>
      </c>
      <c r="C39" s="43">
        <f>500000-SUM(C30:C38)</f>
        <v>37542.343139648438</v>
      </c>
      <c r="D39" s="44">
        <f>B39-C39</f>
        <v>0</v>
      </c>
      <c r="E39" s="45"/>
      <c r="F39" s="5"/>
      <c r="G39" s="5"/>
      <c r="H39" s="5"/>
      <c r="I39" s="5"/>
    </row>
  </sheetData>
  <mergeCells count="2">
    <mergeCell ref="A2:F3"/>
    <mergeCell ref="F35:F3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H40"/>
  <sheetViews>
    <sheetView topLeftCell="A6" zoomScale="70" zoomScaleNormal="70" workbookViewId="0">
      <selection activeCell="C33" sqref="C33"/>
    </sheetView>
  </sheetViews>
  <sheetFormatPr baseColWidth="10" defaultColWidth="10.5" defaultRowHeight="16" x14ac:dyDescent="0.2"/>
  <cols>
    <col min="1" max="1" width="20.83203125" customWidth="1"/>
    <col min="2" max="2" width="13.5" customWidth="1"/>
    <col min="4" max="4" width="16" customWidth="1"/>
    <col min="5" max="5" width="16.5" customWidth="1"/>
  </cols>
  <sheetData>
    <row r="1" spans="1:5" x14ac:dyDescent="0.2">
      <c r="A1" s="3" t="s">
        <v>568</v>
      </c>
    </row>
    <row r="3" spans="1:5" x14ac:dyDescent="0.2">
      <c r="A3" s="1" t="s">
        <v>566</v>
      </c>
    </row>
    <row r="4" spans="1:5" x14ac:dyDescent="0.2">
      <c r="A4" t="s">
        <v>8</v>
      </c>
    </row>
    <row r="6" spans="1:5" x14ac:dyDescent="0.2">
      <c r="A6" s="596" t="s">
        <v>565</v>
      </c>
      <c r="B6" s="596"/>
      <c r="C6" s="596"/>
      <c r="D6" s="596"/>
    </row>
    <row r="8" spans="1:5" x14ac:dyDescent="0.2">
      <c r="A8" s="130" t="s">
        <v>0</v>
      </c>
      <c r="B8" s="130"/>
      <c r="D8" s="130" t="s">
        <v>3</v>
      </c>
      <c r="E8" s="130">
        <f>B9*((1+B10)^B11)</f>
        <v>0</v>
      </c>
    </row>
    <row r="9" spans="1:5" x14ac:dyDescent="0.2">
      <c r="A9" s="130" t="s">
        <v>1</v>
      </c>
      <c r="B9" s="130"/>
      <c r="D9" s="130" t="s">
        <v>4</v>
      </c>
      <c r="E9" s="130">
        <f>B8/((1+B10)^B11)</f>
        <v>0</v>
      </c>
    </row>
    <row r="10" spans="1:5" x14ac:dyDescent="0.2">
      <c r="A10" s="130" t="s">
        <v>7</v>
      </c>
      <c r="B10" s="231"/>
      <c r="D10" s="130" t="s">
        <v>5</v>
      </c>
      <c r="E10" s="233" t="e">
        <f>((B8/B9)^(1/B11))-1</f>
        <v>#DIV/0!</v>
      </c>
    </row>
    <row r="11" spans="1:5" x14ac:dyDescent="0.2">
      <c r="A11" s="130" t="s">
        <v>2</v>
      </c>
      <c r="B11" s="130"/>
      <c r="D11" s="130" t="s">
        <v>6</v>
      </c>
      <c r="E11" s="306" t="s">
        <v>701</v>
      </c>
    </row>
    <row r="12" spans="1:5" s="238" customFormat="1" x14ac:dyDescent="0.2"/>
    <row r="14" spans="1:5" x14ac:dyDescent="0.2">
      <c r="A14" s="1" t="s">
        <v>567</v>
      </c>
    </row>
    <row r="15" spans="1:5" x14ac:dyDescent="0.2">
      <c r="A15" t="s">
        <v>573</v>
      </c>
    </row>
    <row r="17" spans="1:8" x14ac:dyDescent="0.2">
      <c r="A17" s="597" t="s">
        <v>571</v>
      </c>
      <c r="B17" s="597"/>
      <c r="C17" s="3" t="s">
        <v>570</v>
      </c>
      <c r="E17" s="597" t="s">
        <v>572</v>
      </c>
      <c r="F17" s="597"/>
      <c r="G17" s="3" t="s">
        <v>728</v>
      </c>
    </row>
    <row r="18" spans="1:8" x14ac:dyDescent="0.2">
      <c r="H18" s="481" t="s">
        <v>727</v>
      </c>
    </row>
    <row r="19" spans="1:8" x14ac:dyDescent="0.2">
      <c r="A19" s="130" t="s">
        <v>1</v>
      </c>
      <c r="B19" s="130"/>
      <c r="D19" s="130" t="s">
        <v>4</v>
      </c>
      <c r="E19" s="130" t="e">
        <f>B20/(B21-B22)</f>
        <v>#DIV/0!</v>
      </c>
    </row>
    <row r="20" spans="1:8" x14ac:dyDescent="0.2">
      <c r="A20" s="130" t="s">
        <v>557</v>
      </c>
      <c r="B20" s="130"/>
      <c r="D20" s="130" t="s">
        <v>11</v>
      </c>
      <c r="E20" s="130">
        <f>B19*(B21-B22)</f>
        <v>0</v>
      </c>
    </row>
    <row r="21" spans="1:8" x14ac:dyDescent="0.2">
      <c r="A21" s="130" t="s">
        <v>10</v>
      </c>
      <c r="B21" s="130"/>
      <c r="D21" s="130" t="s">
        <v>5</v>
      </c>
      <c r="E21" s="130" t="e">
        <f>B20/B19+B22</f>
        <v>#DIV/0!</v>
      </c>
    </row>
    <row r="22" spans="1:8" x14ac:dyDescent="0.2">
      <c r="A22" s="130" t="s">
        <v>12</v>
      </c>
      <c r="B22" s="130"/>
      <c r="D22" s="130" t="s">
        <v>13</v>
      </c>
      <c r="E22" s="130" t="e">
        <f>-(B19/B20-B21)</f>
        <v>#DIV/0!</v>
      </c>
    </row>
    <row r="23" spans="1:8" s="238" customFormat="1" x14ac:dyDescent="0.2"/>
    <row r="25" spans="1:8" x14ac:dyDescent="0.2">
      <c r="A25" s="1" t="s">
        <v>569</v>
      </c>
    </row>
    <row r="26" spans="1:8" x14ac:dyDescent="0.2">
      <c r="A26" t="s">
        <v>574</v>
      </c>
    </row>
    <row r="27" spans="1:8" x14ac:dyDescent="0.2">
      <c r="A27" t="s">
        <v>14</v>
      </c>
    </row>
    <row r="29" spans="1:8" x14ac:dyDescent="0.2">
      <c r="B29" t="s">
        <v>575</v>
      </c>
    </row>
    <row r="31" spans="1:8" x14ac:dyDescent="0.2">
      <c r="A31" s="130" t="s">
        <v>1</v>
      </c>
      <c r="B31" s="130"/>
      <c r="D31" s="130" t="s">
        <v>4</v>
      </c>
      <c r="E31" s="130" t="e">
        <f>B32/B33-B32/(B33*(1+B33)^B34)</f>
        <v>#DIV/0!</v>
      </c>
    </row>
    <row r="32" spans="1:8" x14ac:dyDescent="0.2">
      <c r="A32" s="130" t="s">
        <v>9</v>
      </c>
      <c r="B32" s="130"/>
    </row>
    <row r="33" spans="1:4" x14ac:dyDescent="0.2">
      <c r="A33" s="130" t="s">
        <v>10</v>
      </c>
      <c r="B33" s="231"/>
    </row>
    <row r="34" spans="1:4" x14ac:dyDescent="0.2">
      <c r="A34" s="130" t="s">
        <v>2</v>
      </c>
      <c r="B34" s="130"/>
    </row>
    <row r="37" spans="1:4" x14ac:dyDescent="0.2">
      <c r="A37" t="s">
        <v>576</v>
      </c>
    </row>
    <row r="39" spans="1:4" x14ac:dyDescent="0.2">
      <c r="A39" s="556" t="s">
        <v>16</v>
      </c>
      <c r="B39" s="556"/>
      <c r="C39" s="556"/>
      <c r="D39" s="130"/>
    </row>
    <row r="40" spans="1:4" x14ac:dyDescent="0.2">
      <c r="A40" s="556" t="s">
        <v>15</v>
      </c>
      <c r="B40" s="556"/>
      <c r="C40" s="556"/>
      <c r="D40" s="130" t="e">
        <f>E31/(1+B33)^D39</f>
        <v>#DIV/0!</v>
      </c>
    </row>
  </sheetData>
  <mergeCells count="5">
    <mergeCell ref="A40:C40"/>
    <mergeCell ref="A6:D6"/>
    <mergeCell ref="A17:B17"/>
    <mergeCell ref="E17:F17"/>
    <mergeCell ref="A39:C3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A179"/>
  <sheetViews>
    <sheetView topLeftCell="A78" zoomScale="85" zoomScaleNormal="85" workbookViewId="0">
      <selection activeCell="C33" sqref="C33"/>
    </sheetView>
  </sheetViews>
  <sheetFormatPr baseColWidth="10" defaultColWidth="10.5" defaultRowHeight="16" x14ac:dyDescent="0.2"/>
  <cols>
    <col min="1" max="1" width="26" customWidth="1"/>
    <col min="2" max="2" width="22.5" customWidth="1"/>
    <col min="3" max="3" width="15.5" bestFit="1" customWidth="1"/>
    <col min="4" max="4" width="13.5" customWidth="1"/>
    <col min="5" max="5" width="11" bestFit="1" customWidth="1"/>
    <col min="6" max="6" width="12" bestFit="1" customWidth="1"/>
    <col min="7" max="7" width="17.33203125" customWidth="1"/>
    <col min="8" max="8" width="12.83203125" bestFit="1" customWidth="1"/>
    <col min="16" max="16" width="25.5" customWidth="1"/>
    <col min="17" max="17" width="21.83203125" customWidth="1"/>
    <col min="18" max="18" width="16" customWidth="1"/>
    <col min="19" max="19" width="12.5" bestFit="1" customWidth="1"/>
    <col min="24" max="24" width="11" customWidth="1"/>
    <col min="25" max="25" width="16.5" customWidth="1"/>
    <col min="26" max="26" width="14" customWidth="1"/>
    <col min="29" max="29" width="24" bestFit="1" customWidth="1"/>
  </cols>
  <sheetData>
    <row r="1" spans="1:25" ht="19" x14ac:dyDescent="0.25">
      <c r="A1" s="400" t="s">
        <v>593</v>
      </c>
    </row>
    <row r="2" spans="1:25" x14ac:dyDescent="0.2">
      <c r="A2" t="s">
        <v>420</v>
      </c>
    </row>
    <row r="3" spans="1:25" ht="16" customHeight="1" x14ac:dyDescent="0.2">
      <c r="A3" s="539" t="s">
        <v>421</v>
      </c>
      <c r="B3" s="539"/>
      <c r="C3" s="539"/>
      <c r="D3" s="539"/>
      <c r="E3" s="539"/>
      <c r="F3" s="539"/>
      <c r="G3" s="539"/>
      <c r="H3" s="539"/>
      <c r="I3" s="539"/>
      <c r="J3" s="539"/>
      <c r="K3" s="156"/>
      <c r="L3" s="156"/>
      <c r="M3" s="156"/>
    </row>
    <row r="4" spans="1:25" x14ac:dyDescent="0.2">
      <c r="A4" s="539"/>
      <c r="B4" s="539"/>
      <c r="C4" s="539"/>
      <c r="D4" s="539"/>
      <c r="E4" s="539"/>
      <c r="F4" s="539"/>
      <c r="G4" s="539"/>
      <c r="H4" s="539"/>
      <c r="I4" s="539"/>
      <c r="J4" s="539"/>
      <c r="K4" s="156"/>
      <c r="L4" s="156"/>
      <c r="M4" s="156"/>
    </row>
    <row r="5" spans="1:25" ht="11.25" customHeight="1" x14ac:dyDescent="0.2">
      <c r="A5" s="539"/>
      <c r="B5" s="539"/>
      <c r="C5" s="539"/>
      <c r="D5" s="539"/>
      <c r="E5" s="539"/>
      <c r="F5" s="539"/>
      <c r="G5" s="539"/>
      <c r="H5" s="539"/>
      <c r="I5" s="539"/>
      <c r="J5" s="539"/>
      <c r="K5" s="156"/>
      <c r="L5" s="156"/>
      <c r="M5" s="156"/>
    </row>
    <row r="6" spans="1:25" x14ac:dyDescent="0.2">
      <c r="A6" s="156"/>
      <c r="B6" s="156"/>
      <c r="C6" s="156"/>
      <c r="D6" s="156"/>
      <c r="E6" s="156"/>
      <c r="F6" s="156"/>
      <c r="G6" s="156"/>
      <c r="H6" s="156"/>
      <c r="I6" s="156"/>
      <c r="J6" s="156"/>
      <c r="K6" s="156"/>
      <c r="L6" s="156"/>
      <c r="M6" s="156"/>
    </row>
    <row r="7" spans="1:25" x14ac:dyDescent="0.2">
      <c r="A7" s="156"/>
      <c r="B7" s="156"/>
      <c r="C7" s="156"/>
      <c r="D7" s="156"/>
      <c r="E7" s="156"/>
      <c r="F7" s="156"/>
      <c r="G7" s="156"/>
      <c r="H7" s="156"/>
      <c r="I7" s="156"/>
      <c r="J7" s="156"/>
      <c r="K7" s="156"/>
      <c r="L7" s="156"/>
      <c r="M7" s="156"/>
    </row>
    <row r="8" spans="1:25" x14ac:dyDescent="0.2">
      <c r="A8" s="238"/>
      <c r="B8" s="238"/>
      <c r="C8" s="238"/>
      <c r="D8" s="238"/>
      <c r="E8" s="238"/>
      <c r="F8" s="238"/>
      <c r="G8" s="238"/>
      <c r="H8" s="238"/>
      <c r="I8" s="238"/>
      <c r="J8" s="238"/>
      <c r="K8" s="238"/>
      <c r="L8" s="238"/>
      <c r="M8" s="238"/>
      <c r="N8" s="238"/>
      <c r="O8" s="238"/>
      <c r="P8" s="238"/>
      <c r="Q8" s="238"/>
      <c r="R8" s="238"/>
      <c r="S8" s="238"/>
      <c r="T8" s="238"/>
      <c r="U8" s="238"/>
      <c r="V8" s="238"/>
      <c r="W8" s="238"/>
      <c r="X8" s="238"/>
      <c r="Y8" s="238"/>
    </row>
    <row r="10" spans="1:25" x14ac:dyDescent="0.2">
      <c r="A10" s="3" t="s">
        <v>346</v>
      </c>
      <c r="P10" s="3" t="s">
        <v>347</v>
      </c>
    </row>
    <row r="11" spans="1:25" x14ac:dyDescent="0.2">
      <c r="A11" s="490" t="s">
        <v>18</v>
      </c>
      <c r="B11" s="491">
        <v>5000000</v>
      </c>
      <c r="P11" s="490" t="s">
        <v>18</v>
      </c>
      <c r="Q11" s="491">
        <v>6000000</v>
      </c>
    </row>
    <row r="12" spans="1:25" x14ac:dyDescent="0.2">
      <c r="A12" s="490" t="s">
        <v>19</v>
      </c>
      <c r="B12" s="491">
        <v>200000</v>
      </c>
      <c r="P12" s="490" t="s">
        <v>19</v>
      </c>
      <c r="Q12" s="491">
        <v>150000</v>
      </c>
    </row>
    <row r="13" spans="1:25" x14ac:dyDescent="0.2">
      <c r="A13" s="490" t="s">
        <v>20</v>
      </c>
      <c r="B13" s="492">
        <v>10</v>
      </c>
      <c r="P13" s="490" t="s">
        <v>20</v>
      </c>
      <c r="Q13" s="492">
        <v>10</v>
      </c>
    </row>
    <row r="14" spans="1:25" x14ac:dyDescent="0.2">
      <c r="A14" s="490" t="s">
        <v>29</v>
      </c>
      <c r="B14" s="491">
        <v>8000000</v>
      </c>
      <c r="C14" s="12" t="s">
        <v>30</v>
      </c>
      <c r="P14" s="490" t="s">
        <v>29</v>
      </c>
      <c r="Q14" s="491">
        <v>7500000</v>
      </c>
      <c r="R14" s="12" t="s">
        <v>30</v>
      </c>
    </row>
    <row r="15" spans="1:25" x14ac:dyDescent="0.2">
      <c r="A15" s="490" t="s">
        <v>28</v>
      </c>
      <c r="B15" s="491">
        <v>5000000</v>
      </c>
      <c r="C15" s="12" t="s">
        <v>31</v>
      </c>
      <c r="P15" s="490" t="s">
        <v>28</v>
      </c>
      <c r="Q15" s="491">
        <v>4500000</v>
      </c>
      <c r="R15" s="12" t="s">
        <v>31</v>
      </c>
    </row>
    <row r="16" spans="1:25" x14ac:dyDescent="0.2">
      <c r="A16" s="490" t="s">
        <v>21</v>
      </c>
      <c r="B16" s="493">
        <v>0.1</v>
      </c>
      <c r="P16" s="490" t="s">
        <v>21</v>
      </c>
      <c r="Q16" s="493">
        <v>0.06</v>
      </c>
    </row>
    <row r="18" spans="1:27" ht="17" thickBot="1" x14ac:dyDescent="0.25">
      <c r="A18" s="26" t="s">
        <v>22</v>
      </c>
      <c r="B18" s="27">
        <v>0</v>
      </c>
      <c r="C18" s="28">
        <f>IF($B13&gt;B18,B18+1,"")</f>
        <v>1</v>
      </c>
      <c r="D18" s="28">
        <f t="shared" ref="D18:L18" si="0">IF($B13&gt;C18,C18+1,"")</f>
        <v>2</v>
      </c>
      <c r="E18" s="28">
        <f t="shared" si="0"/>
        <v>3</v>
      </c>
      <c r="F18" s="28">
        <f t="shared" si="0"/>
        <v>4</v>
      </c>
      <c r="G18" s="28">
        <f t="shared" si="0"/>
        <v>5</v>
      </c>
      <c r="H18" s="28">
        <f t="shared" si="0"/>
        <v>6</v>
      </c>
      <c r="I18" s="28">
        <f t="shared" si="0"/>
        <v>7</v>
      </c>
      <c r="J18" s="28">
        <f t="shared" si="0"/>
        <v>8</v>
      </c>
      <c r="K18" s="28">
        <f t="shared" si="0"/>
        <v>9</v>
      </c>
      <c r="L18" s="28">
        <f t="shared" si="0"/>
        <v>10</v>
      </c>
      <c r="P18" s="26" t="s">
        <v>22</v>
      </c>
      <c r="Q18" s="27">
        <v>0</v>
      </c>
      <c r="R18" s="28">
        <f>IF($Q13&gt;Q18,Q18+1,"")</f>
        <v>1</v>
      </c>
      <c r="S18" s="28">
        <f t="shared" ref="S18:AA18" si="1">IF($Q13&gt;R18,R18+1,"")</f>
        <v>2</v>
      </c>
      <c r="T18" s="28">
        <f t="shared" si="1"/>
        <v>3</v>
      </c>
      <c r="U18" s="28">
        <f t="shared" si="1"/>
        <v>4</v>
      </c>
      <c r="V18" s="28">
        <f t="shared" si="1"/>
        <v>5</v>
      </c>
      <c r="W18" s="28">
        <f t="shared" si="1"/>
        <v>6</v>
      </c>
      <c r="X18" s="28">
        <f t="shared" si="1"/>
        <v>7</v>
      </c>
      <c r="Y18" s="28">
        <f t="shared" si="1"/>
        <v>8</v>
      </c>
      <c r="Z18" s="28">
        <f t="shared" si="1"/>
        <v>9</v>
      </c>
      <c r="AA18" s="28">
        <f t="shared" si="1"/>
        <v>10</v>
      </c>
    </row>
    <row r="19" spans="1:27" x14ac:dyDescent="0.2">
      <c r="A19" s="23" t="s">
        <v>18</v>
      </c>
      <c r="B19" s="24">
        <f>B11</f>
        <v>5000000</v>
      </c>
      <c r="C19" s="25"/>
      <c r="D19" s="25"/>
      <c r="E19" s="25"/>
      <c r="F19" s="25"/>
      <c r="G19" s="25"/>
      <c r="H19" s="25"/>
      <c r="I19" s="25"/>
      <c r="J19" s="25"/>
      <c r="K19" s="25"/>
      <c r="L19" s="25"/>
      <c r="P19" s="23" t="s">
        <v>18</v>
      </c>
      <c r="Q19" s="24">
        <f>Q11</f>
        <v>6000000</v>
      </c>
      <c r="R19" s="25"/>
      <c r="S19" s="25"/>
      <c r="T19" s="25"/>
      <c r="U19" s="25"/>
      <c r="V19" s="25"/>
      <c r="W19" s="25"/>
      <c r="X19" s="25"/>
      <c r="Y19" s="25"/>
      <c r="Z19" s="25"/>
      <c r="AA19" s="25"/>
    </row>
    <row r="20" spans="1:27" x14ac:dyDescent="0.2">
      <c r="A20" s="21" t="s">
        <v>23</v>
      </c>
      <c r="B20" s="19"/>
      <c r="C20" s="15">
        <f>IF(C18=$B$13,$B$12,0)</f>
        <v>0</v>
      </c>
      <c r="D20" s="15">
        <f t="shared" ref="D20:I20" si="2">IF(D18=$B$13,$B$12,0)</f>
        <v>0</v>
      </c>
      <c r="E20" s="15">
        <f t="shared" si="2"/>
        <v>0</v>
      </c>
      <c r="F20" s="15">
        <f t="shared" si="2"/>
        <v>0</v>
      </c>
      <c r="G20" s="15">
        <f t="shared" si="2"/>
        <v>0</v>
      </c>
      <c r="H20" s="15">
        <f t="shared" si="2"/>
        <v>0</v>
      </c>
      <c r="I20" s="15">
        <f t="shared" si="2"/>
        <v>0</v>
      </c>
      <c r="J20" s="15">
        <f>IF(J18=$B$13,$B$12,0)</f>
        <v>0</v>
      </c>
      <c r="K20" s="15">
        <f t="shared" ref="K20:L20" si="3">IF(K18=$B$13,$B$12,0)</f>
        <v>0</v>
      </c>
      <c r="L20" s="15">
        <f t="shared" si="3"/>
        <v>200000</v>
      </c>
      <c r="P20" s="21" t="s">
        <v>23</v>
      </c>
      <c r="Q20" s="19"/>
      <c r="R20" s="15">
        <f>IF(R18=$Q$13,$Q$12,0)</f>
        <v>0</v>
      </c>
      <c r="S20" s="15">
        <f t="shared" ref="S20:AA20" si="4">IF(S18=$Q$13,$Q$12,0)</f>
        <v>0</v>
      </c>
      <c r="T20" s="15">
        <f t="shared" si="4"/>
        <v>0</v>
      </c>
      <c r="U20" s="15">
        <f t="shared" si="4"/>
        <v>0</v>
      </c>
      <c r="V20" s="15">
        <f t="shared" si="4"/>
        <v>0</v>
      </c>
      <c r="W20" s="15">
        <f t="shared" si="4"/>
        <v>0</v>
      </c>
      <c r="X20" s="15">
        <f t="shared" si="4"/>
        <v>0</v>
      </c>
      <c r="Y20" s="15">
        <f t="shared" si="4"/>
        <v>0</v>
      </c>
      <c r="Z20" s="15">
        <f t="shared" si="4"/>
        <v>0</v>
      </c>
      <c r="AA20" s="15">
        <f t="shared" si="4"/>
        <v>150000</v>
      </c>
    </row>
    <row r="21" spans="1:27" x14ac:dyDescent="0.2">
      <c r="A21" s="21" t="s">
        <v>32</v>
      </c>
      <c r="B21" s="19"/>
      <c r="C21" s="15">
        <f>IF(C18="","",$B$14)</f>
        <v>8000000</v>
      </c>
      <c r="D21" s="15">
        <f t="shared" ref="D21:L21" si="5">IF(D18="","",$B$14)</f>
        <v>8000000</v>
      </c>
      <c r="E21" s="15">
        <f t="shared" si="5"/>
        <v>8000000</v>
      </c>
      <c r="F21" s="15">
        <f t="shared" si="5"/>
        <v>8000000</v>
      </c>
      <c r="G21" s="15">
        <f t="shared" si="5"/>
        <v>8000000</v>
      </c>
      <c r="H21" s="15">
        <f t="shared" si="5"/>
        <v>8000000</v>
      </c>
      <c r="I21" s="15">
        <f t="shared" si="5"/>
        <v>8000000</v>
      </c>
      <c r="J21" s="15">
        <f t="shared" si="5"/>
        <v>8000000</v>
      </c>
      <c r="K21" s="15">
        <f t="shared" si="5"/>
        <v>8000000</v>
      </c>
      <c r="L21" s="15">
        <f t="shared" si="5"/>
        <v>8000000</v>
      </c>
      <c r="P21" s="21" t="s">
        <v>32</v>
      </c>
      <c r="Q21" s="19"/>
      <c r="R21" s="15">
        <f>IF(R18="","",$Q$14)</f>
        <v>7500000</v>
      </c>
      <c r="S21" s="15">
        <f t="shared" ref="S21:Z21" si="6">IF(S18="","",$Q$14)</f>
        <v>7500000</v>
      </c>
      <c r="T21" s="15">
        <f t="shared" si="6"/>
        <v>7500000</v>
      </c>
      <c r="U21" s="15">
        <f t="shared" si="6"/>
        <v>7500000</v>
      </c>
      <c r="V21" s="15">
        <f t="shared" si="6"/>
        <v>7500000</v>
      </c>
      <c r="W21" s="15">
        <f t="shared" si="6"/>
        <v>7500000</v>
      </c>
      <c r="X21" s="15">
        <f t="shared" si="6"/>
        <v>7500000</v>
      </c>
      <c r="Y21" s="15">
        <f t="shared" si="6"/>
        <v>7500000</v>
      </c>
      <c r="Z21" s="15">
        <f t="shared" si="6"/>
        <v>7500000</v>
      </c>
      <c r="AA21" s="15">
        <f>IF(AA18="","",$Q$14)</f>
        <v>7500000</v>
      </c>
    </row>
    <row r="22" spans="1:27" x14ac:dyDescent="0.2">
      <c r="A22" s="21" t="s">
        <v>33</v>
      </c>
      <c r="B22" s="19"/>
      <c r="C22" s="15">
        <f>IF(C18="","",-$B$15)</f>
        <v>-5000000</v>
      </c>
      <c r="D22" s="15">
        <f t="shared" ref="D22:L22" si="7">IF(D18="","",-$B$15)</f>
        <v>-5000000</v>
      </c>
      <c r="E22" s="15">
        <f t="shared" si="7"/>
        <v>-5000000</v>
      </c>
      <c r="F22" s="15">
        <f t="shared" si="7"/>
        <v>-5000000</v>
      </c>
      <c r="G22" s="15">
        <f t="shared" si="7"/>
        <v>-5000000</v>
      </c>
      <c r="H22" s="15">
        <f t="shared" si="7"/>
        <v>-5000000</v>
      </c>
      <c r="I22" s="15">
        <f t="shared" si="7"/>
        <v>-5000000</v>
      </c>
      <c r="J22" s="15">
        <f t="shared" si="7"/>
        <v>-5000000</v>
      </c>
      <c r="K22" s="15">
        <f t="shared" si="7"/>
        <v>-5000000</v>
      </c>
      <c r="L22" s="15">
        <f t="shared" si="7"/>
        <v>-5000000</v>
      </c>
      <c r="P22" s="21" t="s">
        <v>33</v>
      </c>
      <c r="Q22" s="19"/>
      <c r="R22" s="15">
        <f>IF(R18="","",-$Q$15)</f>
        <v>-4500000</v>
      </c>
      <c r="S22" s="15">
        <f t="shared" ref="S22:AA22" si="8">IF(S18="","",-$Q$15)</f>
        <v>-4500000</v>
      </c>
      <c r="T22" s="15">
        <f t="shared" si="8"/>
        <v>-4500000</v>
      </c>
      <c r="U22" s="15">
        <f t="shared" si="8"/>
        <v>-4500000</v>
      </c>
      <c r="V22" s="15">
        <f t="shared" si="8"/>
        <v>-4500000</v>
      </c>
      <c r="W22" s="15">
        <f t="shared" si="8"/>
        <v>-4500000</v>
      </c>
      <c r="X22" s="15">
        <f t="shared" si="8"/>
        <v>-4500000</v>
      </c>
      <c r="Y22" s="15">
        <f t="shared" si="8"/>
        <v>-4500000</v>
      </c>
      <c r="Z22" s="15">
        <f t="shared" si="8"/>
        <v>-4500000</v>
      </c>
      <c r="AA22" s="15">
        <f t="shared" si="8"/>
        <v>-4500000</v>
      </c>
    </row>
    <row r="23" spans="1:27" x14ac:dyDescent="0.2">
      <c r="A23" s="21" t="s">
        <v>24</v>
      </c>
      <c r="B23" s="18">
        <f>-B19</f>
        <v>-5000000</v>
      </c>
      <c r="C23" s="15">
        <f>IF(C18="","",C20+C21+C22)</f>
        <v>3000000</v>
      </c>
      <c r="D23" s="15">
        <f t="shared" ref="D23:L23" si="9">IF(D18="","",D20+D21+D22)</f>
        <v>3000000</v>
      </c>
      <c r="E23" s="15">
        <f t="shared" si="9"/>
        <v>3000000</v>
      </c>
      <c r="F23" s="15">
        <f t="shared" si="9"/>
        <v>3000000</v>
      </c>
      <c r="G23" s="15">
        <f t="shared" si="9"/>
        <v>3000000</v>
      </c>
      <c r="H23" s="15">
        <f t="shared" si="9"/>
        <v>3000000</v>
      </c>
      <c r="I23" s="15">
        <f t="shared" si="9"/>
        <v>3000000</v>
      </c>
      <c r="J23" s="15">
        <f t="shared" si="9"/>
        <v>3000000</v>
      </c>
      <c r="K23" s="15">
        <f t="shared" si="9"/>
        <v>3000000</v>
      </c>
      <c r="L23" s="15">
        <f t="shared" si="9"/>
        <v>3200000</v>
      </c>
      <c r="P23" s="21" t="s">
        <v>24</v>
      </c>
      <c r="Q23" s="18">
        <f>-Q19</f>
        <v>-6000000</v>
      </c>
      <c r="R23" s="15">
        <f>IF(R18="","",R20+R21+R22)</f>
        <v>3000000</v>
      </c>
      <c r="S23" s="15">
        <f t="shared" ref="S23:AA23" si="10">IF(S18="","",S20+S21+S22)</f>
        <v>3000000</v>
      </c>
      <c r="T23" s="15">
        <f t="shared" si="10"/>
        <v>3000000</v>
      </c>
      <c r="U23" s="15">
        <f t="shared" si="10"/>
        <v>3000000</v>
      </c>
      <c r="V23" s="15">
        <f t="shared" si="10"/>
        <v>3000000</v>
      </c>
      <c r="W23" s="15">
        <f t="shared" si="10"/>
        <v>3000000</v>
      </c>
      <c r="X23" s="15">
        <f t="shared" si="10"/>
        <v>3000000</v>
      </c>
      <c r="Y23" s="15">
        <f t="shared" si="10"/>
        <v>3000000</v>
      </c>
      <c r="Z23" s="15">
        <f t="shared" si="10"/>
        <v>3000000</v>
      </c>
      <c r="AA23" s="15">
        <f t="shared" si="10"/>
        <v>3150000</v>
      </c>
    </row>
    <row r="24" spans="1:27" x14ac:dyDescent="0.2">
      <c r="A24" s="22" t="s">
        <v>25</v>
      </c>
      <c r="B24" s="20">
        <f>B23</f>
        <v>-5000000</v>
      </c>
      <c r="C24" s="337">
        <f>IF(C18="","",C23/(1+$B$16)^C18)</f>
        <v>2727272.7272727271</v>
      </c>
      <c r="D24" s="337">
        <f t="shared" ref="D24:L24" si="11">IF(D18="","",D23/(1+$B$16)^D18)</f>
        <v>2479338.8429752062</v>
      </c>
      <c r="E24" s="337">
        <f t="shared" si="11"/>
        <v>2253944.4027047325</v>
      </c>
      <c r="F24" s="337">
        <f t="shared" si="11"/>
        <v>2049040.3660952116</v>
      </c>
      <c r="G24" s="337">
        <f t="shared" si="11"/>
        <v>1862763.969177465</v>
      </c>
      <c r="H24" s="337">
        <f t="shared" si="11"/>
        <v>1693421.7901613314</v>
      </c>
      <c r="I24" s="337">
        <f t="shared" si="11"/>
        <v>1539474.3546921194</v>
      </c>
      <c r="J24" s="337">
        <f t="shared" si="11"/>
        <v>1399522.1406291996</v>
      </c>
      <c r="K24" s="337">
        <f t="shared" si="11"/>
        <v>1272292.855117454</v>
      </c>
      <c r="L24" s="337">
        <f t="shared" si="11"/>
        <v>1233738.5261745008</v>
      </c>
      <c r="P24" s="22" t="s">
        <v>25</v>
      </c>
      <c r="Q24" s="20">
        <f>Q23</f>
        <v>-6000000</v>
      </c>
      <c r="R24" s="17">
        <f>IF(R18="","",R23/(1+$Q$16)^R18)</f>
        <v>2830188.6792452829</v>
      </c>
      <c r="S24" s="17">
        <f t="shared" ref="S24:AA24" si="12">IF(S18="","",S23/(1+$Q$16)^S18)</f>
        <v>2669989.3200427196</v>
      </c>
      <c r="T24" s="17">
        <f t="shared" si="12"/>
        <v>2518857.849096905</v>
      </c>
      <c r="U24" s="17">
        <f t="shared" si="12"/>
        <v>2376280.9897140614</v>
      </c>
      <c r="V24" s="17">
        <f t="shared" si="12"/>
        <v>2241774.5185981705</v>
      </c>
      <c r="W24" s="17">
        <f t="shared" si="12"/>
        <v>2114881.621319029</v>
      </c>
      <c r="X24" s="17">
        <f t="shared" si="12"/>
        <v>1995171.3408670081</v>
      </c>
      <c r="Y24" s="17">
        <f t="shared" si="12"/>
        <v>1882237.1140254794</v>
      </c>
      <c r="Z24" s="17">
        <f t="shared" si="12"/>
        <v>1775695.3905900749</v>
      </c>
      <c r="AA24" s="17">
        <f t="shared" si="12"/>
        <v>1758943.5472826213</v>
      </c>
    </row>
    <row r="25" spans="1:27" x14ac:dyDescent="0.2">
      <c r="A25" s="22" t="s">
        <v>530</v>
      </c>
      <c r="B25" s="18">
        <f>B24</f>
        <v>-5000000</v>
      </c>
      <c r="C25" s="15">
        <f>IF(C18="","",C24+B25)</f>
        <v>-2272727.2727272729</v>
      </c>
      <c r="D25" s="15">
        <f t="shared" ref="D25:L25" si="13">IF(D18="","",D24+C25)</f>
        <v>206611.57024793327</v>
      </c>
      <c r="E25" s="15">
        <f t="shared" si="13"/>
        <v>2460555.9729526658</v>
      </c>
      <c r="F25" s="15">
        <f t="shared" si="13"/>
        <v>4509596.3390478771</v>
      </c>
      <c r="G25" s="15">
        <f t="shared" si="13"/>
        <v>6372360.3082253421</v>
      </c>
      <c r="H25" s="15">
        <f t="shared" si="13"/>
        <v>8065782.0983866733</v>
      </c>
      <c r="I25" s="15">
        <f t="shared" si="13"/>
        <v>9605256.4530787934</v>
      </c>
      <c r="J25" s="15">
        <f t="shared" si="13"/>
        <v>11004778.593707994</v>
      </c>
      <c r="K25" s="15">
        <f t="shared" si="13"/>
        <v>12277071.448825447</v>
      </c>
      <c r="L25" s="15">
        <f t="shared" si="13"/>
        <v>13510809.974999947</v>
      </c>
      <c r="P25" s="22" t="s">
        <v>530</v>
      </c>
      <c r="Q25" s="18">
        <f>Q24</f>
        <v>-6000000</v>
      </c>
      <c r="R25" s="15">
        <f>IF(R18="","",R24+Q25)</f>
        <v>-3169811.3207547171</v>
      </c>
      <c r="S25" s="15">
        <f t="shared" ref="S25:AA25" si="14">IF(S18="","",S24+R25)</f>
        <v>-499822.00071199751</v>
      </c>
      <c r="T25" s="15">
        <f t="shared" si="14"/>
        <v>2019035.8483849075</v>
      </c>
      <c r="U25" s="15">
        <f t="shared" si="14"/>
        <v>4395316.8380989693</v>
      </c>
      <c r="V25" s="15">
        <f t="shared" si="14"/>
        <v>6637091.3566971403</v>
      </c>
      <c r="W25" s="15">
        <f t="shared" si="14"/>
        <v>8751972.9780161697</v>
      </c>
      <c r="X25" s="15">
        <f t="shared" si="14"/>
        <v>10747144.318883177</v>
      </c>
      <c r="Y25" s="15">
        <f>IF(Y18="","",Y24+X25)</f>
        <v>12629381.432908656</v>
      </c>
      <c r="Z25" s="15">
        <f>IF(Z18="","",Z24+Y25)</f>
        <v>14405076.823498731</v>
      </c>
      <c r="AA25" s="15">
        <f t="shared" si="14"/>
        <v>16164020.370781353</v>
      </c>
    </row>
    <row r="26" spans="1:27" x14ac:dyDescent="0.2">
      <c r="A26" s="22" t="s">
        <v>531</v>
      </c>
      <c r="B26" s="18"/>
      <c r="C26" s="18">
        <f>IF(C18="","",PMT($B$16,C18,-C25))</f>
        <v>-2500000.0000000005</v>
      </c>
      <c r="D26" s="18">
        <f t="shared" ref="D26:L26" si="15">IF(D18="","",PMT($B$16,D18,-D25))</f>
        <v>119047.6190476187</v>
      </c>
      <c r="E26" s="18">
        <f t="shared" si="15"/>
        <v>989425.98187311145</v>
      </c>
      <c r="F26" s="18">
        <f t="shared" si="15"/>
        <v>1422645.9814695101</v>
      </c>
      <c r="G26" s="18">
        <f t="shared" si="15"/>
        <v>1681012.5960262727</v>
      </c>
      <c r="H26" s="18">
        <f t="shared" si="15"/>
        <v>1851963.0981866624</v>
      </c>
      <c r="I26" s="18">
        <f t="shared" si="15"/>
        <v>1972972.5014970209</v>
      </c>
      <c r="J26" s="18">
        <f t="shared" si="15"/>
        <v>2062779.9121259325</v>
      </c>
      <c r="K26" s="18">
        <f t="shared" si="15"/>
        <v>2131797.3046282819</v>
      </c>
      <c r="L26" s="18">
        <f t="shared" si="15"/>
        <v>2198822.1045639436</v>
      </c>
      <c r="P26" s="22" t="s">
        <v>531</v>
      </c>
      <c r="Q26" s="18"/>
      <c r="R26" s="18">
        <f>IF(R18="","",PMT($Q$16,R18,-R25))</f>
        <v>-3360000.0000000005</v>
      </c>
      <c r="S26" s="18">
        <f t="shared" ref="S26:AA26" si="16">IF(S18="","",PMT($Q$16,S18,-S25))</f>
        <v>-272621.35922330117</v>
      </c>
      <c r="T26" s="18">
        <f t="shared" si="16"/>
        <v>755341.12325669045</v>
      </c>
      <c r="U26" s="18">
        <f t="shared" si="16"/>
        <v>1268451.0457603591</v>
      </c>
      <c r="V26" s="18">
        <f t="shared" si="16"/>
        <v>1575621.5974128619</v>
      </c>
      <c r="W26" s="18">
        <f t="shared" si="16"/>
        <v>1779824.2291506273</v>
      </c>
      <c r="X26" s="18">
        <f t="shared" si="16"/>
        <v>1925189.8916459342</v>
      </c>
      <c r="Y26" s="18">
        <f t="shared" si="16"/>
        <v>2033784.3441112249</v>
      </c>
      <c r="Z26" s="18">
        <f t="shared" si="16"/>
        <v>2117866.5899816169</v>
      </c>
      <c r="AA26" s="18">
        <f t="shared" si="16"/>
        <v>2196172.4444107539</v>
      </c>
    </row>
    <row r="27" spans="1:27" x14ac:dyDescent="0.2">
      <c r="A27" s="22" t="s">
        <v>26</v>
      </c>
      <c r="B27" s="20">
        <f>SUM(B24:L24)</f>
        <v>13510809.974999947</v>
      </c>
      <c r="C27" s="13"/>
      <c r="D27" s="14"/>
      <c r="E27" s="13"/>
      <c r="F27" s="13"/>
      <c r="G27" s="13"/>
      <c r="P27" s="22" t="s">
        <v>26</v>
      </c>
      <c r="Q27" s="20">
        <f>SUM(Q24:AA24)</f>
        <v>16164020.370781353</v>
      </c>
      <c r="R27" s="13"/>
      <c r="S27" s="14"/>
      <c r="T27" s="13"/>
      <c r="U27" s="13"/>
      <c r="V27" s="13"/>
    </row>
    <row r="28" spans="1:27" x14ac:dyDescent="0.2">
      <c r="A28" s="22" t="s">
        <v>27</v>
      </c>
      <c r="B28" s="20">
        <f>NPV(B16,C23:L23)+B23</f>
        <v>13510809.974999946</v>
      </c>
      <c r="C28" s="4"/>
      <c r="D28" s="5"/>
      <c r="E28" s="4"/>
      <c r="F28" s="213"/>
      <c r="G28" s="4"/>
      <c r="I28" s="8"/>
      <c r="P28" s="22" t="s">
        <v>27</v>
      </c>
      <c r="Q28" s="20">
        <f>NPV(Q16,R23:AA23)+Q23</f>
        <v>16164020.370781355</v>
      </c>
      <c r="R28" s="4"/>
      <c r="S28" s="5"/>
      <c r="T28" s="4"/>
      <c r="U28" s="4"/>
      <c r="V28" s="4"/>
    </row>
    <row r="29" spans="1:27" x14ac:dyDescent="0.2">
      <c r="C29" s="6"/>
      <c r="D29" s="7"/>
      <c r="G29" s="6"/>
      <c r="R29" s="6"/>
      <c r="S29" s="7"/>
      <c r="V29" s="6"/>
    </row>
    <row r="30" spans="1:27" x14ac:dyDescent="0.2">
      <c r="A30" s="5" t="s">
        <v>34</v>
      </c>
      <c r="B30" s="30" t="str">
        <f>IF(B28&gt;0,"Ja","Nej")</f>
        <v>Ja</v>
      </c>
      <c r="P30" s="5" t="s">
        <v>34</v>
      </c>
      <c r="Q30" s="30" t="str">
        <f>IF(Q28&gt;0,"Ja","Nej")</f>
        <v>Ja</v>
      </c>
    </row>
    <row r="31" spans="1:27" x14ac:dyDescent="0.2">
      <c r="A31" s="5"/>
      <c r="B31" s="299"/>
      <c r="P31" s="290"/>
      <c r="Q31" s="299"/>
    </row>
    <row r="32" spans="1:27" x14ac:dyDescent="0.2">
      <c r="A32" s="5" t="s">
        <v>486</v>
      </c>
      <c r="C32" s="175">
        <f>B28-Q28</f>
        <v>-2653210.395781409</v>
      </c>
    </row>
    <row r="33" spans="1:26" x14ac:dyDescent="0.2">
      <c r="A33" s="238"/>
      <c r="B33" s="238"/>
      <c r="C33" s="238"/>
      <c r="D33" s="238"/>
      <c r="E33" s="238"/>
      <c r="F33" s="238"/>
      <c r="G33" s="238"/>
      <c r="H33" s="238"/>
      <c r="I33" s="238"/>
      <c r="J33" s="238"/>
      <c r="K33" s="238"/>
      <c r="L33" s="238"/>
      <c r="M33" s="238"/>
      <c r="N33" s="238"/>
      <c r="O33" s="238"/>
      <c r="P33" s="238"/>
      <c r="Q33" s="238"/>
      <c r="R33" s="238"/>
      <c r="S33" s="238"/>
      <c r="T33" s="238"/>
      <c r="U33" s="238"/>
      <c r="V33" s="238"/>
      <c r="W33" s="238"/>
      <c r="X33" s="238"/>
      <c r="Y33" s="238"/>
    </row>
    <row r="36" spans="1:26" x14ac:dyDescent="0.2">
      <c r="A36" s="3" t="s">
        <v>577</v>
      </c>
      <c r="B36" s="3" t="s">
        <v>384</v>
      </c>
      <c r="C36" s="3" t="s">
        <v>385</v>
      </c>
      <c r="D36" s="3" t="s">
        <v>386</v>
      </c>
      <c r="E36" s="3" t="s">
        <v>529</v>
      </c>
      <c r="F36" s="143"/>
      <c r="P36" s="3" t="s">
        <v>578</v>
      </c>
      <c r="Q36" s="3" t="s">
        <v>384</v>
      </c>
      <c r="R36" s="3" t="s">
        <v>385</v>
      </c>
      <c r="S36" s="3" t="s">
        <v>386</v>
      </c>
      <c r="T36" s="3" t="s">
        <v>529</v>
      </c>
    </row>
    <row r="37" spans="1:26" x14ac:dyDescent="0.2">
      <c r="A37" s="9" t="s">
        <v>18</v>
      </c>
      <c r="B37">
        <v>1</v>
      </c>
      <c r="C37" s="10"/>
      <c r="D37" s="10">
        <f>B37*C37</f>
        <v>0</v>
      </c>
      <c r="E37" s="237"/>
      <c r="F37" s="124"/>
      <c r="P37" s="9" t="s">
        <v>18</v>
      </c>
      <c r="Q37">
        <v>1</v>
      </c>
      <c r="R37" s="10"/>
      <c r="S37" s="10">
        <f>Q37*R37</f>
        <v>0</v>
      </c>
      <c r="T37" s="2"/>
    </row>
    <row r="38" spans="1:26" x14ac:dyDescent="0.2">
      <c r="A38" s="9" t="s">
        <v>19</v>
      </c>
      <c r="B38" s="10">
        <v>1</v>
      </c>
      <c r="C38" s="239"/>
      <c r="D38" s="10">
        <f>B38*C38</f>
        <v>0</v>
      </c>
      <c r="E38" s="237"/>
      <c r="F38" s="124"/>
      <c r="P38" s="9" t="s">
        <v>19</v>
      </c>
      <c r="Q38" s="10">
        <v>1</v>
      </c>
      <c r="R38" s="239"/>
      <c r="S38" s="175">
        <f>Q38*R38</f>
        <v>0</v>
      </c>
      <c r="T38" s="2"/>
    </row>
    <row r="39" spans="1:26" ht="16" customHeight="1" x14ac:dyDescent="0.2">
      <c r="A39" s="9" t="s">
        <v>47</v>
      </c>
      <c r="B39" s="10"/>
      <c r="C39" s="239"/>
      <c r="D39" s="10">
        <f t="shared" ref="D39:D44" si="17">B39*C39</f>
        <v>0</v>
      </c>
      <c r="E39" s="237"/>
      <c r="F39" s="3"/>
      <c r="G39" s="271" t="s">
        <v>455</v>
      </c>
      <c r="H39" s="272"/>
      <c r="I39" s="272"/>
      <c r="J39" s="273"/>
      <c r="K39" s="144"/>
      <c r="L39" s="144"/>
      <c r="M39" s="144"/>
      <c r="P39" s="9" t="s">
        <v>47</v>
      </c>
      <c r="Q39" s="435"/>
      <c r="R39" s="239"/>
      <c r="S39" s="175">
        <f>Q39*R39</f>
        <v>0</v>
      </c>
      <c r="T39" s="2"/>
      <c r="U39" s="3"/>
      <c r="W39" s="271" t="s">
        <v>455</v>
      </c>
      <c r="X39" s="272"/>
      <c r="Y39" s="272"/>
      <c r="Z39" s="273"/>
    </row>
    <row r="40" spans="1:26" ht="16" customHeight="1" x14ac:dyDescent="0.2">
      <c r="A40" s="9" t="s">
        <v>422</v>
      </c>
      <c r="B40" s="10"/>
      <c r="C40" s="239"/>
      <c r="D40" s="10">
        <f t="shared" si="17"/>
        <v>0</v>
      </c>
      <c r="E40" s="2"/>
      <c r="G40" s="598" t="s">
        <v>456</v>
      </c>
      <c r="H40" s="599"/>
      <c r="I40" s="599"/>
      <c r="J40" s="600"/>
      <c r="K40" s="477"/>
      <c r="L40" s="477"/>
      <c r="M40" s="477"/>
      <c r="P40" s="9" t="s">
        <v>422</v>
      </c>
      <c r="Q40" s="10"/>
      <c r="R40" s="239"/>
      <c r="S40" s="175">
        <f>Q40*R40</f>
        <v>0</v>
      </c>
      <c r="T40" s="2"/>
      <c r="U40" s="3"/>
      <c r="W40" s="598" t="s">
        <v>456</v>
      </c>
      <c r="X40" s="599"/>
      <c r="Y40" s="599"/>
      <c r="Z40" s="600"/>
    </row>
    <row r="41" spans="1:26" x14ac:dyDescent="0.2">
      <c r="A41" s="9" t="s">
        <v>387</v>
      </c>
      <c r="B41" s="10"/>
      <c r="C41" s="240"/>
      <c r="D41" s="10">
        <f t="shared" si="17"/>
        <v>0</v>
      </c>
      <c r="E41" s="2"/>
      <c r="G41" s="598"/>
      <c r="H41" s="599"/>
      <c r="I41" s="599"/>
      <c r="J41" s="600"/>
      <c r="K41" s="477"/>
      <c r="L41" s="477"/>
      <c r="M41" s="477"/>
      <c r="P41" s="9" t="s">
        <v>387</v>
      </c>
      <c r="Q41" s="10"/>
      <c r="R41" s="240"/>
      <c r="S41" s="175">
        <f t="shared" ref="S41" si="18">R41*Q41</f>
        <v>0</v>
      </c>
      <c r="T41" s="2"/>
      <c r="U41" s="3"/>
      <c r="W41" s="598"/>
      <c r="X41" s="599"/>
      <c r="Y41" s="599"/>
      <c r="Z41" s="600"/>
    </row>
    <row r="42" spans="1:26" x14ac:dyDescent="0.2">
      <c r="A42" s="9" t="s">
        <v>52</v>
      </c>
      <c r="B42" s="10"/>
      <c r="C42" s="240"/>
      <c r="D42" s="10">
        <f t="shared" si="17"/>
        <v>0</v>
      </c>
      <c r="E42" s="237"/>
      <c r="G42" s="601"/>
      <c r="H42" s="602"/>
      <c r="I42" s="602"/>
      <c r="J42" s="603"/>
      <c r="K42" s="477"/>
      <c r="L42" s="477"/>
      <c r="M42" s="477"/>
      <c r="P42" s="9" t="s">
        <v>52</v>
      </c>
      <c r="Q42" s="10"/>
      <c r="R42" s="240"/>
      <c r="S42" s="175">
        <f>Q42*R42</f>
        <v>0</v>
      </c>
      <c r="T42" s="2"/>
      <c r="U42" s="3"/>
      <c r="W42" s="601"/>
      <c r="X42" s="602"/>
      <c r="Y42" s="602"/>
      <c r="Z42" s="603"/>
    </row>
    <row r="43" spans="1:26" x14ac:dyDescent="0.2">
      <c r="A43" s="9" t="s">
        <v>91</v>
      </c>
      <c r="B43" s="10"/>
      <c r="C43" s="240"/>
      <c r="D43" s="10">
        <f>B43*C43</f>
        <v>0</v>
      </c>
      <c r="E43" s="237"/>
      <c r="P43" s="9" t="s">
        <v>389</v>
      </c>
      <c r="Q43" s="10"/>
      <c r="R43" s="240"/>
      <c r="S43" s="175">
        <f>Q43*R43</f>
        <v>0</v>
      </c>
      <c r="T43" s="2"/>
      <c r="U43" s="3"/>
    </row>
    <row r="44" spans="1:26" x14ac:dyDescent="0.2">
      <c r="A44" s="9" t="s">
        <v>390</v>
      </c>
      <c r="B44" s="10"/>
      <c r="C44" s="240"/>
      <c r="D44" s="10">
        <f t="shared" si="17"/>
        <v>0</v>
      </c>
      <c r="E44" s="237"/>
      <c r="P44" s="9" t="s">
        <v>390</v>
      </c>
      <c r="Q44" s="10"/>
      <c r="R44" s="240"/>
      <c r="S44" s="175">
        <f t="shared" ref="S44:S45" si="19">Q44*R44</f>
        <v>0</v>
      </c>
      <c r="T44" s="2"/>
      <c r="U44" s="3"/>
    </row>
    <row r="45" spans="1:26" x14ac:dyDescent="0.2">
      <c r="A45" s="9" t="s">
        <v>704</v>
      </c>
      <c r="B45" s="10"/>
      <c r="C45" s="240"/>
      <c r="D45" s="175">
        <f>B45*C45</f>
        <v>0</v>
      </c>
      <c r="E45" s="237"/>
      <c r="P45" s="9" t="s">
        <v>391</v>
      </c>
      <c r="Q45" s="10"/>
      <c r="R45" s="240"/>
      <c r="S45" s="175">
        <f t="shared" si="19"/>
        <v>0</v>
      </c>
      <c r="T45" s="2"/>
      <c r="U45" s="3"/>
    </row>
    <row r="46" spans="1:26" x14ac:dyDescent="0.2">
      <c r="A46" s="206" t="s">
        <v>388</v>
      </c>
      <c r="B46" s="10" t="s">
        <v>192</v>
      </c>
      <c r="C46" s="240" t="s">
        <v>192</v>
      </c>
      <c r="D46">
        <v>1</v>
      </c>
      <c r="E46" s="309" t="s">
        <v>528</v>
      </c>
      <c r="P46" s="206" t="s">
        <v>388</v>
      </c>
      <c r="Q46" s="10" t="s">
        <v>192</v>
      </c>
      <c r="R46" s="240" t="s">
        <v>192</v>
      </c>
      <c r="S46">
        <v>1</v>
      </c>
      <c r="T46" s="309" t="s">
        <v>528</v>
      </c>
    </row>
    <row r="47" spans="1:26" x14ac:dyDescent="0.2">
      <c r="A47" s="9" t="s">
        <v>20</v>
      </c>
      <c r="B47" s="10" t="s">
        <v>192</v>
      </c>
      <c r="C47" s="240" t="s">
        <v>192</v>
      </c>
      <c r="D47">
        <v>10</v>
      </c>
      <c r="P47" s="9" t="s">
        <v>20</v>
      </c>
      <c r="Q47" s="10" t="s">
        <v>192</v>
      </c>
      <c r="R47" s="240" t="s">
        <v>192</v>
      </c>
      <c r="S47">
        <v>10</v>
      </c>
    </row>
    <row r="48" spans="1:26" x14ac:dyDescent="0.2">
      <c r="A48" s="9" t="s">
        <v>21</v>
      </c>
      <c r="B48" s="11" t="s">
        <v>192</v>
      </c>
      <c r="C48" s="239" t="s">
        <v>192</v>
      </c>
      <c r="D48" s="2">
        <v>0.08</v>
      </c>
      <c r="P48" s="9" t="s">
        <v>21</v>
      </c>
      <c r="Q48" s="11" t="s">
        <v>192</v>
      </c>
      <c r="R48" s="239" t="s">
        <v>192</v>
      </c>
      <c r="S48" s="237">
        <f>D48</f>
        <v>0.08</v>
      </c>
    </row>
    <row r="50" spans="1:27" ht="17" thickBot="1" x14ac:dyDescent="0.25">
      <c r="A50" s="26" t="s">
        <v>22</v>
      </c>
      <c r="B50" s="27">
        <v>0</v>
      </c>
      <c r="C50" s="28">
        <f>IF($D47&gt;B50,B50+1,"")</f>
        <v>1</v>
      </c>
      <c r="D50" s="28">
        <f t="shared" ref="D50:L50" si="20">IF($D47&gt;C50,C50+1,"")</f>
        <v>2</v>
      </c>
      <c r="E50" s="28">
        <f t="shared" si="20"/>
        <v>3</v>
      </c>
      <c r="F50" s="28">
        <f t="shared" si="20"/>
        <v>4</v>
      </c>
      <c r="G50" s="28">
        <f t="shared" si="20"/>
        <v>5</v>
      </c>
      <c r="H50" s="28">
        <f t="shared" si="20"/>
        <v>6</v>
      </c>
      <c r="I50" s="28">
        <f t="shared" si="20"/>
        <v>7</v>
      </c>
      <c r="J50" s="28">
        <f t="shared" si="20"/>
        <v>8</v>
      </c>
      <c r="K50" s="28">
        <f t="shared" si="20"/>
        <v>9</v>
      </c>
      <c r="L50" s="28">
        <f t="shared" si="20"/>
        <v>10</v>
      </c>
      <c r="P50" s="26" t="s">
        <v>22</v>
      </c>
      <c r="Q50" s="27">
        <v>0</v>
      </c>
      <c r="R50" s="28">
        <f>IF($S47&gt;Q50,Q50+1,"")</f>
        <v>1</v>
      </c>
      <c r="S50" s="28">
        <f t="shared" ref="S50:AA50" si="21">IF($S47&gt;R50,R50+1,"")</f>
        <v>2</v>
      </c>
      <c r="T50" s="28">
        <f t="shared" si="21"/>
        <v>3</v>
      </c>
      <c r="U50" s="28">
        <f t="shared" si="21"/>
        <v>4</v>
      </c>
      <c r="V50" s="28">
        <f t="shared" si="21"/>
        <v>5</v>
      </c>
      <c r="W50" s="28">
        <f t="shared" si="21"/>
        <v>6</v>
      </c>
      <c r="X50" s="28">
        <f t="shared" si="21"/>
        <v>7</v>
      </c>
      <c r="Y50" s="28">
        <f t="shared" si="21"/>
        <v>8</v>
      </c>
      <c r="Z50" s="28">
        <f t="shared" si="21"/>
        <v>9</v>
      </c>
      <c r="AA50" s="28">
        <f t="shared" si="21"/>
        <v>10</v>
      </c>
    </row>
    <row r="51" spans="1:27" x14ac:dyDescent="0.2">
      <c r="A51" s="23" t="s">
        <v>18</v>
      </c>
      <c r="B51" s="24">
        <f>D37</f>
        <v>0</v>
      </c>
      <c r="C51" s="25"/>
      <c r="D51" s="25"/>
      <c r="E51" s="25"/>
      <c r="F51" s="25"/>
      <c r="G51" s="25"/>
      <c r="H51" s="25"/>
      <c r="I51" s="25"/>
      <c r="J51" s="25"/>
      <c r="K51" s="25"/>
      <c r="L51" s="25"/>
      <c r="P51" s="23" t="s">
        <v>18</v>
      </c>
      <c r="Q51" s="24">
        <f>S37</f>
        <v>0</v>
      </c>
      <c r="R51" s="483"/>
      <c r="S51" s="483"/>
      <c r="T51" s="483"/>
      <c r="U51" s="483"/>
      <c r="V51" s="483"/>
      <c r="W51" s="483"/>
      <c r="X51" s="483"/>
      <c r="Y51" s="483"/>
      <c r="Z51" s="483"/>
      <c r="AA51" s="483"/>
    </row>
    <row r="52" spans="1:27" x14ac:dyDescent="0.2">
      <c r="A52" s="21" t="s">
        <v>23</v>
      </c>
      <c r="B52" s="19"/>
      <c r="C52" s="485">
        <f>IF(C50=$D$47,$D$38,0)</f>
        <v>0</v>
      </c>
      <c r="D52" s="485">
        <f t="shared" ref="D52:L52" si="22">IF(D50=$D$47,$D$38,0)</f>
        <v>0</v>
      </c>
      <c r="E52" s="485">
        <f t="shared" si="22"/>
        <v>0</v>
      </c>
      <c r="F52" s="485">
        <f t="shared" si="22"/>
        <v>0</v>
      </c>
      <c r="G52" s="485">
        <f t="shared" si="22"/>
        <v>0</v>
      </c>
      <c r="H52" s="485">
        <f t="shared" si="22"/>
        <v>0</v>
      </c>
      <c r="I52" s="485">
        <f t="shared" si="22"/>
        <v>0</v>
      </c>
      <c r="J52" s="485">
        <f t="shared" si="22"/>
        <v>0</v>
      </c>
      <c r="K52" s="485">
        <f t="shared" si="22"/>
        <v>0</v>
      </c>
      <c r="L52" s="485">
        <f t="shared" si="22"/>
        <v>0</v>
      </c>
      <c r="P52" s="21" t="s">
        <v>23</v>
      </c>
      <c r="Q52" s="482"/>
      <c r="R52" s="283">
        <f>IF(R50=$S$47,$S$38,0)</f>
        <v>0</v>
      </c>
      <c r="S52" s="283">
        <f>IF(S50=$S$47,$S$38,0)</f>
        <v>0</v>
      </c>
      <c r="T52" s="283">
        <f t="shared" ref="T52:Z52" si="23">IF(T50=$S$47,$S$38,0)</f>
        <v>0</v>
      </c>
      <c r="U52" s="283">
        <f t="shared" si="23"/>
        <v>0</v>
      </c>
      <c r="V52" s="283">
        <f t="shared" si="23"/>
        <v>0</v>
      </c>
      <c r="W52" s="283">
        <f t="shared" si="23"/>
        <v>0</v>
      </c>
      <c r="X52" s="283">
        <f t="shared" si="23"/>
        <v>0</v>
      </c>
      <c r="Y52" s="283">
        <f t="shared" si="23"/>
        <v>0</v>
      </c>
      <c r="Z52" s="283">
        <f t="shared" si="23"/>
        <v>0</v>
      </c>
      <c r="AA52" s="283">
        <f>IF(AA50=$S$47,$S$38,0)</f>
        <v>0</v>
      </c>
    </row>
    <row r="53" spans="1:27" x14ac:dyDescent="0.2">
      <c r="A53" s="21" t="s">
        <v>32</v>
      </c>
      <c r="B53" s="19"/>
      <c r="C53" s="15">
        <f>IF(C50="","",$B$39*($C$39*(1+$E$39)^B50)*$D$46)</f>
        <v>0</v>
      </c>
      <c r="D53" s="15">
        <f t="shared" ref="D53:L53" si="24">IF(D50="","",$B$39*($C$39*(1+$E$39)^C50)*$D$46)</f>
        <v>0</v>
      </c>
      <c r="E53" s="15">
        <f t="shared" si="24"/>
        <v>0</v>
      </c>
      <c r="F53" s="15">
        <f t="shared" si="24"/>
        <v>0</v>
      </c>
      <c r="G53" s="15">
        <f t="shared" si="24"/>
        <v>0</v>
      </c>
      <c r="H53" s="15">
        <f t="shared" si="24"/>
        <v>0</v>
      </c>
      <c r="I53" s="15">
        <f t="shared" si="24"/>
        <v>0</v>
      </c>
      <c r="J53" s="15">
        <f>IF(J50="","",$B$39*($C$39*(1+$E$39)^I50)*$D$46)</f>
        <v>0</v>
      </c>
      <c r="K53" s="15">
        <f t="shared" si="24"/>
        <v>0</v>
      </c>
      <c r="L53" s="15">
        <f t="shared" si="24"/>
        <v>0</v>
      </c>
      <c r="P53" s="21" t="s">
        <v>32</v>
      </c>
      <c r="Q53" s="19"/>
      <c r="R53" s="484">
        <f>IF(R50="","",$Q$39*($R$39*(1+$T$39)^Q50)*$S$46)</f>
        <v>0</v>
      </c>
      <c r="S53" s="484">
        <f t="shared" ref="S53:AA53" si="25">IF(S50="","",$Q$39*($R$39*(1+$T$39)^R50)*$S$46)</f>
        <v>0</v>
      </c>
      <c r="T53" s="484">
        <f t="shared" si="25"/>
        <v>0</v>
      </c>
      <c r="U53" s="484">
        <f t="shared" si="25"/>
        <v>0</v>
      </c>
      <c r="V53" s="484">
        <f t="shared" si="25"/>
        <v>0</v>
      </c>
      <c r="W53" s="484">
        <f t="shared" si="25"/>
        <v>0</v>
      </c>
      <c r="X53" s="484">
        <f t="shared" si="25"/>
        <v>0</v>
      </c>
      <c r="Y53" s="484">
        <f t="shared" si="25"/>
        <v>0</v>
      </c>
      <c r="Z53" s="484">
        <f t="shared" si="25"/>
        <v>0</v>
      </c>
      <c r="AA53" s="484">
        <f t="shared" si="25"/>
        <v>0</v>
      </c>
    </row>
    <row r="54" spans="1:27" x14ac:dyDescent="0.2">
      <c r="A54" s="21" t="s">
        <v>33</v>
      </c>
      <c r="B54" s="19"/>
      <c r="C54" s="15">
        <f>IF(C50="","",-($D$40*(1+$E$40)^B50+$D$41*(1+$E$41)^B50+$D$42*(1+$E$42)^B50+$D$43*(1+$E$43)^B50+$D$44*(1+$E$44)^B50+$D$45*(1+$E$45)^B50))</f>
        <v>0</v>
      </c>
      <c r="D54" s="15">
        <f t="shared" ref="D54:L54" si="26">IF(D50="","",-($D$40*(1+$E$40)^C50+$D$41*(1+$E$41)^C50+$D$42*(1+$E$42)^C50+$D$43*(1+$E$43)^C50+$D$44*(1+$E$44)^C50+$D$45*(1+$E$45)^C50))</f>
        <v>0</v>
      </c>
      <c r="E54" s="15">
        <f t="shared" si="26"/>
        <v>0</v>
      </c>
      <c r="F54" s="15">
        <f t="shared" si="26"/>
        <v>0</v>
      </c>
      <c r="G54" s="15">
        <f t="shared" si="26"/>
        <v>0</v>
      </c>
      <c r="H54" s="15">
        <f t="shared" si="26"/>
        <v>0</v>
      </c>
      <c r="I54" s="15">
        <f t="shared" si="26"/>
        <v>0</v>
      </c>
      <c r="J54" s="15">
        <f t="shared" si="26"/>
        <v>0</v>
      </c>
      <c r="K54" s="15">
        <f t="shared" si="26"/>
        <v>0</v>
      </c>
      <c r="L54" s="15">
        <f t="shared" si="26"/>
        <v>0</v>
      </c>
      <c r="P54" s="21" t="s">
        <v>33</v>
      </c>
      <c r="Q54" s="19"/>
      <c r="R54" s="15">
        <f>IF(R50="","",-($S$40*(1+$T$40)^Q50+$S$41*(1+$T$41)^Q50+$S$42*(1+$T$42)^Q50+$S$43*(1+$T$43)^Q50+$S$44*(1+$T$44)^Q50+$S$45*(1+$T$45)^Q50))</f>
        <v>0</v>
      </c>
      <c r="S54" s="15">
        <f t="shared" ref="S54:AA54" si="27">IF(S50="","",-($S$40*(1+$T$40)^R50+$S$41*(1+$T$41)^R50+$S$42*(1+$T$42)^R50+$S$43*(1+$T$43)^R50+$S$44*(1+$T$44)^R50+$S$45*(1+$T$45)^R50))</f>
        <v>0</v>
      </c>
      <c r="T54" s="15">
        <f t="shared" si="27"/>
        <v>0</v>
      </c>
      <c r="U54" s="15">
        <f t="shared" si="27"/>
        <v>0</v>
      </c>
      <c r="V54" s="15">
        <f t="shared" si="27"/>
        <v>0</v>
      </c>
      <c r="W54" s="15">
        <f t="shared" si="27"/>
        <v>0</v>
      </c>
      <c r="X54" s="15">
        <f t="shared" si="27"/>
        <v>0</v>
      </c>
      <c r="Y54" s="15">
        <f t="shared" si="27"/>
        <v>0</v>
      </c>
      <c r="Z54" s="15">
        <f t="shared" si="27"/>
        <v>0</v>
      </c>
      <c r="AA54" s="15">
        <f t="shared" si="27"/>
        <v>0</v>
      </c>
    </row>
    <row r="55" spans="1:27" x14ac:dyDescent="0.2">
      <c r="A55" s="21" t="s">
        <v>24</v>
      </c>
      <c r="B55" s="18">
        <f>-B51+B53</f>
        <v>0</v>
      </c>
      <c r="C55" s="15">
        <f>IF(C50="","",(C54+C53+C52))</f>
        <v>0</v>
      </c>
      <c r="D55" s="15">
        <f t="shared" ref="D55:L55" si="28">IF(D50="","",(D54+D53+D52))</f>
        <v>0</v>
      </c>
      <c r="E55" s="15">
        <f t="shared" si="28"/>
        <v>0</v>
      </c>
      <c r="F55" s="15">
        <f t="shared" si="28"/>
        <v>0</v>
      </c>
      <c r="G55" s="15">
        <f t="shared" si="28"/>
        <v>0</v>
      </c>
      <c r="H55" s="15">
        <f t="shared" si="28"/>
        <v>0</v>
      </c>
      <c r="I55" s="15">
        <f t="shared" si="28"/>
        <v>0</v>
      </c>
      <c r="J55" s="15">
        <f t="shared" si="28"/>
        <v>0</v>
      </c>
      <c r="K55" s="15">
        <f t="shared" si="28"/>
        <v>0</v>
      </c>
      <c r="L55" s="15">
        <f t="shared" si="28"/>
        <v>0</v>
      </c>
      <c r="P55" s="21" t="s">
        <v>24</v>
      </c>
      <c r="Q55" s="18">
        <f>-Q51+Q53</f>
        <v>0</v>
      </c>
      <c r="R55" s="15">
        <f>IF(R50="","",R54+R53+R52)</f>
        <v>0</v>
      </c>
      <c r="S55" s="15">
        <f t="shared" ref="S55:AA55" si="29">IF(S50="","",S54+S53+S52)</f>
        <v>0</v>
      </c>
      <c r="T55" s="15">
        <f t="shared" si="29"/>
        <v>0</v>
      </c>
      <c r="U55" s="15">
        <f t="shared" si="29"/>
        <v>0</v>
      </c>
      <c r="V55" s="15">
        <f t="shared" si="29"/>
        <v>0</v>
      </c>
      <c r="W55" s="15">
        <f t="shared" si="29"/>
        <v>0</v>
      </c>
      <c r="X55" s="15">
        <f t="shared" si="29"/>
        <v>0</v>
      </c>
      <c r="Y55" s="15">
        <f t="shared" si="29"/>
        <v>0</v>
      </c>
      <c r="Z55" s="15">
        <f t="shared" si="29"/>
        <v>0</v>
      </c>
      <c r="AA55" s="15">
        <f t="shared" si="29"/>
        <v>0</v>
      </c>
    </row>
    <row r="56" spans="1:27" x14ac:dyDescent="0.2">
      <c r="A56" s="22" t="s">
        <v>25</v>
      </c>
      <c r="B56" s="20">
        <f>B55</f>
        <v>0</v>
      </c>
      <c r="C56" s="17">
        <f>IF(C50="","",C55/(1+$D$48)^C50)</f>
        <v>0</v>
      </c>
      <c r="D56" s="17">
        <f t="shared" ref="D56:L56" si="30">IF(D50="","",D55/(1+$D$48)^D50)</f>
        <v>0</v>
      </c>
      <c r="E56" s="17">
        <f t="shared" si="30"/>
        <v>0</v>
      </c>
      <c r="F56" s="17">
        <f t="shared" si="30"/>
        <v>0</v>
      </c>
      <c r="G56" s="17">
        <f t="shared" si="30"/>
        <v>0</v>
      </c>
      <c r="H56" s="17">
        <f t="shared" si="30"/>
        <v>0</v>
      </c>
      <c r="I56" s="17">
        <f t="shared" si="30"/>
        <v>0</v>
      </c>
      <c r="J56" s="17">
        <f t="shared" si="30"/>
        <v>0</v>
      </c>
      <c r="K56" s="17">
        <f t="shared" si="30"/>
        <v>0</v>
      </c>
      <c r="L56" s="17">
        <f t="shared" si="30"/>
        <v>0</v>
      </c>
      <c r="P56" s="22" t="s">
        <v>25</v>
      </c>
      <c r="Q56" s="20">
        <f>Q55</f>
        <v>0</v>
      </c>
      <c r="R56" s="17">
        <f>IF(R50="","",R55/(1+$S$48)^R50)</f>
        <v>0</v>
      </c>
      <c r="S56" s="17">
        <f t="shared" ref="S56:AA56" si="31">IF(S50="","",S55/(1+$S$48)^S50)</f>
        <v>0</v>
      </c>
      <c r="T56" s="17">
        <f t="shared" si="31"/>
        <v>0</v>
      </c>
      <c r="U56" s="17">
        <f t="shared" si="31"/>
        <v>0</v>
      </c>
      <c r="V56" s="17">
        <f t="shared" si="31"/>
        <v>0</v>
      </c>
      <c r="W56" s="17">
        <f t="shared" si="31"/>
        <v>0</v>
      </c>
      <c r="X56" s="17">
        <f t="shared" si="31"/>
        <v>0</v>
      </c>
      <c r="Y56" s="17">
        <f t="shared" si="31"/>
        <v>0</v>
      </c>
      <c r="Z56" s="17">
        <f t="shared" si="31"/>
        <v>0</v>
      </c>
      <c r="AA56" s="17">
        <f t="shared" si="31"/>
        <v>0</v>
      </c>
    </row>
    <row r="57" spans="1:27" x14ac:dyDescent="0.2">
      <c r="A57" s="22" t="s">
        <v>530</v>
      </c>
      <c r="B57" s="18">
        <f>B56</f>
        <v>0</v>
      </c>
      <c r="C57" s="15">
        <f>IF(C50="","",C56+B57)</f>
        <v>0</v>
      </c>
      <c r="D57" s="15">
        <f t="shared" ref="D57:L57" si="32">IF(D50="","",D56+C57)</f>
        <v>0</v>
      </c>
      <c r="E57" s="15">
        <f t="shared" si="32"/>
        <v>0</v>
      </c>
      <c r="F57" s="15">
        <f t="shared" si="32"/>
        <v>0</v>
      </c>
      <c r="G57" s="15">
        <f t="shared" si="32"/>
        <v>0</v>
      </c>
      <c r="H57" s="15">
        <f t="shared" si="32"/>
        <v>0</v>
      </c>
      <c r="I57" s="15">
        <f t="shared" si="32"/>
        <v>0</v>
      </c>
      <c r="J57" s="15">
        <f t="shared" si="32"/>
        <v>0</v>
      </c>
      <c r="K57" s="15">
        <f t="shared" si="32"/>
        <v>0</v>
      </c>
      <c r="L57" s="15">
        <f t="shared" si="32"/>
        <v>0</v>
      </c>
      <c r="P57" s="22" t="s">
        <v>530</v>
      </c>
      <c r="Q57" s="18">
        <f>Q56</f>
        <v>0</v>
      </c>
      <c r="R57" s="15">
        <f>IF(R50="","",R56+Q57)</f>
        <v>0</v>
      </c>
      <c r="S57" s="15">
        <f t="shared" ref="S57:AA57" si="33">IF(S50="","",S56+R57)</f>
        <v>0</v>
      </c>
      <c r="T57" s="15">
        <f t="shared" si="33"/>
        <v>0</v>
      </c>
      <c r="U57" s="15">
        <f t="shared" si="33"/>
        <v>0</v>
      </c>
      <c r="V57" s="15">
        <f t="shared" si="33"/>
        <v>0</v>
      </c>
      <c r="W57" s="15">
        <f t="shared" si="33"/>
        <v>0</v>
      </c>
      <c r="X57" s="15">
        <f t="shared" si="33"/>
        <v>0</v>
      </c>
      <c r="Y57" s="15">
        <f t="shared" si="33"/>
        <v>0</v>
      </c>
      <c r="Z57" s="15">
        <f t="shared" si="33"/>
        <v>0</v>
      </c>
      <c r="AA57" s="15">
        <f t="shared" si="33"/>
        <v>0</v>
      </c>
    </row>
    <row r="58" spans="1:27" x14ac:dyDescent="0.2">
      <c r="A58" s="22" t="s">
        <v>531</v>
      </c>
      <c r="B58" s="18"/>
      <c r="C58" s="18">
        <f>IF(C50="","",PMT($D$48,C50,-C57))</f>
        <v>0</v>
      </c>
      <c r="D58" s="18">
        <f t="shared" ref="D58:L58" si="34">IF(D50="","",PMT($D$48,D50,-D57))</f>
        <v>0</v>
      </c>
      <c r="E58" s="18">
        <f t="shared" si="34"/>
        <v>0</v>
      </c>
      <c r="F58" s="18">
        <f t="shared" si="34"/>
        <v>0</v>
      </c>
      <c r="G58" s="18">
        <f t="shared" si="34"/>
        <v>0</v>
      </c>
      <c r="H58" s="18">
        <f t="shared" si="34"/>
        <v>0</v>
      </c>
      <c r="I58" s="18">
        <f t="shared" si="34"/>
        <v>0</v>
      </c>
      <c r="J58" s="18">
        <f t="shared" si="34"/>
        <v>0</v>
      </c>
      <c r="K58" s="18">
        <f t="shared" si="34"/>
        <v>0</v>
      </c>
      <c r="L58" s="18">
        <f t="shared" si="34"/>
        <v>0</v>
      </c>
      <c r="P58" s="22" t="s">
        <v>531</v>
      </c>
      <c r="Q58" s="18"/>
      <c r="R58" s="18">
        <f>IF(R50="","",(PMT($S$48,R50,-R57)))</f>
        <v>0</v>
      </c>
      <c r="S58" s="18">
        <f t="shared" ref="S58:AA58" si="35">IF(S50="","",(PMT($S$48,S50,-S57)))</f>
        <v>0</v>
      </c>
      <c r="T58" s="18">
        <f t="shared" si="35"/>
        <v>0</v>
      </c>
      <c r="U58" s="18">
        <f t="shared" si="35"/>
        <v>0</v>
      </c>
      <c r="V58" s="18">
        <f t="shared" si="35"/>
        <v>0</v>
      </c>
      <c r="W58" s="18">
        <f t="shared" si="35"/>
        <v>0</v>
      </c>
      <c r="X58" s="18">
        <f t="shared" si="35"/>
        <v>0</v>
      </c>
      <c r="Y58" s="18">
        <f t="shared" si="35"/>
        <v>0</v>
      </c>
      <c r="Z58" s="18">
        <f t="shared" si="35"/>
        <v>0</v>
      </c>
      <c r="AA58" s="18">
        <f t="shared" si="35"/>
        <v>0</v>
      </c>
    </row>
    <row r="59" spans="1:27" x14ac:dyDescent="0.2">
      <c r="A59" s="22" t="s">
        <v>26</v>
      </c>
      <c r="B59" s="20">
        <f>SUM(B56:L56)</f>
        <v>0</v>
      </c>
      <c r="C59" s="13"/>
      <c r="D59" s="14"/>
      <c r="E59" s="13"/>
      <c r="F59" s="13"/>
      <c r="G59" s="13"/>
      <c r="P59" s="22" t="s">
        <v>26</v>
      </c>
      <c r="Q59" s="20">
        <f>SUM(Q56:AA56)</f>
        <v>0</v>
      </c>
      <c r="R59" s="13"/>
      <c r="S59" s="14"/>
      <c r="T59" s="13"/>
      <c r="U59" s="13"/>
      <c r="V59" s="13"/>
    </row>
    <row r="60" spans="1:27" x14ac:dyDescent="0.2">
      <c r="A60" s="22" t="s">
        <v>27</v>
      </c>
      <c r="B60" s="20">
        <f>NPV(D48,C55:L55)+B55</f>
        <v>0</v>
      </c>
      <c r="C60" s="4"/>
      <c r="D60" s="5"/>
      <c r="E60" s="4"/>
      <c r="F60" s="4"/>
      <c r="G60" s="4"/>
      <c r="I60" s="8"/>
      <c r="P60" s="22" t="s">
        <v>27</v>
      </c>
      <c r="Q60" s="20">
        <f>NPV(S48,R55:AA55)+Q55</f>
        <v>0</v>
      </c>
      <c r="R60" s="4"/>
      <c r="S60" s="5"/>
      <c r="T60" s="4"/>
      <c r="U60" s="4"/>
      <c r="V60" s="4"/>
      <c r="X60" s="8"/>
    </row>
    <row r="61" spans="1:27" x14ac:dyDescent="0.2">
      <c r="C61" s="6"/>
      <c r="D61" s="207"/>
      <c r="G61" s="6"/>
      <c r="R61" s="6"/>
      <c r="S61" s="7"/>
      <c r="V61" s="6"/>
    </row>
    <row r="62" spans="1:27" x14ac:dyDescent="0.2">
      <c r="A62" s="105" t="s">
        <v>34</v>
      </c>
      <c r="B62" s="30" t="str">
        <f>IF(B60&gt;0,"Ja","Nej")</f>
        <v>Nej</v>
      </c>
      <c r="D62" s="175"/>
      <c r="P62" s="5" t="s">
        <v>34</v>
      </c>
      <c r="Q62" s="30" t="str">
        <f>IF(Q60&gt;0,"Ja","Nej")</f>
        <v>Nej</v>
      </c>
    </row>
    <row r="63" spans="1:27" x14ac:dyDescent="0.2">
      <c r="A63" s="98"/>
    </row>
    <row r="64" spans="1:27" x14ac:dyDescent="0.2">
      <c r="A64" s="5" t="s">
        <v>517</v>
      </c>
      <c r="C64" s="175">
        <f>B60-Q60</f>
        <v>0</v>
      </c>
    </row>
    <row r="65" spans="1:25" x14ac:dyDescent="0.2">
      <c r="A65" s="297"/>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row>
    <row r="67" spans="1:25" x14ac:dyDescent="0.2">
      <c r="A67" s="1" t="s">
        <v>596</v>
      </c>
    </row>
    <row r="68" spans="1:25" x14ac:dyDescent="0.2">
      <c r="A68" t="s">
        <v>585</v>
      </c>
    </row>
    <row r="69" spans="1:25" x14ac:dyDescent="0.2">
      <c r="B69" t="s">
        <v>773</v>
      </c>
      <c r="E69" t="s">
        <v>774</v>
      </c>
    </row>
    <row r="70" spans="1:25" x14ac:dyDescent="0.2">
      <c r="A70" s="137"/>
      <c r="B70" s="551" t="s">
        <v>526</v>
      </c>
      <c r="C70" s="612"/>
      <c r="E70" s="551" t="s">
        <v>527</v>
      </c>
      <c r="F70" s="551"/>
    </row>
    <row r="71" spans="1:25" x14ac:dyDescent="0.2">
      <c r="A71" s="137"/>
      <c r="B71" t="str">
        <f>A10</f>
        <v>Anlæg A</v>
      </c>
      <c r="C71" s="137" t="str">
        <f>P10</f>
        <v>Anlæg B</v>
      </c>
      <c r="E71" t="str">
        <f>A36</f>
        <v>Anlæg C</v>
      </c>
      <c r="F71" t="str">
        <f>P36</f>
        <v>Anlæg D</v>
      </c>
    </row>
    <row r="72" spans="1:25" x14ac:dyDescent="0.2">
      <c r="A72" s="395">
        <v>0.05</v>
      </c>
      <c r="B72" s="175">
        <f>NPV(A72,$C$23:$L$23)+$B$23</f>
        <v>18287987.438262586</v>
      </c>
      <c r="C72" s="394">
        <f>NPV(A72,$R$23:$AA$23)+$Q$23</f>
        <v>17257291.775585547</v>
      </c>
      <c r="E72" s="175">
        <f>NPV(A72,$C$55:$L$55)+$B$55</f>
        <v>0</v>
      </c>
      <c r="F72" s="175">
        <f>NPV(A72,$R$55:$AA$55)+$Q$55</f>
        <v>0</v>
      </c>
    </row>
    <row r="73" spans="1:25" x14ac:dyDescent="0.2">
      <c r="A73" s="395">
        <v>0.06</v>
      </c>
      <c r="B73" s="175">
        <f t="shared" ref="B73:B87" si="36">NPV(A73,$C$23:$L$23)+$B$23</f>
        <v>17191940.109627109</v>
      </c>
      <c r="C73" s="394">
        <f t="shared" ref="C73:C87" si="37">NPV(A73,$R$23:$AA$23)+$Q$23</f>
        <v>16164020.370781355</v>
      </c>
      <c r="E73" s="175">
        <f t="shared" ref="E73:E87" si="38">NPV(A73,$C$55:$L$55)+$B$55</f>
        <v>0</v>
      </c>
      <c r="F73" s="175">
        <f t="shared" ref="F73:F87" si="39">NPV(A73,$R$55:$AA$55)+$Q$55</f>
        <v>0</v>
      </c>
    </row>
    <row r="74" spans="1:25" x14ac:dyDescent="0.2">
      <c r="A74" s="395">
        <v>7.0000000000000007E-2</v>
      </c>
      <c r="B74" s="175">
        <f t="shared" si="36"/>
        <v>16172414.481224746</v>
      </c>
      <c r="C74" s="394">
        <f t="shared" si="37"/>
        <v>15146997.016618006</v>
      </c>
      <c r="E74" s="175">
        <f t="shared" si="38"/>
        <v>0</v>
      </c>
      <c r="F74" s="175">
        <f t="shared" si="39"/>
        <v>0</v>
      </c>
    </row>
    <row r="75" spans="1:25" x14ac:dyDescent="0.2">
      <c r="A75" s="395">
        <v>0.08</v>
      </c>
      <c r="B75" s="175">
        <f t="shared" si="36"/>
        <v>15222882.894441262</v>
      </c>
      <c r="C75" s="394">
        <f t="shared" si="37"/>
        <v>14199723.220037028</v>
      </c>
      <c r="E75" s="175">
        <f t="shared" si="38"/>
        <v>0</v>
      </c>
      <c r="F75" s="175">
        <f t="shared" si="39"/>
        <v>0</v>
      </c>
    </row>
    <row r="76" spans="1:25" x14ac:dyDescent="0.2">
      <c r="A76" s="395">
        <v>0.09</v>
      </c>
      <c r="B76" s="175">
        <f t="shared" si="36"/>
        <v>14337455.26485616</v>
      </c>
      <c r="C76" s="394">
        <f t="shared" si="37"/>
        <v>13316334.724511374</v>
      </c>
      <c r="E76" s="175">
        <f t="shared" si="38"/>
        <v>0</v>
      </c>
      <c r="F76" s="175">
        <f t="shared" si="39"/>
        <v>0</v>
      </c>
    </row>
    <row r="77" spans="1:25" x14ac:dyDescent="0.2">
      <c r="A77" s="395">
        <v>0.1</v>
      </c>
      <c r="B77" s="175">
        <f t="shared" si="36"/>
        <v>13510809.974999946</v>
      </c>
      <c r="C77" s="394">
        <f t="shared" si="37"/>
        <v>12491532.810528468</v>
      </c>
      <c r="E77" s="175">
        <f t="shared" si="38"/>
        <v>0</v>
      </c>
      <c r="F77" s="175">
        <f t="shared" si="39"/>
        <v>0</v>
      </c>
    </row>
    <row r="78" spans="1:25" x14ac:dyDescent="0.2">
      <c r="A78" s="395">
        <v>0.11</v>
      </c>
      <c r="B78" s="175">
        <f t="shared" si="36"/>
        <v>12738132.929178514</v>
      </c>
      <c r="C78" s="394">
        <f t="shared" si="37"/>
        <v>11720523.705239788</v>
      </c>
      <c r="E78" s="175">
        <f t="shared" si="38"/>
        <v>0</v>
      </c>
      <c r="F78" s="175">
        <f>NPV(A78,$R$55:$AA$55)+$Q$55</f>
        <v>0</v>
      </c>
    </row>
    <row r="79" spans="1:25" x14ac:dyDescent="0.2">
      <c r="A79" s="395">
        <v>0.12</v>
      </c>
      <c r="B79" s="175">
        <f t="shared" si="36"/>
        <v>12015063.732550725</v>
      </c>
      <c r="C79" s="394">
        <f t="shared" si="37"/>
        <v>10998965.07072119</v>
      </c>
      <c r="E79" s="175">
        <f t="shared" si="38"/>
        <v>0</v>
      </c>
      <c r="F79" s="175">
        <f t="shared" si="39"/>
        <v>0</v>
      </c>
    </row>
    <row r="80" spans="1:25" x14ac:dyDescent="0.2">
      <c r="A80" s="395">
        <v>0.13</v>
      </c>
      <c r="B80" s="175">
        <f t="shared" si="36"/>
        <v>11337648.097483885</v>
      </c>
      <c r="C80" s="394">
        <f t="shared" si="37"/>
        <v>10322918.680077579</v>
      </c>
      <c r="E80" s="175">
        <f t="shared" si="38"/>
        <v>0</v>
      </c>
      <c r="F80" s="175">
        <f t="shared" si="39"/>
        <v>0</v>
      </c>
    </row>
    <row r="81" spans="1:7" x14ac:dyDescent="0.2">
      <c r="A81" s="395">
        <v>0.14000000000000001</v>
      </c>
      <c r="B81" s="175">
        <f t="shared" si="36"/>
        <v>10702295.700784516</v>
      </c>
      <c r="C81" s="394">
        <f t="shared" si="37"/>
        <v>9688808.5103085712</v>
      </c>
      <c r="E81" s="175">
        <f t="shared" si="38"/>
        <v>0</v>
      </c>
      <c r="F81" s="175">
        <f t="shared" si="39"/>
        <v>0</v>
      </c>
    </row>
    <row r="82" spans="1:7" x14ac:dyDescent="0.2">
      <c r="A82" s="395">
        <v>0.15</v>
      </c>
      <c r="B82" s="175">
        <f t="shared" si="36"/>
        <v>10105742.818787061</v>
      </c>
      <c r="C82" s="394">
        <f t="shared" si="37"/>
        <v>9093383.5834809691</v>
      </c>
      <c r="E82" s="175">
        <f>NPV(A82,$C$55:$L$55)+$B$55</f>
        <v>0</v>
      </c>
      <c r="F82" s="175">
        <f t="shared" si="39"/>
        <v>0</v>
      </c>
    </row>
    <row r="83" spans="1:7" x14ac:dyDescent="0.2">
      <c r="A83" s="395">
        <v>0.16</v>
      </c>
      <c r="B83" s="175">
        <f t="shared" si="36"/>
        <v>9545019.1560617816</v>
      </c>
      <c r="C83" s="394">
        <f t="shared" si="37"/>
        <v>8533684.9758894425</v>
      </c>
      <c r="E83" s="175">
        <f t="shared" si="38"/>
        <v>0</v>
      </c>
      <c r="F83" s="175">
        <f t="shared" si="39"/>
        <v>0</v>
      </c>
    </row>
    <row r="84" spans="1:7" x14ac:dyDescent="0.2">
      <c r="A84" s="395">
        <v>0.17</v>
      </c>
      <c r="B84" s="175">
        <f t="shared" si="36"/>
        <v>9017418.359857576</v>
      </c>
      <c r="C84" s="394">
        <f t="shared" si="37"/>
        <v>8007016.4906933121</v>
      </c>
      <c r="E84" s="175">
        <f t="shared" si="38"/>
        <v>0</v>
      </c>
      <c r="F84" s="175">
        <f t="shared" si="39"/>
        <v>0</v>
      </c>
    </row>
    <row r="85" spans="1:7" x14ac:dyDescent="0.2">
      <c r="A85" s="395">
        <v>0.18</v>
      </c>
      <c r="B85" s="175">
        <f t="shared" si="36"/>
        <v>8520471.7781559583</v>
      </c>
      <c r="C85" s="394">
        <f t="shared" si="37"/>
        <v>7510918.5548102781</v>
      </c>
      <c r="E85" s="175">
        <f t="shared" si="38"/>
        <v>0</v>
      </c>
      <c r="F85" s="175">
        <f t="shared" si="39"/>
        <v>0</v>
      </c>
    </row>
    <row r="86" spans="1:7" x14ac:dyDescent="0.2">
      <c r="A86" s="395">
        <v>0.19</v>
      </c>
      <c r="B86" s="175">
        <f t="shared" si="36"/>
        <v>8051925.0759343952</v>
      </c>
      <c r="C86" s="394">
        <f t="shared" si="37"/>
        <v>7043144.9571705107</v>
      </c>
      <c r="E86" s="175">
        <f t="shared" si="38"/>
        <v>0</v>
      </c>
      <c r="F86" s="175">
        <f t="shared" si="39"/>
        <v>0</v>
      </c>
    </row>
    <row r="87" spans="1:7" x14ac:dyDescent="0.2">
      <c r="A87" s="395">
        <v>0.2</v>
      </c>
      <c r="B87" s="175">
        <f t="shared" si="36"/>
        <v>7609717.3732302841</v>
      </c>
      <c r="C87" s="394">
        <f t="shared" si="37"/>
        <v>6601642.0940857921</v>
      </c>
      <c r="E87" s="175">
        <f t="shared" si="38"/>
        <v>0</v>
      </c>
      <c r="F87" s="175">
        <f t="shared" si="39"/>
        <v>0</v>
      </c>
    </row>
    <row r="88" spans="1:7" x14ac:dyDescent="0.2">
      <c r="A88" s="237"/>
      <c r="B88" s="175"/>
      <c r="C88" s="175"/>
      <c r="E88" s="175"/>
      <c r="F88" s="175"/>
    </row>
    <row r="89" spans="1:7" s="238" customFormat="1" x14ac:dyDescent="0.2">
      <c r="A89" s="396"/>
      <c r="C89" s="397"/>
      <c r="E89" s="397"/>
      <c r="F89" s="397"/>
    </row>
    <row r="90" spans="1:7" x14ac:dyDescent="0.2">
      <c r="A90" s="393"/>
      <c r="C90" s="175"/>
      <c r="E90" s="175"/>
      <c r="F90" s="175"/>
    </row>
    <row r="91" spans="1:7" x14ac:dyDescent="0.2">
      <c r="A91" s="1" t="s">
        <v>594</v>
      </c>
      <c r="B91" s="29"/>
    </row>
    <row r="92" spans="1:7" x14ac:dyDescent="0.2">
      <c r="A92" t="s">
        <v>35</v>
      </c>
    </row>
    <row r="93" spans="1:7" x14ac:dyDescent="0.2">
      <c r="A93" t="s">
        <v>41</v>
      </c>
      <c r="D93" s="29"/>
    </row>
    <row r="94" spans="1:7" x14ac:dyDescent="0.2">
      <c r="A94" t="s">
        <v>583</v>
      </c>
    </row>
    <row r="95" spans="1:7" x14ac:dyDescent="0.2">
      <c r="A95" s="609" t="s">
        <v>506</v>
      </c>
      <c r="B95" s="610"/>
      <c r="C95" s="610"/>
      <c r="D95" s="610"/>
      <c r="E95" s="610"/>
      <c r="F95" s="610"/>
      <c r="G95" s="611"/>
    </row>
    <row r="96" spans="1:7" x14ac:dyDescent="0.2">
      <c r="A96" t="s">
        <v>40</v>
      </c>
      <c r="B96" s="176">
        <f>IRR(B23:L23)</f>
        <v>0.59457840358088232</v>
      </c>
      <c r="D96" s="604" t="s">
        <v>579</v>
      </c>
      <c r="E96" s="597"/>
      <c r="F96" s="597"/>
      <c r="G96" s="176" t="e">
        <f>IRR(B55:L55)</f>
        <v>#NUM!</v>
      </c>
    </row>
    <row r="97" spans="1:7" x14ac:dyDescent="0.2">
      <c r="A97" t="s">
        <v>39</v>
      </c>
      <c r="B97" s="176">
        <f>IRR(Q23:AA23)</f>
        <v>0.4910186010392612</v>
      </c>
      <c r="D97" s="604" t="s">
        <v>580</v>
      </c>
      <c r="E97" s="597"/>
      <c r="F97" s="597"/>
      <c r="G97" s="176" t="e">
        <f>IRR(Q55:AA55)</f>
        <v>#NUM!</v>
      </c>
    </row>
    <row r="100" spans="1:7" x14ac:dyDescent="0.2">
      <c r="A100" s="3" t="s">
        <v>42</v>
      </c>
    </row>
    <row r="101" spans="1:7" x14ac:dyDescent="0.2">
      <c r="B101" s="3" t="s">
        <v>46</v>
      </c>
    </row>
    <row r="102" spans="1:7" x14ac:dyDescent="0.2">
      <c r="B102" s="3"/>
    </row>
    <row r="104" spans="1:7" x14ac:dyDescent="0.2">
      <c r="A104" s="1" t="s">
        <v>595</v>
      </c>
    </row>
    <row r="105" spans="1:7" x14ac:dyDescent="0.2">
      <c r="A105" t="s">
        <v>584</v>
      </c>
    </row>
    <row r="107" spans="1:7" x14ac:dyDescent="0.2">
      <c r="A107" t="s">
        <v>43</v>
      </c>
      <c r="C107" s="336">
        <v>0.08</v>
      </c>
      <c r="D107" s="613" t="s">
        <v>516</v>
      </c>
      <c r="E107" s="613"/>
      <c r="F107" s="613"/>
      <c r="G107" s="613"/>
    </row>
    <row r="109" spans="1:7" x14ac:dyDescent="0.2">
      <c r="A109" t="s">
        <v>44</v>
      </c>
      <c r="B109" s="176">
        <f>MIRR(B23:L23,B16,C107)</f>
        <v>0.24196987486363519</v>
      </c>
      <c r="D109" s="604" t="s">
        <v>581</v>
      </c>
      <c r="E109" s="597"/>
      <c r="F109" s="597"/>
      <c r="G109" s="176" t="e">
        <f>MIRR(B55:L55,D48,C107)</f>
        <v>#DIV/0!</v>
      </c>
    </row>
    <row r="110" spans="1:7" x14ac:dyDescent="0.2">
      <c r="A110" s="31" t="s">
        <v>45</v>
      </c>
      <c r="B110" s="176">
        <f>MIRR(Q23:AA23,Q16,C107)</f>
        <v>0.21939152514486548</v>
      </c>
      <c r="D110" s="604" t="s">
        <v>582</v>
      </c>
      <c r="E110" s="597"/>
      <c r="F110" s="597"/>
      <c r="G110" s="232" t="e">
        <f>MIRR(Q55:AA55,S48,C107)</f>
        <v>#DIV/0!</v>
      </c>
    </row>
    <row r="111" spans="1:7" x14ac:dyDescent="0.2">
      <c r="A111" s="31"/>
      <c r="B111" s="176"/>
      <c r="D111" s="124"/>
      <c r="E111" s="124"/>
      <c r="F111" s="124"/>
      <c r="G111" s="232"/>
    </row>
    <row r="112" spans="1:7" s="403" customFormat="1" x14ac:dyDescent="0.2">
      <c r="A112" s="401"/>
      <c r="B112" s="402"/>
      <c r="D112" s="404"/>
      <c r="E112" s="404"/>
      <c r="F112" s="404"/>
      <c r="G112" s="405"/>
    </row>
    <row r="114" spans="1:8" x14ac:dyDescent="0.2">
      <c r="A114" s="393"/>
      <c r="C114" s="175"/>
      <c r="E114" s="175"/>
      <c r="F114" s="175"/>
    </row>
    <row r="115" spans="1:8" x14ac:dyDescent="0.2">
      <c r="A115" s="1" t="s">
        <v>348</v>
      </c>
    </row>
    <row r="116" spans="1:8" x14ac:dyDescent="0.2">
      <c r="A116" t="s">
        <v>485</v>
      </c>
    </row>
    <row r="118" spans="1:8" x14ac:dyDescent="0.2">
      <c r="A118" s="130" t="s">
        <v>37</v>
      </c>
      <c r="B118" s="298">
        <f>PMT(B16,B13,-B28)</f>
        <v>2198822.1045639431</v>
      </c>
      <c r="E118" s="543" t="s">
        <v>586</v>
      </c>
      <c r="F118" s="543"/>
      <c r="G118" s="298">
        <f>PMT(D48,D47,-B60)</f>
        <v>0</v>
      </c>
      <c r="H118" s="177"/>
    </row>
    <row r="119" spans="1:8" x14ac:dyDescent="0.2">
      <c r="A119" s="130" t="s">
        <v>38</v>
      </c>
      <c r="B119" s="298">
        <f>PMT(Q16,Q13,-Q28)</f>
        <v>2196172.4444107544</v>
      </c>
      <c r="E119" s="543" t="s">
        <v>587</v>
      </c>
      <c r="F119" s="543"/>
      <c r="G119" s="298">
        <f>PMT(S48,S47,-Q60)</f>
        <v>0</v>
      </c>
    </row>
    <row r="121" spans="1:8" x14ac:dyDescent="0.2">
      <c r="A121" t="s">
        <v>588</v>
      </c>
    </row>
    <row r="123" spans="1:8" x14ac:dyDescent="0.2">
      <c r="A123" s="130" t="s">
        <v>37</v>
      </c>
      <c r="B123" s="289">
        <f>B118/B16</f>
        <v>21988221.045639429</v>
      </c>
      <c r="E123" s="543" t="s">
        <v>586</v>
      </c>
      <c r="F123" s="543"/>
      <c r="G123" s="289">
        <f>G118/D48</f>
        <v>0</v>
      </c>
    </row>
    <row r="124" spans="1:8" x14ac:dyDescent="0.2">
      <c r="A124" s="130" t="s">
        <v>38</v>
      </c>
      <c r="B124" s="289">
        <f>B119/Q16</f>
        <v>36602874.073512577</v>
      </c>
      <c r="E124" s="543" t="s">
        <v>587</v>
      </c>
      <c r="F124" s="543"/>
      <c r="G124" s="289">
        <f>G119/S48</f>
        <v>0</v>
      </c>
    </row>
    <row r="125" spans="1:8" x14ac:dyDescent="0.2">
      <c r="B125" s="178"/>
      <c r="E125" s="124"/>
      <c r="F125" s="124"/>
      <c r="G125" s="292"/>
    </row>
    <row r="126" spans="1:8" s="238" customFormat="1" x14ac:dyDescent="0.2">
      <c r="B126" s="398"/>
      <c r="E126" s="399"/>
      <c r="F126" s="399"/>
      <c r="G126" s="398"/>
    </row>
    <row r="128" spans="1:8" x14ac:dyDescent="0.2">
      <c r="A128" s="1" t="s">
        <v>17</v>
      </c>
    </row>
    <row r="129" spans="1:26" x14ac:dyDescent="0.2">
      <c r="A129" t="s">
        <v>591</v>
      </c>
    </row>
    <row r="130" spans="1:26" x14ac:dyDescent="0.2">
      <c r="A130" t="s">
        <v>592</v>
      </c>
    </row>
    <row r="132" spans="1:26" x14ac:dyDescent="0.2">
      <c r="A132" s="124" t="s">
        <v>452</v>
      </c>
      <c r="B132" s="197">
        <f>B11/C23</f>
        <v>1.6666666666666667</v>
      </c>
      <c r="C132" t="s">
        <v>454</v>
      </c>
      <c r="D132" s="344"/>
      <c r="E132" s="606" t="s">
        <v>589</v>
      </c>
      <c r="F132" s="606"/>
      <c r="G132" s="319" t="e">
        <f>B51/C55</f>
        <v>#DIV/0!</v>
      </c>
      <c r="H132" t="s">
        <v>454</v>
      </c>
    </row>
    <row r="133" spans="1:26" x14ac:dyDescent="0.2">
      <c r="A133" s="124" t="s">
        <v>453</v>
      </c>
      <c r="B133" s="197">
        <f>Q11/R23</f>
        <v>2</v>
      </c>
      <c r="C133" t="s">
        <v>454</v>
      </c>
      <c r="D133" s="344"/>
      <c r="E133" s="606" t="s">
        <v>590</v>
      </c>
      <c r="F133" s="606"/>
      <c r="G133" s="319" t="e">
        <f>Q51/R55</f>
        <v>#DIV/0!</v>
      </c>
      <c r="H133" t="s">
        <v>454</v>
      </c>
    </row>
    <row r="137" spans="1:26" x14ac:dyDescent="0.2">
      <c r="A137" s="238"/>
      <c r="B137" s="238"/>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row>
    <row r="139" spans="1:26" x14ac:dyDescent="0.2">
      <c r="A139" s="1" t="s">
        <v>705</v>
      </c>
    </row>
    <row r="140" spans="1:26" x14ac:dyDescent="0.2">
      <c r="A140" s="3" t="s">
        <v>709</v>
      </c>
    </row>
    <row r="142" spans="1:26" x14ac:dyDescent="0.2">
      <c r="A142" s="3" t="s">
        <v>577</v>
      </c>
      <c r="B142" s="3" t="s">
        <v>384</v>
      </c>
      <c r="C142" s="3" t="s">
        <v>385</v>
      </c>
      <c r="D142" s="3" t="s">
        <v>386</v>
      </c>
      <c r="E142" t="str">
        <f t="shared" ref="E142" si="40">E36</f>
        <v>Eventuelt %-vis ændring i pris eller mængde</v>
      </c>
      <c r="P142" t="str">
        <f>P36</f>
        <v>Anlæg D</v>
      </c>
      <c r="Q142" s="97" t="str">
        <f t="shared" ref="Q142:T142" si="41">Q36</f>
        <v>Enheder</v>
      </c>
      <c r="R142" s="97" t="str">
        <f t="shared" si="41"/>
        <v>Pris</v>
      </c>
      <c r="S142" s="97" t="str">
        <f t="shared" si="41"/>
        <v>Endelig værdi</v>
      </c>
      <c r="T142" t="str">
        <f t="shared" si="41"/>
        <v>Eventuelt %-vis ændring i pris eller mængde</v>
      </c>
    </row>
    <row r="143" spans="1:26" x14ac:dyDescent="0.2">
      <c r="A143" s="9" t="str">
        <f>A37</f>
        <v>Investeringssum</v>
      </c>
      <c r="B143" s="9">
        <f>B37</f>
        <v>1</v>
      </c>
      <c r="C143" s="9">
        <f t="shared" ref="C143:E143" si="42">C37</f>
        <v>0</v>
      </c>
      <c r="D143" s="9">
        <f t="shared" si="42"/>
        <v>0</v>
      </c>
      <c r="E143" s="9">
        <f t="shared" si="42"/>
        <v>0</v>
      </c>
      <c r="P143" t="str">
        <f t="shared" ref="P143:T154" si="43">P37</f>
        <v>Investeringssum</v>
      </c>
      <c r="Q143">
        <f t="shared" si="43"/>
        <v>1</v>
      </c>
      <c r="R143" s="175">
        <f>R37</f>
        <v>0</v>
      </c>
      <c r="S143">
        <f t="shared" si="43"/>
        <v>0</v>
      </c>
      <c r="T143" s="237">
        <v>0.01</v>
      </c>
    </row>
    <row r="144" spans="1:26" x14ac:dyDescent="0.2">
      <c r="A144" s="9" t="str">
        <f t="shared" ref="A144:E154" si="44">A38</f>
        <v>Scrapværdi</v>
      </c>
      <c r="B144" s="9">
        <f t="shared" si="44"/>
        <v>1</v>
      </c>
      <c r="C144" s="9">
        <f t="shared" si="44"/>
        <v>0</v>
      </c>
      <c r="D144" s="9">
        <f t="shared" si="44"/>
        <v>0</v>
      </c>
      <c r="E144" s="9">
        <f t="shared" si="44"/>
        <v>0</v>
      </c>
      <c r="P144" t="str">
        <f t="shared" si="43"/>
        <v>Scrapværdi</v>
      </c>
      <c r="Q144">
        <v>1</v>
      </c>
      <c r="R144" s="175">
        <f t="shared" ref="R144:R151" si="45">R38</f>
        <v>0</v>
      </c>
      <c r="S144">
        <f t="shared" si="43"/>
        <v>0</v>
      </c>
      <c r="T144" s="237"/>
    </row>
    <row r="145" spans="1:25" x14ac:dyDescent="0.2">
      <c r="A145" s="9" t="str">
        <f t="shared" si="44"/>
        <v>Omsætning</v>
      </c>
      <c r="B145" s="9">
        <f t="shared" si="44"/>
        <v>0</v>
      </c>
      <c r="C145" s="9">
        <f t="shared" si="44"/>
        <v>0</v>
      </c>
      <c r="D145" s="9">
        <f t="shared" si="44"/>
        <v>0</v>
      </c>
      <c r="E145" s="9">
        <f t="shared" si="44"/>
        <v>0</v>
      </c>
      <c r="P145" t="str">
        <f t="shared" si="43"/>
        <v>Omsætning</v>
      </c>
      <c r="Q145">
        <f t="shared" si="43"/>
        <v>0</v>
      </c>
      <c r="R145" s="175">
        <f t="shared" si="45"/>
        <v>0</v>
      </c>
      <c r="S145">
        <f t="shared" si="43"/>
        <v>0</v>
      </c>
      <c r="T145" s="237"/>
    </row>
    <row r="146" spans="1:25" ht="16" customHeight="1" x14ac:dyDescent="0.2">
      <c r="A146" s="9" t="str">
        <f t="shared" si="44"/>
        <v>Produktionsomkostninger</v>
      </c>
      <c r="B146" s="9">
        <f t="shared" si="44"/>
        <v>0</v>
      </c>
      <c r="C146" s="9">
        <f t="shared" si="44"/>
        <v>0</v>
      </c>
      <c r="D146" s="9">
        <f t="shared" si="44"/>
        <v>0</v>
      </c>
      <c r="E146" s="9">
        <f t="shared" si="44"/>
        <v>0</v>
      </c>
      <c r="P146" t="str">
        <f t="shared" si="43"/>
        <v>Produktionsomkostninger</v>
      </c>
      <c r="Q146">
        <f t="shared" si="43"/>
        <v>0</v>
      </c>
      <c r="R146" s="175">
        <f t="shared" si="45"/>
        <v>0</v>
      </c>
      <c r="S146">
        <f t="shared" si="43"/>
        <v>0</v>
      </c>
      <c r="T146" s="237"/>
    </row>
    <row r="147" spans="1:25" x14ac:dyDescent="0.2">
      <c r="A147" s="9" t="str">
        <f t="shared" si="44"/>
        <v>Energiforbrug</v>
      </c>
      <c r="B147" s="9">
        <f t="shared" si="44"/>
        <v>0</v>
      </c>
      <c r="C147" s="9">
        <f t="shared" si="44"/>
        <v>0</v>
      </c>
      <c r="D147" s="9">
        <f t="shared" si="44"/>
        <v>0</v>
      </c>
      <c r="E147" s="9">
        <f t="shared" si="44"/>
        <v>0</v>
      </c>
      <c r="P147" t="str">
        <f t="shared" si="43"/>
        <v>Energiforbrug</v>
      </c>
      <c r="Q147">
        <f t="shared" si="43"/>
        <v>0</v>
      </c>
      <c r="R147" s="175">
        <f t="shared" si="45"/>
        <v>0</v>
      </c>
      <c r="S147">
        <f t="shared" si="43"/>
        <v>0</v>
      </c>
      <c r="T147" s="237"/>
    </row>
    <row r="148" spans="1:25" x14ac:dyDescent="0.2">
      <c r="A148" s="9" t="str">
        <f t="shared" si="44"/>
        <v>Personaleomkostninger</v>
      </c>
      <c r="B148" s="9">
        <v>0</v>
      </c>
      <c r="C148" s="9">
        <f t="shared" si="44"/>
        <v>0</v>
      </c>
      <c r="D148" s="9">
        <f t="shared" si="44"/>
        <v>0</v>
      </c>
      <c r="E148" s="9">
        <f t="shared" si="44"/>
        <v>0</v>
      </c>
      <c r="P148" t="str">
        <f t="shared" si="43"/>
        <v>Personaleomkostninger</v>
      </c>
      <c r="Q148">
        <f t="shared" si="43"/>
        <v>0</v>
      </c>
      <c r="R148" s="175">
        <f t="shared" si="45"/>
        <v>0</v>
      </c>
      <c r="S148">
        <f t="shared" si="43"/>
        <v>0</v>
      </c>
      <c r="T148" s="237"/>
    </row>
    <row r="149" spans="1:25" x14ac:dyDescent="0.2">
      <c r="A149" s="9" t="str">
        <f t="shared" si="44"/>
        <v>Lokaleomkostninger</v>
      </c>
      <c r="B149" s="9">
        <f t="shared" si="44"/>
        <v>0</v>
      </c>
      <c r="C149" s="9">
        <f t="shared" si="44"/>
        <v>0</v>
      </c>
      <c r="D149" s="9">
        <f t="shared" si="44"/>
        <v>0</v>
      </c>
      <c r="E149" s="9">
        <f t="shared" si="44"/>
        <v>0</v>
      </c>
      <c r="P149" t="str">
        <f t="shared" si="43"/>
        <v>Transportomkostninger</v>
      </c>
      <c r="Q149">
        <f t="shared" si="43"/>
        <v>0</v>
      </c>
      <c r="R149" s="175">
        <f t="shared" si="45"/>
        <v>0</v>
      </c>
      <c r="S149">
        <f t="shared" si="43"/>
        <v>0</v>
      </c>
      <c r="T149" s="237"/>
    </row>
    <row r="150" spans="1:25" x14ac:dyDescent="0.2">
      <c r="A150" s="9" t="str">
        <f t="shared" si="44"/>
        <v>Alternativomkostninger</v>
      </c>
      <c r="B150" s="9">
        <f t="shared" si="44"/>
        <v>0</v>
      </c>
      <c r="C150" s="9">
        <f t="shared" si="44"/>
        <v>0</v>
      </c>
      <c r="D150" s="9">
        <f t="shared" si="44"/>
        <v>0</v>
      </c>
      <c r="E150" s="9">
        <f t="shared" si="44"/>
        <v>0</v>
      </c>
      <c r="P150" t="str">
        <f t="shared" si="43"/>
        <v>Alternativomkostninger</v>
      </c>
      <c r="Q150">
        <f t="shared" si="43"/>
        <v>0</v>
      </c>
      <c r="R150" s="175">
        <f t="shared" si="45"/>
        <v>0</v>
      </c>
      <c r="S150">
        <f t="shared" si="43"/>
        <v>0</v>
      </c>
      <c r="T150" s="237"/>
    </row>
    <row r="151" spans="1:25" x14ac:dyDescent="0.2">
      <c r="A151" s="9" t="str">
        <f t="shared" si="44"/>
        <v>Leveringsomkostninger</v>
      </c>
      <c r="B151" s="9">
        <f t="shared" si="44"/>
        <v>0</v>
      </c>
      <c r="C151" s="9">
        <f t="shared" si="44"/>
        <v>0</v>
      </c>
      <c r="D151" s="9">
        <f t="shared" si="44"/>
        <v>0</v>
      </c>
      <c r="E151" s="9">
        <f t="shared" si="44"/>
        <v>0</v>
      </c>
      <c r="P151" t="str">
        <f t="shared" si="43"/>
        <v>Andre omkostninger</v>
      </c>
      <c r="Q151">
        <f t="shared" si="43"/>
        <v>0</v>
      </c>
      <c r="R151" s="175">
        <f t="shared" si="45"/>
        <v>0</v>
      </c>
      <c r="S151">
        <f t="shared" si="43"/>
        <v>0</v>
      </c>
      <c r="T151" s="237"/>
    </row>
    <row r="152" spans="1:25" ht="16" customHeight="1" x14ac:dyDescent="0.2">
      <c r="A152" s="9" t="str">
        <f t="shared" si="44"/>
        <v>Eventuel kurs</v>
      </c>
      <c r="B152" s="9" t="str">
        <f t="shared" si="44"/>
        <v>-</v>
      </c>
      <c r="C152" s="9" t="str">
        <f t="shared" si="44"/>
        <v>-</v>
      </c>
      <c r="D152" s="9">
        <f t="shared" si="44"/>
        <v>1</v>
      </c>
      <c r="E152" s="607" t="str">
        <f t="shared" si="44"/>
        <v>Skal være 1 hvis der ingen valutakurs er. Indgår KUN i salgsprisen. Hvis udgifter i anden valuta skal kalkylen ændres</v>
      </c>
      <c r="F152" s="608"/>
      <c r="G152" s="608"/>
      <c r="H152" s="608"/>
      <c r="I152" s="608"/>
      <c r="P152" t="str">
        <f t="shared" si="43"/>
        <v>Eventuel kurs</v>
      </c>
      <c r="Q152" t="str">
        <f t="shared" si="43"/>
        <v>-</v>
      </c>
      <c r="R152" t="str">
        <f t="shared" si="43"/>
        <v>-</v>
      </c>
      <c r="S152">
        <f t="shared" si="43"/>
        <v>1</v>
      </c>
      <c r="T152" s="608" t="str">
        <f t="shared" si="43"/>
        <v>Skal være 1 hvis der ingen valutakurs er. Indgår KUN i salgsprisen. Hvis udgifter i anden valuta skal kalkylen ændres</v>
      </c>
      <c r="U152" s="608"/>
      <c r="V152" s="608"/>
      <c r="W152" s="608"/>
      <c r="X152" s="608"/>
      <c r="Y152" s="608"/>
    </row>
    <row r="153" spans="1:25" x14ac:dyDescent="0.2">
      <c r="A153" s="9" t="str">
        <f t="shared" si="44"/>
        <v>Levetid</v>
      </c>
      <c r="B153" s="9" t="str">
        <f t="shared" si="44"/>
        <v>-</v>
      </c>
      <c r="C153" s="9" t="str">
        <f t="shared" si="44"/>
        <v>-</v>
      </c>
      <c r="D153" s="9">
        <f t="shared" si="44"/>
        <v>10</v>
      </c>
      <c r="E153" s="607"/>
      <c r="F153" s="608"/>
      <c r="G153" s="608"/>
      <c r="H153" s="608"/>
      <c r="I153" s="608"/>
      <c r="P153" t="str">
        <f t="shared" si="43"/>
        <v>Levetid</v>
      </c>
      <c r="Q153" t="str">
        <f t="shared" si="43"/>
        <v>-</v>
      </c>
      <c r="R153" t="str">
        <f t="shared" si="43"/>
        <v>-</v>
      </c>
      <c r="S153">
        <f t="shared" si="43"/>
        <v>10</v>
      </c>
      <c r="T153" s="608"/>
      <c r="U153" s="608"/>
      <c r="V153" s="608"/>
      <c r="W153" s="608"/>
      <c r="X153" s="608"/>
      <c r="Y153" s="608"/>
    </row>
    <row r="154" spans="1:25" x14ac:dyDescent="0.2">
      <c r="A154" s="9" t="str">
        <f t="shared" si="44"/>
        <v>Kalkulationsrente</v>
      </c>
      <c r="B154" s="9" t="str">
        <f t="shared" si="44"/>
        <v>-</v>
      </c>
      <c r="C154" s="9" t="str">
        <f t="shared" si="44"/>
        <v>-</v>
      </c>
      <c r="D154" s="406">
        <f t="shared" si="44"/>
        <v>0.08</v>
      </c>
      <c r="P154" t="str">
        <f t="shared" si="43"/>
        <v>Kalkulationsrente</v>
      </c>
      <c r="Q154" t="str">
        <f t="shared" si="43"/>
        <v>-</v>
      </c>
      <c r="R154" t="str">
        <f t="shared" si="43"/>
        <v>-</v>
      </c>
      <c r="S154" s="237">
        <f t="shared" si="43"/>
        <v>0.08</v>
      </c>
    </row>
    <row r="156" spans="1:25" ht="17" thickBot="1" x14ac:dyDescent="0.25">
      <c r="A156" s="26" t="s">
        <v>22</v>
      </c>
      <c r="B156" s="27">
        <v>0</v>
      </c>
      <c r="C156" s="28">
        <v>1</v>
      </c>
      <c r="D156" s="28">
        <v>2</v>
      </c>
      <c r="E156" s="28">
        <v>3</v>
      </c>
      <c r="F156" s="28">
        <v>4</v>
      </c>
      <c r="G156" s="28">
        <v>5</v>
      </c>
      <c r="H156" s="28">
        <v>6</v>
      </c>
      <c r="I156" s="28">
        <v>7</v>
      </c>
      <c r="P156" s="26" t="s">
        <v>22</v>
      </c>
      <c r="Q156" s="27">
        <v>0</v>
      </c>
      <c r="R156" s="28">
        <v>1</v>
      </c>
      <c r="S156" s="28">
        <v>2</v>
      </c>
      <c r="T156" s="28">
        <v>3</v>
      </c>
      <c r="U156" s="28">
        <v>4</v>
      </c>
      <c r="V156" s="28">
        <v>5</v>
      </c>
      <c r="W156" s="28">
        <v>6</v>
      </c>
      <c r="X156" s="28">
        <v>7</v>
      </c>
    </row>
    <row r="157" spans="1:25" x14ac:dyDescent="0.2">
      <c r="A157" s="23" t="s">
        <v>18</v>
      </c>
      <c r="B157" s="24">
        <f>D143</f>
        <v>0</v>
      </c>
      <c r="C157" s="25"/>
      <c r="D157" s="25"/>
      <c r="E157" s="25"/>
      <c r="F157" s="25"/>
      <c r="G157" s="25"/>
      <c r="H157" s="25"/>
      <c r="I157" s="25"/>
      <c r="P157" s="23" t="s">
        <v>18</v>
      </c>
      <c r="Q157" s="24">
        <f>S143</f>
        <v>0</v>
      </c>
      <c r="R157" s="25"/>
      <c r="S157" s="25"/>
      <c r="T157" s="25"/>
      <c r="U157" s="25"/>
      <c r="V157" s="25"/>
      <c r="W157" s="25"/>
      <c r="X157" s="25"/>
    </row>
    <row r="158" spans="1:25" x14ac:dyDescent="0.2">
      <c r="A158" s="21" t="s">
        <v>23</v>
      </c>
      <c r="B158" s="19"/>
      <c r="C158" s="16"/>
      <c r="D158" s="16"/>
      <c r="E158" s="16"/>
      <c r="F158" s="16"/>
      <c r="G158" s="16"/>
      <c r="H158" s="16"/>
      <c r="I158" s="15">
        <f>$D$144</f>
        <v>0</v>
      </c>
      <c r="P158" s="21" t="s">
        <v>23</v>
      </c>
      <c r="Q158" s="19"/>
      <c r="R158" s="16"/>
      <c r="S158" s="16"/>
      <c r="T158" s="16"/>
      <c r="U158" s="16"/>
      <c r="V158" s="16"/>
      <c r="W158" s="16"/>
      <c r="X158" s="15">
        <f>$S$144</f>
        <v>0</v>
      </c>
    </row>
    <row r="159" spans="1:25" x14ac:dyDescent="0.2">
      <c r="A159" s="21" t="s">
        <v>32</v>
      </c>
      <c r="B159" s="19"/>
      <c r="C159" s="15">
        <f>$B$145*($C$145*(1+$E$145)^B156)*$D$152</f>
        <v>0</v>
      </c>
      <c r="D159" s="15">
        <f t="shared" ref="D159:I159" si="46">$B$145*($C$145*(1+$D$145)^C156)*$D$152</f>
        <v>0</v>
      </c>
      <c r="E159" s="15">
        <f t="shared" si="46"/>
        <v>0</v>
      </c>
      <c r="F159" s="15">
        <f t="shared" si="46"/>
        <v>0</v>
      </c>
      <c r="G159" s="15">
        <f t="shared" si="46"/>
        <v>0</v>
      </c>
      <c r="H159" s="15">
        <f t="shared" si="46"/>
        <v>0</v>
      </c>
      <c r="I159" s="15">
        <f t="shared" si="46"/>
        <v>0</v>
      </c>
      <c r="P159" s="21" t="s">
        <v>32</v>
      </c>
      <c r="Q159" s="19"/>
      <c r="R159" s="15">
        <f>$Q$145*($R$145*(1+$T$145)^Q156)*$S$152</f>
        <v>0</v>
      </c>
      <c r="S159" s="15">
        <f>$Q$145*($R$145*(1+$T$145)^R156)*$S$152</f>
        <v>0</v>
      </c>
      <c r="T159" s="15">
        <f>$Q$145*($R$145*(1+$T$145)^S156)*$S$152</f>
        <v>0</v>
      </c>
      <c r="U159" s="15">
        <f t="shared" ref="U159:X159" si="47">$Q$145*($R$145*(1+$T$145)^T156)*$S$152</f>
        <v>0</v>
      </c>
      <c r="V159" s="15">
        <f t="shared" si="47"/>
        <v>0</v>
      </c>
      <c r="W159" s="15">
        <f t="shared" si="47"/>
        <v>0</v>
      </c>
      <c r="X159" s="15">
        <f t="shared" si="47"/>
        <v>0</v>
      </c>
    </row>
    <row r="160" spans="1:25" x14ac:dyDescent="0.2">
      <c r="A160" s="21" t="s">
        <v>33</v>
      </c>
      <c r="B160" s="19"/>
      <c r="C160" s="15">
        <f>-($D$146*(1+$E$146)^B156+$D$147*(1+$E$147)^B156+$D$148*(1+$E$148)^B156+$D$149*(1+$E$149)^B156+$D$150*(1+$E$50)^B156+$D$151*(1+$E$151)^B156)</f>
        <v>0</v>
      </c>
      <c r="D160" s="15">
        <f t="shared" ref="D160:H160" si="48">-($D$146*(1+$E$146)^C156+$D$147*(1+$E$147)^C156+$D$148*(1+$E$148)^C156+$D$149*(1+$E$149)^C156+$D$150*(1+$E$50)^C156+$D$151*(1+$E$151)^C156)</f>
        <v>0</v>
      </c>
      <c r="E160" s="15">
        <f t="shared" si="48"/>
        <v>0</v>
      </c>
      <c r="F160" s="15">
        <f t="shared" si="48"/>
        <v>0</v>
      </c>
      <c r="G160" s="15">
        <f t="shared" si="48"/>
        <v>0</v>
      </c>
      <c r="H160" s="15">
        <f t="shared" si="48"/>
        <v>0</v>
      </c>
      <c r="I160" s="15">
        <f>-($D$146*(1+$E$146)^H156+$D$147*(1+$E$147)^H156+$D$148*(1+$E$148)^H156+$D$149*(1+$E$149)^H156+$D$150*(1+$E$50)^H156+$D$151*(1+$E$151)^H156)</f>
        <v>0</v>
      </c>
      <c r="P160" s="21" t="s">
        <v>33</v>
      </c>
      <c r="Q160" s="19"/>
      <c r="R160" s="15">
        <f>-($S$146*(1+$T$146)^Q156+$S$147*(1+$T$147)^Q156+$S$148*(1+$T$148)^Q156+$S$149*(1+$T$149)^Q156+$S$150*(1+$T$150)^Q156+$S$151*(1+$T$151)^Q156)</f>
        <v>0</v>
      </c>
      <c r="S160" s="15">
        <f>-($S$146*(1+$T$146)^R156+$S$147*(1+$T$147)^R156+$S$148*(1+$T$148)^R156+$S$149*(1+$T$149)^R156+$S$150*(1+$T$150)^R156+$S$151*(1+$T$151)^R156)</f>
        <v>0</v>
      </c>
      <c r="T160" s="15">
        <f t="shared" ref="T160:X160" si="49">-($S$146*(1+$T$146)^S156+$S$147*(1+$T$147)^S156+$S$148*(1+$T$148)^S156+$S$149*(1+$T$149)^S156+$S$150*(1+$T$150)^S156+$S$151*(1+$T$151)^S156)</f>
        <v>0</v>
      </c>
      <c r="U160" s="15">
        <f t="shared" si="49"/>
        <v>0</v>
      </c>
      <c r="V160" s="15">
        <f t="shared" si="49"/>
        <v>0</v>
      </c>
      <c r="W160" s="15">
        <f t="shared" si="49"/>
        <v>0</v>
      </c>
      <c r="X160" s="15">
        <f t="shared" si="49"/>
        <v>0</v>
      </c>
    </row>
    <row r="161" spans="1:24" x14ac:dyDescent="0.2">
      <c r="A161" s="21" t="s">
        <v>24</v>
      </c>
      <c r="B161" s="18">
        <f>-B157+B159</f>
        <v>0</v>
      </c>
      <c r="C161" s="15">
        <f>C160+C159+C158</f>
        <v>0</v>
      </c>
      <c r="D161" s="15">
        <f t="shared" ref="D161:I161" si="50">D160+D159+D158</f>
        <v>0</v>
      </c>
      <c r="E161" s="15">
        <f t="shared" si="50"/>
        <v>0</v>
      </c>
      <c r="F161" s="15">
        <f t="shared" si="50"/>
        <v>0</v>
      </c>
      <c r="G161" s="15">
        <f t="shared" si="50"/>
        <v>0</v>
      </c>
      <c r="H161" s="15">
        <f t="shared" si="50"/>
        <v>0</v>
      </c>
      <c r="I161" s="15">
        <f t="shared" si="50"/>
        <v>0</v>
      </c>
      <c r="P161" s="21" t="s">
        <v>24</v>
      </c>
      <c r="Q161" s="18">
        <f>-Q157+Q159</f>
        <v>0</v>
      </c>
      <c r="R161" s="15">
        <f>R160+R159+R158</f>
        <v>0</v>
      </c>
      <c r="S161" s="15">
        <f>S160+S159+S158</f>
        <v>0</v>
      </c>
      <c r="T161" s="15">
        <f t="shared" ref="T161:X161" si="51">T160+T159+T158</f>
        <v>0</v>
      </c>
      <c r="U161" s="15">
        <f t="shared" si="51"/>
        <v>0</v>
      </c>
      <c r="V161" s="15">
        <f t="shared" si="51"/>
        <v>0</v>
      </c>
      <c r="W161" s="15">
        <f t="shared" si="51"/>
        <v>0</v>
      </c>
      <c r="X161" s="15">
        <f t="shared" si="51"/>
        <v>0</v>
      </c>
    </row>
    <row r="162" spans="1:24" x14ac:dyDescent="0.2">
      <c r="A162" s="22" t="s">
        <v>25</v>
      </c>
      <c r="B162" s="20">
        <f>B161</f>
        <v>0</v>
      </c>
      <c r="C162" s="17">
        <f>C161/(1+$D$48)^C156</f>
        <v>0</v>
      </c>
      <c r="D162" s="17">
        <f t="shared" ref="D162:I162" si="52">D161/(1+$D$48)^D156</f>
        <v>0</v>
      </c>
      <c r="E162" s="17">
        <f t="shared" si="52"/>
        <v>0</v>
      </c>
      <c r="F162" s="17">
        <f t="shared" si="52"/>
        <v>0</v>
      </c>
      <c r="G162" s="17">
        <f t="shared" si="52"/>
        <v>0</v>
      </c>
      <c r="H162" s="17">
        <f t="shared" si="52"/>
        <v>0</v>
      </c>
      <c r="I162" s="17">
        <f t="shared" si="52"/>
        <v>0</v>
      </c>
      <c r="P162" s="22" t="s">
        <v>25</v>
      </c>
      <c r="Q162" s="20">
        <f>Q161</f>
        <v>0</v>
      </c>
      <c r="R162" s="17">
        <f>R161/(1+$D$48)^R156</f>
        <v>0</v>
      </c>
      <c r="S162" s="17">
        <f t="shared" ref="S162:X162" si="53">S161/(1+$D$48)^S156</f>
        <v>0</v>
      </c>
      <c r="T162" s="17">
        <f t="shared" si="53"/>
        <v>0</v>
      </c>
      <c r="U162" s="17">
        <f t="shared" si="53"/>
        <v>0</v>
      </c>
      <c r="V162" s="17">
        <f t="shared" si="53"/>
        <v>0</v>
      </c>
      <c r="W162" s="17">
        <f t="shared" si="53"/>
        <v>0</v>
      </c>
      <c r="X162" s="17">
        <f t="shared" si="53"/>
        <v>0</v>
      </c>
    </row>
    <row r="163" spans="1:24" x14ac:dyDescent="0.2">
      <c r="A163" s="22" t="s">
        <v>26</v>
      </c>
      <c r="B163" s="20">
        <f>SUM(B162:I162)</f>
        <v>0</v>
      </c>
      <c r="C163" s="13"/>
      <c r="D163" s="14"/>
      <c r="E163" s="13"/>
      <c r="F163" s="13"/>
      <c r="G163" s="13"/>
      <c r="P163" s="22" t="s">
        <v>26</v>
      </c>
      <c r="Q163" s="20">
        <f>SUM(Q162:X162)</f>
        <v>0</v>
      </c>
      <c r="R163" s="13"/>
      <c r="S163" s="14"/>
      <c r="T163" s="13"/>
      <c r="U163" s="13"/>
      <c r="V163" s="13"/>
    </row>
    <row r="164" spans="1:24" x14ac:dyDescent="0.2">
      <c r="A164" s="22" t="s">
        <v>27</v>
      </c>
      <c r="B164" s="20">
        <f>NPV(D154,C161:I161)+B161</f>
        <v>0</v>
      </c>
      <c r="C164" s="4"/>
      <c r="D164" s="5"/>
      <c r="E164" s="4"/>
      <c r="F164" s="4"/>
      <c r="G164" s="4"/>
      <c r="I164" s="8"/>
      <c r="P164" s="22" t="s">
        <v>27</v>
      </c>
      <c r="Q164" s="20">
        <f>NPV(S154,R161:X161)+Q161</f>
        <v>0</v>
      </c>
      <c r="R164" s="4"/>
      <c r="S164" s="5"/>
      <c r="T164" s="4"/>
      <c r="U164" s="4"/>
      <c r="V164" s="4"/>
      <c r="X164" s="8"/>
    </row>
    <row r="165" spans="1:24" x14ac:dyDescent="0.2">
      <c r="A165" s="290"/>
      <c r="B165" s="445"/>
      <c r="C165" s="446"/>
      <c r="D165" s="447"/>
      <c r="E165" s="290"/>
      <c r="F165" s="290"/>
      <c r="G165" s="446"/>
      <c r="P165" s="290"/>
      <c r="Q165" s="445"/>
      <c r="R165" s="290"/>
      <c r="S165" s="290"/>
      <c r="T165" s="290"/>
      <c r="U165" s="290"/>
      <c r="V165" s="290"/>
    </row>
    <row r="166" spans="1:24" x14ac:dyDescent="0.2">
      <c r="C166" s="6"/>
      <c r="D166" s="207"/>
      <c r="G166" s="6"/>
    </row>
    <row r="167" spans="1:24" x14ac:dyDescent="0.2">
      <c r="A167" s="105"/>
      <c r="B167" s="442" t="s">
        <v>710</v>
      </c>
      <c r="C167" s="443" t="s">
        <v>706</v>
      </c>
      <c r="D167" s="175"/>
    </row>
    <row r="168" spans="1:24" x14ac:dyDescent="0.2">
      <c r="A168" s="98"/>
      <c r="B168" s="97">
        <v>150</v>
      </c>
      <c r="C168" s="441">
        <f>PV($D$154,$D$153,B168*$B$148)+$B$163</f>
        <v>0</v>
      </c>
      <c r="D168" s="605" t="s">
        <v>711</v>
      </c>
      <c r="E168" s="605"/>
      <c r="F168" s="605"/>
      <c r="G168" s="605"/>
      <c r="Q168" s="442" t="s">
        <v>710</v>
      </c>
      <c r="R168" s="443" t="s">
        <v>706</v>
      </c>
    </row>
    <row r="169" spans="1:24" x14ac:dyDescent="0.2">
      <c r="B169" s="97">
        <v>200</v>
      </c>
      <c r="C169" s="441">
        <f t="shared" ref="C169:C176" si="54">PV($D$154,$D$153,B169*$B$148)+$B$163</f>
        <v>0</v>
      </c>
      <c r="D169" s="605"/>
      <c r="E169" s="605"/>
      <c r="F169" s="605"/>
      <c r="G169" s="605"/>
      <c r="Q169" s="97">
        <v>150</v>
      </c>
      <c r="R169" s="441">
        <f>PV($S$154,$S$153,Q169*$Q$148)+$Q$163</f>
        <v>0</v>
      </c>
    </row>
    <row r="170" spans="1:24" x14ac:dyDescent="0.2">
      <c r="B170" s="97">
        <v>250</v>
      </c>
      <c r="C170" s="441">
        <f t="shared" si="54"/>
        <v>0</v>
      </c>
      <c r="Q170" s="97">
        <v>200</v>
      </c>
      <c r="R170" s="441">
        <f>PV($S$154,$S$153,Q170*$Q$148)+$Q$163</f>
        <v>0</v>
      </c>
    </row>
    <row r="171" spans="1:24" x14ac:dyDescent="0.2">
      <c r="B171" s="97">
        <v>300</v>
      </c>
      <c r="C171" s="441">
        <f t="shared" si="54"/>
        <v>0</v>
      </c>
      <c r="Q171" s="97">
        <v>250</v>
      </c>
      <c r="R171" s="441">
        <f t="shared" ref="R171:R179" si="55">PV($S$154,$S$153,Q171*$Q$148)+$Q$163</f>
        <v>0</v>
      </c>
    </row>
    <row r="172" spans="1:24" x14ac:dyDescent="0.2">
      <c r="B172" s="97">
        <v>350</v>
      </c>
      <c r="C172" s="441">
        <f t="shared" si="54"/>
        <v>0</v>
      </c>
      <c r="Q172" s="97">
        <v>300</v>
      </c>
      <c r="R172" s="441">
        <f t="shared" si="55"/>
        <v>0</v>
      </c>
    </row>
    <row r="173" spans="1:24" x14ac:dyDescent="0.2">
      <c r="B173" s="97">
        <v>400</v>
      </c>
      <c r="C173" s="441">
        <f t="shared" si="54"/>
        <v>0</v>
      </c>
      <c r="Q173" s="97">
        <v>350</v>
      </c>
      <c r="R173" s="441">
        <f t="shared" si="55"/>
        <v>0</v>
      </c>
    </row>
    <row r="174" spans="1:24" x14ac:dyDescent="0.2">
      <c r="B174" s="97">
        <v>450</v>
      </c>
      <c r="C174" s="441">
        <f t="shared" si="54"/>
        <v>0</v>
      </c>
      <c r="Q174" s="97">
        <v>400</v>
      </c>
      <c r="R174" s="441">
        <f t="shared" si="55"/>
        <v>0</v>
      </c>
    </row>
    <row r="175" spans="1:24" x14ac:dyDescent="0.2">
      <c r="B175" s="97">
        <v>500</v>
      </c>
      <c r="C175" s="441">
        <f t="shared" si="54"/>
        <v>0</v>
      </c>
      <c r="Q175" s="97">
        <v>450</v>
      </c>
      <c r="R175" s="441">
        <f t="shared" si="55"/>
        <v>0</v>
      </c>
    </row>
    <row r="176" spans="1:24" x14ac:dyDescent="0.2">
      <c r="B176" s="97">
        <v>550</v>
      </c>
      <c r="C176" s="441">
        <f t="shared" si="54"/>
        <v>0</v>
      </c>
      <c r="Q176" s="97">
        <v>500</v>
      </c>
      <c r="R176" s="441">
        <f t="shared" si="55"/>
        <v>0</v>
      </c>
    </row>
    <row r="177" spans="2:18" x14ac:dyDescent="0.2">
      <c r="B177" s="97">
        <v>600</v>
      </c>
      <c r="C177" s="441">
        <f>PV($D$154,$D$153,B177*$B$148)+$B$163</f>
        <v>0</v>
      </c>
      <c r="Q177" s="97">
        <v>550</v>
      </c>
      <c r="R177" s="441">
        <f t="shared" si="55"/>
        <v>0</v>
      </c>
    </row>
    <row r="178" spans="2:18" x14ac:dyDescent="0.2">
      <c r="B178" s="97">
        <v>650</v>
      </c>
      <c r="C178" s="441">
        <f>PV($D$154,$D$153,B178*$B$148)+$B$163</f>
        <v>0</v>
      </c>
      <c r="Q178" s="97">
        <v>600</v>
      </c>
      <c r="R178" s="441">
        <f t="shared" si="55"/>
        <v>0</v>
      </c>
    </row>
    <row r="179" spans="2:18" x14ac:dyDescent="0.2">
      <c r="Q179" s="97">
        <v>650</v>
      </c>
      <c r="R179" s="441">
        <f t="shared" si="55"/>
        <v>0</v>
      </c>
    </row>
  </sheetData>
  <mergeCells count="20">
    <mergeCell ref="A3:J5"/>
    <mergeCell ref="D109:F109"/>
    <mergeCell ref="E118:F118"/>
    <mergeCell ref="E119:F119"/>
    <mergeCell ref="E123:F123"/>
    <mergeCell ref="D110:F110"/>
    <mergeCell ref="G40:J42"/>
    <mergeCell ref="A95:G95"/>
    <mergeCell ref="B70:C70"/>
    <mergeCell ref="D96:F96"/>
    <mergeCell ref="E70:F70"/>
    <mergeCell ref="D107:G107"/>
    <mergeCell ref="W40:Z42"/>
    <mergeCell ref="D97:F97"/>
    <mergeCell ref="D168:G169"/>
    <mergeCell ref="E132:F132"/>
    <mergeCell ref="E133:F133"/>
    <mergeCell ref="E152:I153"/>
    <mergeCell ref="E124:F124"/>
    <mergeCell ref="T152:Y153"/>
  </mergeCells>
  <pageMargins left="0.7" right="0.7" top="0.75" bottom="0.75" header="0.3" footer="0.3"/>
  <pageSetup paperSize="9"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V147"/>
  <sheetViews>
    <sheetView topLeftCell="A9" zoomScale="46" workbookViewId="0">
      <selection activeCell="J66" sqref="J66:K66"/>
    </sheetView>
  </sheetViews>
  <sheetFormatPr baseColWidth="10" defaultColWidth="10.5" defaultRowHeight="16" x14ac:dyDescent="0.2"/>
  <cols>
    <col min="1" max="1" width="26" customWidth="1"/>
    <col min="2" max="2" width="17" customWidth="1"/>
    <col min="3" max="3" width="16.83203125" customWidth="1"/>
    <col min="4" max="4" width="15.5" customWidth="1"/>
    <col min="5" max="5" width="18" customWidth="1"/>
    <col min="6" max="6" width="18.5" customWidth="1"/>
    <col min="7" max="7" width="18.83203125" customWidth="1"/>
    <col min="8" max="8" width="26" customWidth="1"/>
    <col min="9" max="9" width="19" customWidth="1"/>
    <col min="10" max="10" width="16.83203125" customWidth="1"/>
    <col min="11" max="11" width="15.5" customWidth="1"/>
    <col min="12" max="15" width="18" customWidth="1"/>
  </cols>
  <sheetData>
    <row r="1" spans="1:6" ht="19" x14ac:dyDescent="0.25">
      <c r="A1" s="135" t="s">
        <v>291</v>
      </c>
    </row>
    <row r="2" spans="1:6" x14ac:dyDescent="0.2">
      <c r="A2" s="31" t="s">
        <v>292</v>
      </c>
      <c r="B2" s="31"/>
      <c r="C2" s="31"/>
      <c r="D2" s="31"/>
      <c r="E2" s="31"/>
      <c r="F2" s="31"/>
    </row>
    <row r="3" spans="1:6" x14ac:dyDescent="0.2">
      <c r="A3" s="31"/>
      <c r="B3" s="31"/>
      <c r="C3" s="31"/>
      <c r="D3" s="31"/>
      <c r="E3" s="31"/>
      <c r="F3" s="31"/>
    </row>
    <row r="4" spans="1:6" x14ac:dyDescent="0.2">
      <c r="A4" s="31" t="s">
        <v>293</v>
      </c>
      <c r="B4" s="31"/>
      <c r="C4" s="31"/>
      <c r="D4" s="31"/>
      <c r="E4" s="31"/>
      <c r="F4" s="31"/>
    </row>
    <row r="6" spans="1:6" x14ac:dyDescent="0.2">
      <c r="A6" s="31" t="s">
        <v>294</v>
      </c>
    </row>
    <row r="8" spans="1:6" x14ac:dyDescent="0.2">
      <c r="A8" t="s">
        <v>295</v>
      </c>
    </row>
    <row r="9" spans="1:6" x14ac:dyDescent="0.2">
      <c r="B9" t="s">
        <v>298</v>
      </c>
    </row>
    <row r="10" spans="1:6" x14ac:dyDescent="0.2">
      <c r="B10" t="s">
        <v>299</v>
      </c>
    </row>
    <row r="11" spans="1:6" x14ac:dyDescent="0.2">
      <c r="A11" s="31"/>
      <c r="B11" s="31"/>
      <c r="C11" s="31"/>
      <c r="D11" s="31"/>
      <c r="E11" s="31"/>
      <c r="F11" s="31"/>
    </row>
    <row r="12" spans="1:6" x14ac:dyDescent="0.2">
      <c r="A12" s="31" t="s">
        <v>296</v>
      </c>
      <c r="B12" s="31"/>
      <c r="C12" s="31"/>
      <c r="D12" s="31"/>
      <c r="E12" s="31"/>
      <c r="F12" s="31"/>
    </row>
    <row r="13" spans="1:6" x14ac:dyDescent="0.2">
      <c r="A13" s="31"/>
      <c r="B13" s="31" t="s">
        <v>297</v>
      </c>
      <c r="C13" s="31"/>
      <c r="D13" s="31"/>
      <c r="E13" s="31"/>
      <c r="F13" s="31"/>
    </row>
    <row r="16" spans="1:6" x14ac:dyDescent="0.2">
      <c r="A16" s="1" t="s">
        <v>405</v>
      </c>
    </row>
    <row r="17" spans="1:22" x14ac:dyDescent="0.2">
      <c r="A17" s="141"/>
    </row>
    <row r="18" spans="1:22" x14ac:dyDescent="0.2">
      <c r="A18" s="3" t="s">
        <v>412</v>
      </c>
      <c r="E18" s="3" t="s">
        <v>405</v>
      </c>
    </row>
    <row r="19" spans="1:22" x14ac:dyDescent="0.2">
      <c r="A19" s="130" t="s">
        <v>406</v>
      </c>
      <c r="B19" s="305"/>
      <c r="E19" s="130" t="s">
        <v>124</v>
      </c>
      <c r="F19" s="303">
        <f>B19-(100-B21)/100*B19-(B24*B21/100*B19)-(B23*B19)-B26-B27-B25</f>
        <v>0</v>
      </c>
    </row>
    <row r="20" spans="1:22" ht="16" customHeight="1" x14ac:dyDescent="0.2">
      <c r="A20" s="130" t="s">
        <v>111</v>
      </c>
      <c r="B20" s="305"/>
      <c r="E20" s="130" t="s">
        <v>406</v>
      </c>
      <c r="F20" s="304">
        <f>(B20+B27+B25+B26)/(B21/100*(1-B24)-B23)</f>
        <v>0</v>
      </c>
    </row>
    <row r="21" spans="1:22" x14ac:dyDescent="0.2">
      <c r="A21" s="130" t="s">
        <v>413</v>
      </c>
      <c r="B21" s="305">
        <v>100</v>
      </c>
      <c r="C21" s="3" t="s">
        <v>597</v>
      </c>
      <c r="E21" s="130" t="s">
        <v>419</v>
      </c>
      <c r="F21" s="303">
        <f>((100-B21)/100)*B19</f>
        <v>0</v>
      </c>
    </row>
    <row r="22" spans="1:22" x14ac:dyDescent="0.2">
      <c r="A22" s="130" t="s">
        <v>407</v>
      </c>
      <c r="B22" s="305"/>
      <c r="E22" s="130" t="s">
        <v>500</v>
      </c>
      <c r="F22" s="303">
        <f>B19*B21/100</f>
        <v>0</v>
      </c>
    </row>
    <row r="23" spans="1:22" x14ac:dyDescent="0.2">
      <c r="A23" s="130" t="s">
        <v>408</v>
      </c>
      <c r="B23" s="288"/>
      <c r="C23" t="s">
        <v>417</v>
      </c>
    </row>
    <row r="24" spans="1:22" x14ac:dyDescent="0.2">
      <c r="A24" s="130" t="s">
        <v>409</v>
      </c>
      <c r="B24" s="288"/>
      <c r="C24" t="s">
        <v>418</v>
      </c>
      <c r="E24" s="130" t="s">
        <v>409</v>
      </c>
      <c r="F24" s="308">
        <f>B24*F22</f>
        <v>0</v>
      </c>
    </row>
    <row r="25" spans="1:22" x14ac:dyDescent="0.2">
      <c r="A25" s="130" t="s">
        <v>415</v>
      </c>
      <c r="B25" s="305"/>
      <c r="E25" s="130" t="s">
        <v>408</v>
      </c>
      <c r="F25" s="303">
        <f>B23*F20</f>
        <v>0</v>
      </c>
    </row>
    <row r="26" spans="1:22" x14ac:dyDescent="0.2">
      <c r="A26" s="130" t="s">
        <v>416</v>
      </c>
      <c r="B26" s="305"/>
    </row>
    <row r="27" spans="1:22" x14ac:dyDescent="0.2">
      <c r="A27" s="130" t="s">
        <v>414</v>
      </c>
      <c r="B27" s="305"/>
      <c r="E27" s="306" t="s">
        <v>501</v>
      </c>
      <c r="F27" s="307">
        <f>SUM(B20+F21+F24+F25+B25+B26+B27+B22)</f>
        <v>0</v>
      </c>
      <c r="G27" s="309" t="s">
        <v>502</v>
      </c>
    </row>
    <row r="30" spans="1:22"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row>
    <row r="32" spans="1:22" x14ac:dyDescent="0.2">
      <c r="A32" s="1" t="s">
        <v>112</v>
      </c>
    </row>
    <row r="33" spans="1:15" x14ac:dyDescent="0.2">
      <c r="A33" s="3" t="s">
        <v>125</v>
      </c>
      <c r="B33" t="s">
        <v>126</v>
      </c>
      <c r="H33" s="3"/>
    </row>
    <row r="34" spans="1:15" x14ac:dyDescent="0.2">
      <c r="A34" s="3"/>
      <c r="H34" s="3"/>
    </row>
    <row r="35" spans="1:15" x14ac:dyDescent="0.2">
      <c r="A35" s="101" t="s">
        <v>124</v>
      </c>
      <c r="B35" s="235"/>
      <c r="C35" s="100"/>
      <c r="D35" s="310"/>
      <c r="E35" s="130" t="s">
        <v>504</v>
      </c>
      <c r="F35" s="231">
        <v>0.25</v>
      </c>
      <c r="I35" s="101" t="s">
        <v>124</v>
      </c>
      <c r="J35" s="235"/>
      <c r="K35" s="100"/>
      <c r="L35" s="310"/>
      <c r="M35" s="130" t="s">
        <v>504</v>
      </c>
      <c r="N35" s="231">
        <v>0.25</v>
      </c>
    </row>
    <row r="36" spans="1:15" x14ac:dyDescent="0.2">
      <c r="A36" s="102" t="s">
        <v>113</v>
      </c>
      <c r="B36" s="235"/>
      <c r="C36" s="4" t="s">
        <v>114</v>
      </c>
      <c r="D36" s="5"/>
      <c r="E36" s="14"/>
      <c r="F36" s="311"/>
      <c r="I36" s="102" t="s">
        <v>113</v>
      </c>
      <c r="J36" s="236"/>
      <c r="K36" s="4" t="s">
        <v>114</v>
      </c>
      <c r="L36" s="5"/>
      <c r="M36" s="14"/>
    </row>
    <row r="37" spans="1:15" x14ac:dyDescent="0.2">
      <c r="A37" s="102" t="s">
        <v>115</v>
      </c>
      <c r="B37" s="104">
        <v>0.05</v>
      </c>
      <c r="C37" s="4"/>
      <c r="D37" s="99"/>
      <c r="E37" s="5"/>
      <c r="F37" s="5"/>
      <c r="I37" s="102" t="s">
        <v>518</v>
      </c>
      <c r="J37" s="104"/>
      <c r="K37" s="4"/>
      <c r="L37" s="5"/>
      <c r="M37" s="5"/>
    </row>
    <row r="38" spans="1:15" x14ac:dyDescent="0.2">
      <c r="A38" s="102" t="s">
        <v>116</v>
      </c>
      <c r="B38" s="102">
        <v>5</v>
      </c>
      <c r="C38" s="4"/>
      <c r="D38" s="5"/>
      <c r="E38" s="5"/>
      <c r="F38" s="5"/>
      <c r="I38" s="102" t="s">
        <v>116</v>
      </c>
      <c r="J38" s="102"/>
      <c r="K38" s="4"/>
      <c r="L38" s="5"/>
      <c r="M38" s="5"/>
    </row>
    <row r="39" spans="1:15" x14ac:dyDescent="0.2">
      <c r="A39" s="102" t="s">
        <v>117</v>
      </c>
      <c r="B39" s="102">
        <v>1</v>
      </c>
      <c r="C39" s="4"/>
      <c r="D39" s="5"/>
      <c r="E39" s="5"/>
      <c r="F39" s="5"/>
      <c r="I39" s="102" t="s">
        <v>117</v>
      </c>
      <c r="J39" s="102">
        <v>1</v>
      </c>
      <c r="K39" s="4"/>
      <c r="L39" s="5"/>
      <c r="M39" s="5"/>
    </row>
    <row r="40" spans="1:15" x14ac:dyDescent="0.2">
      <c r="A40" s="432" t="s">
        <v>775</v>
      </c>
      <c r="B40" s="538" t="e">
        <f>IRR(F45:F55)</f>
        <v>#NUM!</v>
      </c>
      <c r="C40" s="5"/>
      <c r="D40" s="5"/>
      <c r="E40" s="5"/>
      <c r="F40" s="5"/>
      <c r="H40" s="14"/>
      <c r="I40" s="432" t="s">
        <v>775</v>
      </c>
      <c r="J40" s="538" t="e">
        <f>IRR(N45:N55)</f>
        <v>#VALUE!</v>
      </c>
      <c r="K40" s="5"/>
      <c r="L40" s="5"/>
      <c r="M40" s="5"/>
    </row>
    <row r="41" spans="1:15" x14ac:dyDescent="0.2">
      <c r="A41" s="432" t="s">
        <v>776</v>
      </c>
      <c r="B41" s="538" t="e">
        <f>((1+B40)^B39)-1</f>
        <v>#NUM!</v>
      </c>
      <c r="C41" s="105"/>
      <c r="D41" s="105"/>
      <c r="E41" s="105"/>
      <c r="F41" s="290"/>
      <c r="H41" s="447"/>
      <c r="I41" s="432" t="s">
        <v>776</v>
      </c>
      <c r="J41" s="538" t="e">
        <f>((1+J40)^J39)-1</f>
        <v>#VALUE!</v>
      </c>
      <c r="K41" s="105"/>
      <c r="L41" s="105"/>
      <c r="M41" s="105"/>
    </row>
    <row r="42" spans="1:15" x14ac:dyDescent="0.2">
      <c r="A42" s="105"/>
      <c r="B42" s="105"/>
      <c r="C42" s="105"/>
      <c r="D42" s="105"/>
      <c r="E42" s="105"/>
      <c r="G42" s="444" t="s">
        <v>713</v>
      </c>
      <c r="H42" s="105"/>
      <c r="I42" s="105"/>
      <c r="J42" s="105"/>
      <c r="K42" s="105"/>
      <c r="L42" s="105"/>
      <c r="M42" s="105"/>
    </row>
    <row r="43" spans="1:15" x14ac:dyDescent="0.2">
      <c r="A43" s="290"/>
      <c r="B43" s="290"/>
      <c r="C43" s="290"/>
      <c r="D43" s="290"/>
      <c r="E43" s="290"/>
      <c r="G43" s="535"/>
      <c r="H43" s="290"/>
      <c r="I43" s="290"/>
      <c r="J43" s="290"/>
      <c r="K43" s="290"/>
      <c r="L43" s="290"/>
      <c r="M43" s="290"/>
    </row>
    <row r="44" spans="1:15" x14ac:dyDescent="0.2">
      <c r="A44" s="108" t="s">
        <v>118</v>
      </c>
      <c r="B44" s="108" t="s">
        <v>119</v>
      </c>
      <c r="C44" s="108" t="s">
        <v>120</v>
      </c>
      <c r="D44" s="108" t="s">
        <v>121</v>
      </c>
      <c r="E44" s="108" t="s">
        <v>122</v>
      </c>
      <c r="F44" s="108" t="s">
        <v>123</v>
      </c>
      <c r="G44" s="108" t="s">
        <v>503</v>
      </c>
      <c r="I44" s="108" t="s">
        <v>118</v>
      </c>
      <c r="J44" s="108" t="s">
        <v>119</v>
      </c>
      <c r="K44" s="108" t="s">
        <v>120</v>
      </c>
      <c r="L44" s="108" t="s">
        <v>121</v>
      </c>
      <c r="M44" s="108" t="s">
        <v>122</v>
      </c>
      <c r="N44" s="108" t="s">
        <v>123</v>
      </c>
      <c r="O44" s="108" t="s">
        <v>503</v>
      </c>
    </row>
    <row r="45" spans="1:15" x14ac:dyDescent="0.2">
      <c r="A45" s="109">
        <v>0</v>
      </c>
      <c r="B45" s="110">
        <f>B36</f>
        <v>0</v>
      </c>
      <c r="C45" s="111"/>
      <c r="D45" s="111"/>
      <c r="E45" s="111"/>
      <c r="F45" s="295">
        <f>B35</f>
        <v>0</v>
      </c>
      <c r="G45" s="295">
        <f>-B35</f>
        <v>0</v>
      </c>
      <c r="I45" s="109">
        <v>0</v>
      </c>
      <c r="J45" s="110">
        <f>J36</f>
        <v>0</v>
      </c>
      <c r="K45" s="111"/>
      <c r="L45" s="111"/>
      <c r="M45" s="111"/>
      <c r="N45" s="302">
        <f>J35</f>
        <v>0</v>
      </c>
      <c r="O45" s="321">
        <f>-N45</f>
        <v>0</v>
      </c>
    </row>
    <row r="46" spans="1:15" x14ac:dyDescent="0.2">
      <c r="A46" s="113">
        <v>1</v>
      </c>
      <c r="B46" s="114">
        <f>B45-D46</f>
        <v>0</v>
      </c>
      <c r="C46" s="114">
        <f>B45*$B$37/$B$39</f>
        <v>0</v>
      </c>
      <c r="D46" s="114">
        <f>E46-C46</f>
        <v>0</v>
      </c>
      <c r="E46" s="114">
        <f>PMT($B$37/$B$39,$B$38*$B$39,-$B$36)</f>
        <v>0</v>
      </c>
      <c r="F46" s="296">
        <f t="shared" ref="F46:F55" si="0">-E46</f>
        <v>0</v>
      </c>
      <c r="G46" s="114">
        <f t="shared" ref="G46:G55" si="1">E46-C46*$F$35</f>
        <v>0</v>
      </c>
      <c r="I46" s="113">
        <v>1</v>
      </c>
      <c r="J46" s="114" t="e">
        <f>J45-L46</f>
        <v>#NUM!</v>
      </c>
      <c r="K46" s="114">
        <f>J45*($J$37/$J$39)</f>
        <v>0</v>
      </c>
      <c r="L46" s="114" t="e">
        <f>M46-K46</f>
        <v>#NUM!</v>
      </c>
      <c r="M46" s="114" t="e">
        <f>PMT($J$37/$J$39,$J$38*$J$39,-$J$36)</f>
        <v>#NUM!</v>
      </c>
      <c r="N46" s="114" t="e">
        <f t="shared" ref="N46:N55" si="2">-M46</f>
        <v>#NUM!</v>
      </c>
      <c r="O46" s="114" t="e">
        <f t="shared" ref="O46:O55" si="3">M46-K46*$N$35</f>
        <v>#NUM!</v>
      </c>
    </row>
    <row r="47" spans="1:15" x14ac:dyDescent="0.2">
      <c r="A47" s="113">
        <v>2</v>
      </c>
      <c r="B47" s="114">
        <f t="shared" ref="B47:B54" si="4">B46-D47</f>
        <v>0</v>
      </c>
      <c r="C47" s="114">
        <f t="shared" ref="C47:C55" si="5">B46*$B$37/$B$39</f>
        <v>0</v>
      </c>
      <c r="D47" s="114">
        <f t="shared" ref="D47:D55" si="6">E47-C47</f>
        <v>0</v>
      </c>
      <c r="E47" s="114">
        <f t="shared" ref="E47:E55" si="7">PMT($B$37/$B$39,$B$38*$B$39,-$B$36)</f>
        <v>0</v>
      </c>
      <c r="F47" s="296">
        <f t="shared" si="0"/>
        <v>0</v>
      </c>
      <c r="G47" s="114">
        <f t="shared" si="1"/>
        <v>0</v>
      </c>
      <c r="I47" s="113">
        <v>2</v>
      </c>
      <c r="J47" s="114" t="e">
        <f t="shared" ref="J47:J55" si="8">J46-L47</f>
        <v>#NUM!</v>
      </c>
      <c r="K47" s="114" t="e">
        <f t="shared" ref="K47:K55" si="9">J46*($J$37/$J$39)</f>
        <v>#NUM!</v>
      </c>
      <c r="L47" s="114" t="e">
        <f t="shared" ref="L47:L55" si="10">M47-K47</f>
        <v>#NUM!</v>
      </c>
      <c r="M47" s="114" t="e">
        <f t="shared" ref="M47:M55" si="11">PMT($J$37/$J$39,$J$38*$J$39,-$J$36)</f>
        <v>#NUM!</v>
      </c>
      <c r="N47" s="114" t="e">
        <f t="shared" si="2"/>
        <v>#NUM!</v>
      </c>
      <c r="O47" s="114" t="e">
        <f t="shared" si="3"/>
        <v>#NUM!</v>
      </c>
    </row>
    <row r="48" spans="1:15" x14ac:dyDescent="0.2">
      <c r="A48" s="113">
        <v>3</v>
      </c>
      <c r="B48" s="114">
        <f t="shared" si="4"/>
        <v>0</v>
      </c>
      <c r="C48" s="114">
        <f t="shared" si="5"/>
        <v>0</v>
      </c>
      <c r="D48" s="114">
        <f t="shared" si="6"/>
        <v>0</v>
      </c>
      <c r="E48" s="114">
        <f t="shared" si="7"/>
        <v>0</v>
      </c>
      <c r="F48" s="296">
        <f t="shared" si="0"/>
        <v>0</v>
      </c>
      <c r="G48" s="114">
        <f t="shared" si="1"/>
        <v>0</v>
      </c>
      <c r="I48" s="113">
        <v>3</v>
      </c>
      <c r="J48" s="114" t="e">
        <f t="shared" si="8"/>
        <v>#NUM!</v>
      </c>
      <c r="K48" s="114" t="e">
        <f t="shared" si="9"/>
        <v>#NUM!</v>
      </c>
      <c r="L48" s="114" t="e">
        <f t="shared" si="10"/>
        <v>#NUM!</v>
      </c>
      <c r="M48" s="114" t="e">
        <f t="shared" si="11"/>
        <v>#NUM!</v>
      </c>
      <c r="N48" s="114" t="e">
        <f t="shared" si="2"/>
        <v>#NUM!</v>
      </c>
      <c r="O48" s="114" t="e">
        <f t="shared" si="3"/>
        <v>#NUM!</v>
      </c>
    </row>
    <row r="49" spans="1:15" x14ac:dyDescent="0.2">
      <c r="A49" s="113">
        <v>4</v>
      </c>
      <c r="B49" s="114">
        <f t="shared" si="4"/>
        <v>0</v>
      </c>
      <c r="C49" s="114">
        <f t="shared" si="5"/>
        <v>0</v>
      </c>
      <c r="D49" s="114">
        <f t="shared" si="6"/>
        <v>0</v>
      </c>
      <c r="E49" s="114">
        <f t="shared" si="7"/>
        <v>0</v>
      </c>
      <c r="F49" s="296">
        <f t="shared" si="0"/>
        <v>0</v>
      </c>
      <c r="G49" s="114">
        <f t="shared" si="1"/>
        <v>0</v>
      </c>
      <c r="I49" s="113">
        <v>4</v>
      </c>
      <c r="J49" s="114" t="e">
        <f t="shared" si="8"/>
        <v>#NUM!</v>
      </c>
      <c r="K49" s="114" t="e">
        <f t="shared" si="9"/>
        <v>#NUM!</v>
      </c>
      <c r="L49" s="114" t="e">
        <f t="shared" si="10"/>
        <v>#NUM!</v>
      </c>
      <c r="M49" s="114" t="e">
        <f t="shared" si="11"/>
        <v>#NUM!</v>
      </c>
      <c r="N49" s="114" t="e">
        <f t="shared" si="2"/>
        <v>#NUM!</v>
      </c>
      <c r="O49" s="114" t="e">
        <f t="shared" si="3"/>
        <v>#NUM!</v>
      </c>
    </row>
    <row r="50" spans="1:15" x14ac:dyDescent="0.2">
      <c r="A50" s="113">
        <v>5</v>
      </c>
      <c r="B50" s="114">
        <f t="shared" si="4"/>
        <v>0</v>
      </c>
      <c r="C50" s="114">
        <f t="shared" si="5"/>
        <v>0</v>
      </c>
      <c r="D50" s="114">
        <f t="shared" si="6"/>
        <v>0</v>
      </c>
      <c r="E50" s="114">
        <f t="shared" si="7"/>
        <v>0</v>
      </c>
      <c r="F50" s="296">
        <f t="shared" si="0"/>
        <v>0</v>
      </c>
      <c r="G50" s="114">
        <f t="shared" si="1"/>
        <v>0</v>
      </c>
      <c r="I50" s="113">
        <v>5</v>
      </c>
      <c r="J50" s="114" t="e">
        <f t="shared" si="8"/>
        <v>#NUM!</v>
      </c>
      <c r="K50" s="114" t="e">
        <f t="shared" si="9"/>
        <v>#NUM!</v>
      </c>
      <c r="L50" s="114" t="e">
        <f t="shared" si="10"/>
        <v>#NUM!</v>
      </c>
      <c r="M50" s="114" t="e">
        <f t="shared" si="11"/>
        <v>#NUM!</v>
      </c>
      <c r="N50" s="114" t="e">
        <f t="shared" si="2"/>
        <v>#NUM!</v>
      </c>
      <c r="O50" s="114" t="e">
        <f t="shared" si="3"/>
        <v>#NUM!</v>
      </c>
    </row>
    <row r="51" spans="1:15" x14ac:dyDescent="0.2">
      <c r="A51" s="113">
        <v>6</v>
      </c>
      <c r="B51" s="114">
        <f t="shared" si="4"/>
        <v>0</v>
      </c>
      <c r="C51" s="114">
        <f t="shared" si="5"/>
        <v>0</v>
      </c>
      <c r="D51" s="114">
        <f t="shared" si="6"/>
        <v>0</v>
      </c>
      <c r="E51" s="114">
        <f t="shared" si="7"/>
        <v>0</v>
      </c>
      <c r="F51" s="296">
        <f t="shared" si="0"/>
        <v>0</v>
      </c>
      <c r="G51" s="114">
        <f t="shared" si="1"/>
        <v>0</v>
      </c>
      <c r="I51" s="113">
        <v>6</v>
      </c>
      <c r="J51" s="114" t="e">
        <f t="shared" si="8"/>
        <v>#NUM!</v>
      </c>
      <c r="K51" s="114" t="e">
        <f t="shared" si="9"/>
        <v>#NUM!</v>
      </c>
      <c r="L51" s="114" t="e">
        <f t="shared" si="10"/>
        <v>#NUM!</v>
      </c>
      <c r="M51" s="114" t="e">
        <f t="shared" si="11"/>
        <v>#NUM!</v>
      </c>
      <c r="N51" s="114" t="e">
        <f t="shared" si="2"/>
        <v>#NUM!</v>
      </c>
      <c r="O51" s="114" t="e">
        <f t="shared" si="3"/>
        <v>#NUM!</v>
      </c>
    </row>
    <row r="52" spans="1:15" x14ac:dyDescent="0.2">
      <c r="A52" s="113">
        <v>7</v>
      </c>
      <c r="B52" s="114">
        <f t="shared" si="4"/>
        <v>0</v>
      </c>
      <c r="C52" s="114">
        <f t="shared" si="5"/>
        <v>0</v>
      </c>
      <c r="D52" s="114">
        <f t="shared" si="6"/>
        <v>0</v>
      </c>
      <c r="E52" s="114">
        <f t="shared" si="7"/>
        <v>0</v>
      </c>
      <c r="F52" s="296">
        <f t="shared" si="0"/>
        <v>0</v>
      </c>
      <c r="G52" s="114">
        <f t="shared" si="1"/>
        <v>0</v>
      </c>
      <c r="I52" s="113">
        <v>7</v>
      </c>
      <c r="J52" s="114" t="e">
        <f t="shared" si="8"/>
        <v>#NUM!</v>
      </c>
      <c r="K52" s="114" t="e">
        <f t="shared" si="9"/>
        <v>#NUM!</v>
      </c>
      <c r="L52" s="114" t="e">
        <f t="shared" si="10"/>
        <v>#NUM!</v>
      </c>
      <c r="M52" s="114" t="e">
        <f t="shared" si="11"/>
        <v>#NUM!</v>
      </c>
      <c r="N52" s="114" t="e">
        <f t="shared" si="2"/>
        <v>#NUM!</v>
      </c>
      <c r="O52" s="114" t="e">
        <f t="shared" si="3"/>
        <v>#NUM!</v>
      </c>
    </row>
    <row r="53" spans="1:15" x14ac:dyDescent="0.2">
      <c r="A53" s="113">
        <v>8</v>
      </c>
      <c r="B53" s="114">
        <f t="shared" si="4"/>
        <v>0</v>
      </c>
      <c r="C53" s="114">
        <f t="shared" si="5"/>
        <v>0</v>
      </c>
      <c r="D53" s="114">
        <f t="shared" si="6"/>
        <v>0</v>
      </c>
      <c r="E53" s="114">
        <f t="shared" si="7"/>
        <v>0</v>
      </c>
      <c r="F53" s="296">
        <f t="shared" si="0"/>
        <v>0</v>
      </c>
      <c r="G53" s="114">
        <f t="shared" si="1"/>
        <v>0</v>
      </c>
      <c r="I53" s="113">
        <v>8</v>
      </c>
      <c r="J53" s="114" t="e">
        <f t="shared" si="8"/>
        <v>#NUM!</v>
      </c>
      <c r="K53" s="114" t="e">
        <f t="shared" si="9"/>
        <v>#NUM!</v>
      </c>
      <c r="L53" s="114" t="e">
        <f t="shared" si="10"/>
        <v>#NUM!</v>
      </c>
      <c r="M53" s="114" t="e">
        <f t="shared" si="11"/>
        <v>#NUM!</v>
      </c>
      <c r="N53" s="114" t="e">
        <f t="shared" si="2"/>
        <v>#NUM!</v>
      </c>
      <c r="O53" s="114" t="e">
        <f t="shared" si="3"/>
        <v>#NUM!</v>
      </c>
    </row>
    <row r="54" spans="1:15" x14ac:dyDescent="0.2">
      <c r="A54" s="113">
        <v>9</v>
      </c>
      <c r="B54" s="114">
        <f t="shared" si="4"/>
        <v>0</v>
      </c>
      <c r="C54" s="114">
        <f t="shared" si="5"/>
        <v>0</v>
      </c>
      <c r="D54" s="114">
        <f t="shared" si="6"/>
        <v>0</v>
      </c>
      <c r="E54" s="114">
        <f t="shared" si="7"/>
        <v>0</v>
      </c>
      <c r="F54" s="296">
        <f t="shared" si="0"/>
        <v>0</v>
      </c>
      <c r="G54" s="114">
        <f t="shared" si="1"/>
        <v>0</v>
      </c>
      <c r="I54" s="113">
        <v>9</v>
      </c>
      <c r="J54" s="114" t="e">
        <f t="shared" si="8"/>
        <v>#NUM!</v>
      </c>
      <c r="K54" s="114" t="e">
        <f t="shared" si="9"/>
        <v>#NUM!</v>
      </c>
      <c r="L54" s="114" t="e">
        <f t="shared" si="10"/>
        <v>#NUM!</v>
      </c>
      <c r="M54" s="114" t="e">
        <f t="shared" si="11"/>
        <v>#NUM!</v>
      </c>
      <c r="N54" s="114" t="e">
        <f t="shared" si="2"/>
        <v>#NUM!</v>
      </c>
      <c r="O54" s="114" t="e">
        <f t="shared" si="3"/>
        <v>#NUM!</v>
      </c>
    </row>
    <row r="55" spans="1:15" x14ac:dyDescent="0.2">
      <c r="A55" s="113">
        <v>10</v>
      </c>
      <c r="B55" s="114">
        <f>B54-D55</f>
        <v>0</v>
      </c>
      <c r="C55" s="114">
        <f t="shared" si="5"/>
        <v>0</v>
      </c>
      <c r="D55" s="114">
        <f t="shared" si="6"/>
        <v>0</v>
      </c>
      <c r="E55" s="114">
        <f t="shared" si="7"/>
        <v>0</v>
      </c>
      <c r="F55" s="296">
        <f t="shared" si="0"/>
        <v>0</v>
      </c>
      <c r="G55" s="114">
        <f t="shared" si="1"/>
        <v>0</v>
      </c>
      <c r="I55" s="113">
        <v>10</v>
      </c>
      <c r="J55" s="114" t="e">
        <f t="shared" si="8"/>
        <v>#NUM!</v>
      </c>
      <c r="K55" s="114" t="e">
        <f t="shared" si="9"/>
        <v>#NUM!</v>
      </c>
      <c r="L55" s="114" t="e">
        <f t="shared" si="10"/>
        <v>#NUM!</v>
      </c>
      <c r="M55" s="114" t="e">
        <f t="shared" si="11"/>
        <v>#NUM!</v>
      </c>
      <c r="N55" s="114" t="e">
        <f t="shared" si="2"/>
        <v>#NUM!</v>
      </c>
      <c r="O55" s="114" t="e">
        <f t="shared" si="3"/>
        <v>#NUM!</v>
      </c>
    </row>
    <row r="58" spans="1:15" x14ac:dyDescent="0.2">
      <c r="A58" s="3" t="s">
        <v>127</v>
      </c>
      <c r="B58" t="s">
        <v>128</v>
      </c>
    </row>
    <row r="59" spans="1:15" x14ac:dyDescent="0.2">
      <c r="A59" s="3"/>
      <c r="I59" s="3"/>
    </row>
    <row r="60" spans="1:15" x14ac:dyDescent="0.2">
      <c r="A60" s="102" t="s">
        <v>124</v>
      </c>
      <c r="B60" s="107"/>
      <c r="C60" s="106"/>
      <c r="D60" s="5"/>
      <c r="E60" s="130" t="s">
        <v>504</v>
      </c>
      <c r="F60" s="231">
        <v>0.25</v>
      </c>
      <c r="I60" s="102" t="s">
        <v>124</v>
      </c>
      <c r="J60" s="107"/>
      <c r="K60" s="106"/>
      <c r="L60" s="5"/>
      <c r="M60" s="130" t="s">
        <v>504</v>
      </c>
      <c r="N60" s="231">
        <v>0.25</v>
      </c>
    </row>
    <row r="61" spans="1:15" x14ac:dyDescent="0.2">
      <c r="A61" s="102" t="s">
        <v>113</v>
      </c>
      <c r="B61" s="103"/>
      <c r="C61" s="4" t="s">
        <v>114</v>
      </c>
      <c r="D61" s="5"/>
      <c r="E61" s="5"/>
      <c r="I61" s="102" t="s">
        <v>113</v>
      </c>
      <c r="J61" s="103"/>
      <c r="K61" s="4" t="s">
        <v>114</v>
      </c>
      <c r="L61" s="5"/>
      <c r="M61" s="5"/>
    </row>
    <row r="62" spans="1:15" x14ac:dyDescent="0.2">
      <c r="A62" s="102" t="s">
        <v>115</v>
      </c>
      <c r="B62" s="104"/>
      <c r="C62" s="4"/>
      <c r="D62" s="5"/>
      <c r="E62" s="5"/>
      <c r="I62" s="102" t="s">
        <v>115</v>
      </c>
      <c r="J62" s="104"/>
      <c r="K62" s="4"/>
      <c r="L62" s="5"/>
      <c r="M62" s="5"/>
    </row>
    <row r="63" spans="1:15" x14ac:dyDescent="0.2">
      <c r="A63" s="102" t="s">
        <v>116</v>
      </c>
      <c r="B63" s="102"/>
      <c r="C63" s="4"/>
      <c r="D63" s="5"/>
      <c r="E63" s="5"/>
      <c r="I63" s="102" t="s">
        <v>116</v>
      </c>
      <c r="J63" s="102"/>
      <c r="K63" s="4"/>
      <c r="L63" s="5"/>
      <c r="M63" s="5"/>
    </row>
    <row r="64" spans="1:15" x14ac:dyDescent="0.2">
      <c r="A64" s="102" t="s">
        <v>117</v>
      </c>
      <c r="B64" s="102">
        <v>1</v>
      </c>
      <c r="C64" s="4"/>
      <c r="D64" s="5"/>
      <c r="E64" s="5"/>
      <c r="I64" s="102" t="s">
        <v>117</v>
      </c>
      <c r="J64" s="102">
        <v>1</v>
      </c>
      <c r="K64" s="4"/>
      <c r="L64" s="5"/>
      <c r="M64" s="5"/>
    </row>
    <row r="65" spans="1:15" x14ac:dyDescent="0.2">
      <c r="A65" s="432" t="s">
        <v>775</v>
      </c>
      <c r="B65" s="538" t="e">
        <f>IRR(F70:F89)</f>
        <v>#VALUE!</v>
      </c>
      <c r="C65" s="5"/>
      <c r="D65" s="5"/>
      <c r="E65" s="5"/>
      <c r="I65" s="432" t="s">
        <v>775</v>
      </c>
      <c r="J65" s="538" t="e">
        <f>IRR(N70:N89)</f>
        <v>#VALUE!</v>
      </c>
      <c r="K65" s="5"/>
      <c r="L65" s="5"/>
      <c r="M65" s="5"/>
    </row>
    <row r="66" spans="1:15" x14ac:dyDescent="0.2">
      <c r="A66" s="432" t="s">
        <v>776</v>
      </c>
      <c r="B66" s="538" t="e">
        <f>((1+B65)^B64)-1</f>
        <v>#VALUE!</v>
      </c>
      <c r="C66" s="105"/>
      <c r="D66" s="105"/>
      <c r="E66" s="105"/>
      <c r="I66" s="432" t="s">
        <v>776</v>
      </c>
      <c r="J66" s="538" t="e">
        <f>((1+J65)^J64)-1</f>
        <v>#VALUE!</v>
      </c>
      <c r="K66" s="105"/>
      <c r="L66" s="105"/>
      <c r="M66" s="105"/>
    </row>
    <row r="67" spans="1:15" x14ac:dyDescent="0.2">
      <c r="A67" s="290"/>
      <c r="B67" s="290"/>
      <c r="C67" s="290"/>
      <c r="D67" s="290"/>
      <c r="E67" s="290"/>
      <c r="I67" s="290"/>
      <c r="J67" s="290"/>
      <c r="K67" s="290"/>
      <c r="L67" s="290"/>
      <c r="M67" s="290"/>
    </row>
    <row r="68" spans="1:15" x14ac:dyDescent="0.2">
      <c r="A68" s="115" t="s">
        <v>118</v>
      </c>
      <c r="B68" s="115" t="s">
        <v>119</v>
      </c>
      <c r="C68" s="115" t="s">
        <v>120</v>
      </c>
      <c r="D68" s="115" t="s">
        <v>121</v>
      </c>
      <c r="E68" s="115" t="s">
        <v>122</v>
      </c>
      <c r="F68" s="108" t="s">
        <v>123</v>
      </c>
      <c r="G68" s="115" t="s">
        <v>503</v>
      </c>
      <c r="I68" s="115" t="s">
        <v>118</v>
      </c>
      <c r="J68" s="115" t="s">
        <v>119</v>
      </c>
      <c r="K68" s="115" t="s">
        <v>120</v>
      </c>
      <c r="L68" s="115" t="s">
        <v>121</v>
      </c>
      <c r="M68" s="115" t="s">
        <v>122</v>
      </c>
      <c r="N68" s="108" t="s">
        <v>123</v>
      </c>
      <c r="O68" s="115" t="s">
        <v>503</v>
      </c>
    </row>
    <row r="69" spans="1:15" x14ac:dyDescent="0.2">
      <c r="A69" s="109">
        <v>0</v>
      </c>
      <c r="B69" s="110">
        <f>B61</f>
        <v>0</v>
      </c>
      <c r="C69" s="111"/>
      <c r="D69" s="111"/>
      <c r="E69" s="111"/>
      <c r="F69" s="112">
        <f>B60</f>
        <v>0</v>
      </c>
      <c r="G69" s="322">
        <f>-B60</f>
        <v>0</v>
      </c>
      <c r="I69" s="109">
        <v>0</v>
      </c>
      <c r="J69" s="110">
        <f>J61</f>
        <v>0</v>
      </c>
      <c r="K69" s="111"/>
      <c r="L69" s="111"/>
      <c r="M69" s="111"/>
      <c r="N69" s="112">
        <f>J60</f>
        <v>0</v>
      </c>
      <c r="O69" s="322">
        <f>-J60</f>
        <v>0</v>
      </c>
    </row>
    <row r="70" spans="1:15" x14ac:dyDescent="0.2">
      <c r="A70" s="113">
        <v>1</v>
      </c>
      <c r="B70" s="114" t="e">
        <f t="shared" ref="B70:B89" si="12">B69-D70</f>
        <v>#DIV/0!</v>
      </c>
      <c r="C70" s="114">
        <f t="shared" ref="C70:C89" si="13">B69*($B$62/$B$64)</f>
        <v>0</v>
      </c>
      <c r="D70" s="114" t="e">
        <f>$B$61/($B$63*$B$64)</f>
        <v>#DIV/0!</v>
      </c>
      <c r="E70" s="114" t="e">
        <f>SUM(C70:D70)</f>
        <v>#DIV/0!</v>
      </c>
      <c r="F70" s="114" t="e">
        <f t="shared" ref="F70:F89" si="14">-E70</f>
        <v>#DIV/0!</v>
      </c>
      <c r="G70" s="114" t="e">
        <f t="shared" ref="G70:G89" si="15">E70-C70*$F$60</f>
        <v>#DIV/0!</v>
      </c>
      <c r="I70" s="113">
        <v>1</v>
      </c>
      <c r="J70" s="114" t="e">
        <f>J69-L70</f>
        <v>#DIV/0!</v>
      </c>
      <c r="K70" s="114">
        <f>J69*($B$62/$B$64)</f>
        <v>0</v>
      </c>
      <c r="L70" s="114" t="e">
        <f>$B$61/($B$63*$B$64)</f>
        <v>#DIV/0!</v>
      </c>
      <c r="M70" s="114" t="e">
        <f>SUM(K70:L70)</f>
        <v>#DIV/0!</v>
      </c>
      <c r="N70" s="114" t="e">
        <f t="shared" ref="N70:N89" si="16">-M70</f>
        <v>#DIV/0!</v>
      </c>
      <c r="O70" s="114" t="e">
        <f t="shared" ref="O70:O89" si="17">M70-K70*$F$60</f>
        <v>#DIV/0!</v>
      </c>
    </row>
    <row r="71" spans="1:15" x14ac:dyDescent="0.2">
      <c r="A71" s="113">
        <v>2</v>
      </c>
      <c r="B71" s="114" t="e">
        <f t="shared" si="12"/>
        <v>#DIV/0!</v>
      </c>
      <c r="C71" s="114" t="e">
        <f t="shared" si="13"/>
        <v>#DIV/0!</v>
      </c>
      <c r="D71" s="114" t="e">
        <f t="shared" ref="D71:D89" si="18">$B$61/($B$63*$B$64)</f>
        <v>#DIV/0!</v>
      </c>
      <c r="E71" s="114" t="e">
        <f t="shared" ref="E71:E89" si="19">SUM(C71:D71)</f>
        <v>#DIV/0!</v>
      </c>
      <c r="F71" s="114" t="e">
        <f t="shared" si="14"/>
        <v>#DIV/0!</v>
      </c>
      <c r="G71" s="114" t="e">
        <f t="shared" si="15"/>
        <v>#DIV/0!</v>
      </c>
      <c r="I71" s="113">
        <v>2</v>
      </c>
      <c r="J71" s="114" t="e">
        <f t="shared" ref="J71:J89" si="20">J70-L71</f>
        <v>#DIV/0!</v>
      </c>
      <c r="K71" s="114" t="e">
        <f t="shared" ref="K71:K89" si="21">J70*($B$62/$B$64)</f>
        <v>#DIV/0!</v>
      </c>
      <c r="L71" s="114" t="e">
        <f t="shared" ref="L71:L89" si="22">$B$61/($B$63*$B$64)</f>
        <v>#DIV/0!</v>
      </c>
      <c r="M71" s="114" t="e">
        <f t="shared" ref="M71:M89" si="23">SUM(K71:L71)</f>
        <v>#DIV/0!</v>
      </c>
      <c r="N71" s="114" t="e">
        <f t="shared" si="16"/>
        <v>#DIV/0!</v>
      </c>
      <c r="O71" s="114" t="e">
        <f t="shared" si="17"/>
        <v>#DIV/0!</v>
      </c>
    </row>
    <row r="72" spans="1:15" x14ac:dyDescent="0.2">
      <c r="A72" s="113">
        <v>3</v>
      </c>
      <c r="B72" s="114" t="e">
        <f t="shared" si="12"/>
        <v>#DIV/0!</v>
      </c>
      <c r="C72" s="114" t="e">
        <f t="shared" si="13"/>
        <v>#DIV/0!</v>
      </c>
      <c r="D72" s="114" t="e">
        <f t="shared" si="18"/>
        <v>#DIV/0!</v>
      </c>
      <c r="E72" s="114" t="e">
        <f t="shared" si="19"/>
        <v>#DIV/0!</v>
      </c>
      <c r="F72" s="114" t="e">
        <f t="shared" si="14"/>
        <v>#DIV/0!</v>
      </c>
      <c r="G72" s="114" t="e">
        <f t="shared" si="15"/>
        <v>#DIV/0!</v>
      </c>
      <c r="I72" s="113">
        <v>3</v>
      </c>
      <c r="J72" s="114" t="e">
        <f t="shared" si="20"/>
        <v>#DIV/0!</v>
      </c>
      <c r="K72" s="114" t="e">
        <f t="shared" si="21"/>
        <v>#DIV/0!</v>
      </c>
      <c r="L72" s="114" t="e">
        <f t="shared" si="22"/>
        <v>#DIV/0!</v>
      </c>
      <c r="M72" s="114" t="e">
        <f t="shared" si="23"/>
        <v>#DIV/0!</v>
      </c>
      <c r="N72" s="114" t="e">
        <f t="shared" si="16"/>
        <v>#DIV/0!</v>
      </c>
      <c r="O72" s="114" t="e">
        <f t="shared" si="17"/>
        <v>#DIV/0!</v>
      </c>
    </row>
    <row r="73" spans="1:15" x14ac:dyDescent="0.2">
      <c r="A73" s="113">
        <v>4</v>
      </c>
      <c r="B73" s="114" t="e">
        <f t="shared" si="12"/>
        <v>#DIV/0!</v>
      </c>
      <c r="C73" s="114" t="e">
        <f t="shared" si="13"/>
        <v>#DIV/0!</v>
      </c>
      <c r="D73" s="114" t="e">
        <f t="shared" si="18"/>
        <v>#DIV/0!</v>
      </c>
      <c r="E73" s="114" t="e">
        <f t="shared" si="19"/>
        <v>#DIV/0!</v>
      </c>
      <c r="F73" s="114" t="e">
        <f t="shared" si="14"/>
        <v>#DIV/0!</v>
      </c>
      <c r="G73" s="114" t="e">
        <f t="shared" si="15"/>
        <v>#DIV/0!</v>
      </c>
      <c r="I73" s="113">
        <v>4</v>
      </c>
      <c r="J73" s="114" t="e">
        <f t="shared" si="20"/>
        <v>#DIV/0!</v>
      </c>
      <c r="K73" s="114" t="e">
        <f t="shared" si="21"/>
        <v>#DIV/0!</v>
      </c>
      <c r="L73" s="114" t="e">
        <f t="shared" si="22"/>
        <v>#DIV/0!</v>
      </c>
      <c r="M73" s="114" t="e">
        <f t="shared" si="23"/>
        <v>#DIV/0!</v>
      </c>
      <c r="N73" s="114" t="e">
        <f t="shared" si="16"/>
        <v>#DIV/0!</v>
      </c>
      <c r="O73" s="114" t="e">
        <f t="shared" si="17"/>
        <v>#DIV/0!</v>
      </c>
    </row>
    <row r="74" spans="1:15" x14ac:dyDescent="0.2">
      <c r="A74" s="113">
        <v>5</v>
      </c>
      <c r="B74" s="114" t="e">
        <f t="shared" si="12"/>
        <v>#DIV/0!</v>
      </c>
      <c r="C74" s="114" t="e">
        <f t="shared" si="13"/>
        <v>#DIV/0!</v>
      </c>
      <c r="D74" s="114" t="e">
        <f t="shared" si="18"/>
        <v>#DIV/0!</v>
      </c>
      <c r="E74" s="114" t="e">
        <f t="shared" si="19"/>
        <v>#DIV/0!</v>
      </c>
      <c r="F74" s="114" t="e">
        <f t="shared" si="14"/>
        <v>#DIV/0!</v>
      </c>
      <c r="G74" s="114" t="e">
        <f t="shared" si="15"/>
        <v>#DIV/0!</v>
      </c>
      <c r="I74" s="113">
        <v>5</v>
      </c>
      <c r="J74" s="114" t="e">
        <f t="shared" si="20"/>
        <v>#DIV/0!</v>
      </c>
      <c r="K74" s="114" t="e">
        <f t="shared" si="21"/>
        <v>#DIV/0!</v>
      </c>
      <c r="L74" s="114" t="e">
        <f t="shared" si="22"/>
        <v>#DIV/0!</v>
      </c>
      <c r="M74" s="114" t="e">
        <f t="shared" si="23"/>
        <v>#DIV/0!</v>
      </c>
      <c r="N74" s="114" t="e">
        <f t="shared" si="16"/>
        <v>#DIV/0!</v>
      </c>
      <c r="O74" s="114" t="e">
        <f t="shared" si="17"/>
        <v>#DIV/0!</v>
      </c>
    </row>
    <row r="75" spans="1:15" x14ac:dyDescent="0.2">
      <c r="A75" s="113">
        <v>6</v>
      </c>
      <c r="B75" s="114" t="e">
        <f t="shared" si="12"/>
        <v>#DIV/0!</v>
      </c>
      <c r="C75" s="114" t="e">
        <f t="shared" si="13"/>
        <v>#DIV/0!</v>
      </c>
      <c r="D75" s="114" t="e">
        <f t="shared" si="18"/>
        <v>#DIV/0!</v>
      </c>
      <c r="E75" s="114" t="e">
        <f t="shared" si="19"/>
        <v>#DIV/0!</v>
      </c>
      <c r="F75" s="114" t="e">
        <f t="shared" si="14"/>
        <v>#DIV/0!</v>
      </c>
      <c r="G75" s="114" t="e">
        <f t="shared" si="15"/>
        <v>#DIV/0!</v>
      </c>
      <c r="I75" s="113">
        <v>6</v>
      </c>
      <c r="J75" s="114" t="e">
        <f t="shared" si="20"/>
        <v>#DIV/0!</v>
      </c>
      <c r="K75" s="114" t="e">
        <f t="shared" si="21"/>
        <v>#DIV/0!</v>
      </c>
      <c r="L75" s="114" t="e">
        <f t="shared" si="22"/>
        <v>#DIV/0!</v>
      </c>
      <c r="M75" s="114" t="e">
        <f t="shared" si="23"/>
        <v>#DIV/0!</v>
      </c>
      <c r="N75" s="114" t="e">
        <f t="shared" si="16"/>
        <v>#DIV/0!</v>
      </c>
      <c r="O75" s="114" t="e">
        <f t="shared" si="17"/>
        <v>#DIV/0!</v>
      </c>
    </row>
    <row r="76" spans="1:15" x14ac:dyDescent="0.2">
      <c r="A76" s="113">
        <v>7</v>
      </c>
      <c r="B76" s="114" t="e">
        <f t="shared" si="12"/>
        <v>#DIV/0!</v>
      </c>
      <c r="C76" s="114" t="e">
        <f t="shared" si="13"/>
        <v>#DIV/0!</v>
      </c>
      <c r="D76" s="114" t="e">
        <f t="shared" si="18"/>
        <v>#DIV/0!</v>
      </c>
      <c r="E76" s="114" t="e">
        <f t="shared" si="19"/>
        <v>#DIV/0!</v>
      </c>
      <c r="F76" s="114" t="e">
        <f t="shared" si="14"/>
        <v>#DIV/0!</v>
      </c>
      <c r="G76" s="114" t="e">
        <f t="shared" si="15"/>
        <v>#DIV/0!</v>
      </c>
      <c r="I76" s="113">
        <v>7</v>
      </c>
      <c r="J76" s="114" t="e">
        <f t="shared" si="20"/>
        <v>#DIV/0!</v>
      </c>
      <c r="K76" s="114" t="e">
        <f t="shared" si="21"/>
        <v>#DIV/0!</v>
      </c>
      <c r="L76" s="114" t="e">
        <f t="shared" si="22"/>
        <v>#DIV/0!</v>
      </c>
      <c r="M76" s="114" t="e">
        <f t="shared" si="23"/>
        <v>#DIV/0!</v>
      </c>
      <c r="N76" s="114" t="e">
        <f t="shared" si="16"/>
        <v>#DIV/0!</v>
      </c>
      <c r="O76" s="114" t="e">
        <f t="shared" si="17"/>
        <v>#DIV/0!</v>
      </c>
    </row>
    <row r="77" spans="1:15" x14ac:dyDescent="0.2">
      <c r="A77" s="113">
        <v>8</v>
      </c>
      <c r="B77" s="114" t="e">
        <f t="shared" si="12"/>
        <v>#DIV/0!</v>
      </c>
      <c r="C77" s="114" t="e">
        <f t="shared" si="13"/>
        <v>#DIV/0!</v>
      </c>
      <c r="D77" s="114" t="e">
        <f t="shared" si="18"/>
        <v>#DIV/0!</v>
      </c>
      <c r="E77" s="114" t="e">
        <f t="shared" si="19"/>
        <v>#DIV/0!</v>
      </c>
      <c r="F77" s="114" t="e">
        <f t="shared" si="14"/>
        <v>#DIV/0!</v>
      </c>
      <c r="G77" s="114" t="e">
        <f t="shared" si="15"/>
        <v>#DIV/0!</v>
      </c>
      <c r="I77" s="113">
        <v>8</v>
      </c>
      <c r="J77" s="114" t="e">
        <f t="shared" si="20"/>
        <v>#DIV/0!</v>
      </c>
      <c r="K77" s="114" t="e">
        <f t="shared" si="21"/>
        <v>#DIV/0!</v>
      </c>
      <c r="L77" s="114" t="e">
        <f t="shared" si="22"/>
        <v>#DIV/0!</v>
      </c>
      <c r="M77" s="114" t="e">
        <f t="shared" si="23"/>
        <v>#DIV/0!</v>
      </c>
      <c r="N77" s="114" t="e">
        <f t="shared" si="16"/>
        <v>#DIV/0!</v>
      </c>
      <c r="O77" s="114" t="e">
        <f t="shared" si="17"/>
        <v>#DIV/0!</v>
      </c>
    </row>
    <row r="78" spans="1:15" x14ac:dyDescent="0.2">
      <c r="A78" s="113">
        <v>9</v>
      </c>
      <c r="B78" s="114" t="e">
        <f t="shared" si="12"/>
        <v>#DIV/0!</v>
      </c>
      <c r="C78" s="114" t="e">
        <f t="shared" si="13"/>
        <v>#DIV/0!</v>
      </c>
      <c r="D78" s="114" t="e">
        <f t="shared" si="18"/>
        <v>#DIV/0!</v>
      </c>
      <c r="E78" s="114" t="e">
        <f t="shared" si="19"/>
        <v>#DIV/0!</v>
      </c>
      <c r="F78" s="114" t="e">
        <f t="shared" si="14"/>
        <v>#DIV/0!</v>
      </c>
      <c r="G78" s="114" t="e">
        <f t="shared" si="15"/>
        <v>#DIV/0!</v>
      </c>
      <c r="I78" s="113">
        <v>9</v>
      </c>
      <c r="J78" s="114" t="e">
        <f t="shared" si="20"/>
        <v>#DIV/0!</v>
      </c>
      <c r="K78" s="114" t="e">
        <f t="shared" si="21"/>
        <v>#DIV/0!</v>
      </c>
      <c r="L78" s="114" t="e">
        <f t="shared" si="22"/>
        <v>#DIV/0!</v>
      </c>
      <c r="M78" s="114" t="e">
        <f t="shared" si="23"/>
        <v>#DIV/0!</v>
      </c>
      <c r="N78" s="114" t="e">
        <f t="shared" si="16"/>
        <v>#DIV/0!</v>
      </c>
      <c r="O78" s="114" t="e">
        <f t="shared" si="17"/>
        <v>#DIV/0!</v>
      </c>
    </row>
    <row r="79" spans="1:15" x14ac:dyDescent="0.2">
      <c r="A79" s="113">
        <v>10</v>
      </c>
      <c r="B79" s="114" t="e">
        <f t="shared" si="12"/>
        <v>#DIV/0!</v>
      </c>
      <c r="C79" s="114" t="e">
        <f t="shared" si="13"/>
        <v>#DIV/0!</v>
      </c>
      <c r="D79" s="114" t="e">
        <f t="shared" si="18"/>
        <v>#DIV/0!</v>
      </c>
      <c r="E79" s="114" t="e">
        <f t="shared" si="19"/>
        <v>#DIV/0!</v>
      </c>
      <c r="F79" s="114" t="e">
        <f t="shared" si="14"/>
        <v>#DIV/0!</v>
      </c>
      <c r="G79" s="114" t="e">
        <f t="shared" si="15"/>
        <v>#DIV/0!</v>
      </c>
      <c r="I79" s="113">
        <v>10</v>
      </c>
      <c r="J79" s="114" t="e">
        <f t="shared" si="20"/>
        <v>#DIV/0!</v>
      </c>
      <c r="K79" s="114" t="e">
        <f t="shared" si="21"/>
        <v>#DIV/0!</v>
      </c>
      <c r="L79" s="114" t="e">
        <f t="shared" si="22"/>
        <v>#DIV/0!</v>
      </c>
      <c r="M79" s="114" t="e">
        <f t="shared" si="23"/>
        <v>#DIV/0!</v>
      </c>
      <c r="N79" s="114" t="e">
        <f t="shared" si="16"/>
        <v>#DIV/0!</v>
      </c>
      <c r="O79" s="114" t="e">
        <f t="shared" si="17"/>
        <v>#DIV/0!</v>
      </c>
    </row>
    <row r="80" spans="1:15" x14ac:dyDescent="0.2">
      <c r="A80" s="113">
        <v>11</v>
      </c>
      <c r="B80" s="114" t="e">
        <f t="shared" si="12"/>
        <v>#DIV/0!</v>
      </c>
      <c r="C80" s="114" t="e">
        <f t="shared" si="13"/>
        <v>#DIV/0!</v>
      </c>
      <c r="D80" s="114" t="e">
        <f t="shared" si="18"/>
        <v>#DIV/0!</v>
      </c>
      <c r="E80" s="114" t="e">
        <f t="shared" si="19"/>
        <v>#DIV/0!</v>
      </c>
      <c r="F80" s="114" t="e">
        <f t="shared" si="14"/>
        <v>#DIV/0!</v>
      </c>
      <c r="G80" s="114" t="e">
        <f t="shared" si="15"/>
        <v>#DIV/0!</v>
      </c>
      <c r="I80" s="113">
        <v>11</v>
      </c>
      <c r="J80" s="114" t="e">
        <f t="shared" si="20"/>
        <v>#DIV/0!</v>
      </c>
      <c r="K80" s="114" t="e">
        <f t="shared" si="21"/>
        <v>#DIV/0!</v>
      </c>
      <c r="L80" s="114" t="e">
        <f t="shared" si="22"/>
        <v>#DIV/0!</v>
      </c>
      <c r="M80" s="114" t="e">
        <f t="shared" si="23"/>
        <v>#DIV/0!</v>
      </c>
      <c r="N80" s="114" t="e">
        <f t="shared" si="16"/>
        <v>#DIV/0!</v>
      </c>
      <c r="O80" s="114" t="e">
        <f t="shared" si="17"/>
        <v>#DIV/0!</v>
      </c>
    </row>
    <row r="81" spans="1:15" x14ac:dyDescent="0.2">
      <c r="A81" s="113">
        <v>12</v>
      </c>
      <c r="B81" s="114" t="e">
        <f t="shared" si="12"/>
        <v>#DIV/0!</v>
      </c>
      <c r="C81" s="114" t="e">
        <f t="shared" si="13"/>
        <v>#DIV/0!</v>
      </c>
      <c r="D81" s="114" t="e">
        <f t="shared" si="18"/>
        <v>#DIV/0!</v>
      </c>
      <c r="E81" s="114" t="e">
        <f t="shared" si="19"/>
        <v>#DIV/0!</v>
      </c>
      <c r="F81" s="114" t="e">
        <f t="shared" si="14"/>
        <v>#DIV/0!</v>
      </c>
      <c r="G81" s="114" t="e">
        <f t="shared" si="15"/>
        <v>#DIV/0!</v>
      </c>
      <c r="I81" s="113">
        <v>12</v>
      </c>
      <c r="J81" s="114" t="e">
        <f t="shared" si="20"/>
        <v>#DIV/0!</v>
      </c>
      <c r="K81" s="114" t="e">
        <f t="shared" si="21"/>
        <v>#DIV/0!</v>
      </c>
      <c r="L81" s="114" t="e">
        <f t="shared" si="22"/>
        <v>#DIV/0!</v>
      </c>
      <c r="M81" s="114" t="e">
        <f t="shared" si="23"/>
        <v>#DIV/0!</v>
      </c>
      <c r="N81" s="114" t="e">
        <f t="shared" si="16"/>
        <v>#DIV/0!</v>
      </c>
      <c r="O81" s="114" t="e">
        <f t="shared" si="17"/>
        <v>#DIV/0!</v>
      </c>
    </row>
    <row r="82" spans="1:15" x14ac:dyDescent="0.2">
      <c r="A82" s="113">
        <v>13</v>
      </c>
      <c r="B82" s="114" t="e">
        <f t="shared" si="12"/>
        <v>#DIV/0!</v>
      </c>
      <c r="C82" s="114" t="e">
        <f t="shared" si="13"/>
        <v>#DIV/0!</v>
      </c>
      <c r="D82" s="114" t="e">
        <f t="shared" si="18"/>
        <v>#DIV/0!</v>
      </c>
      <c r="E82" s="114" t="e">
        <f t="shared" si="19"/>
        <v>#DIV/0!</v>
      </c>
      <c r="F82" s="114" t="e">
        <f t="shared" si="14"/>
        <v>#DIV/0!</v>
      </c>
      <c r="G82" s="114" t="e">
        <f t="shared" si="15"/>
        <v>#DIV/0!</v>
      </c>
      <c r="I82" s="113">
        <v>13</v>
      </c>
      <c r="J82" s="114" t="e">
        <f t="shared" si="20"/>
        <v>#DIV/0!</v>
      </c>
      <c r="K82" s="114" t="e">
        <f t="shared" si="21"/>
        <v>#DIV/0!</v>
      </c>
      <c r="L82" s="114" t="e">
        <f t="shared" si="22"/>
        <v>#DIV/0!</v>
      </c>
      <c r="M82" s="114" t="e">
        <f t="shared" si="23"/>
        <v>#DIV/0!</v>
      </c>
      <c r="N82" s="114" t="e">
        <f t="shared" si="16"/>
        <v>#DIV/0!</v>
      </c>
      <c r="O82" s="114" t="e">
        <f t="shared" si="17"/>
        <v>#DIV/0!</v>
      </c>
    </row>
    <row r="83" spans="1:15" x14ac:dyDescent="0.2">
      <c r="A83" s="113">
        <v>14</v>
      </c>
      <c r="B83" s="114" t="e">
        <f t="shared" si="12"/>
        <v>#DIV/0!</v>
      </c>
      <c r="C83" s="114" t="e">
        <f t="shared" si="13"/>
        <v>#DIV/0!</v>
      </c>
      <c r="D83" s="114" t="e">
        <f t="shared" si="18"/>
        <v>#DIV/0!</v>
      </c>
      <c r="E83" s="114" t="e">
        <f t="shared" si="19"/>
        <v>#DIV/0!</v>
      </c>
      <c r="F83" s="114" t="e">
        <f t="shared" si="14"/>
        <v>#DIV/0!</v>
      </c>
      <c r="G83" s="114" t="e">
        <f t="shared" si="15"/>
        <v>#DIV/0!</v>
      </c>
      <c r="I83" s="113">
        <v>14</v>
      </c>
      <c r="J83" s="114" t="e">
        <f t="shared" si="20"/>
        <v>#DIV/0!</v>
      </c>
      <c r="K83" s="114" t="e">
        <f t="shared" si="21"/>
        <v>#DIV/0!</v>
      </c>
      <c r="L83" s="114" t="e">
        <f t="shared" si="22"/>
        <v>#DIV/0!</v>
      </c>
      <c r="M83" s="114" t="e">
        <f t="shared" si="23"/>
        <v>#DIV/0!</v>
      </c>
      <c r="N83" s="114" t="e">
        <f t="shared" si="16"/>
        <v>#DIV/0!</v>
      </c>
      <c r="O83" s="114" t="e">
        <f t="shared" si="17"/>
        <v>#DIV/0!</v>
      </c>
    </row>
    <row r="84" spans="1:15" x14ac:dyDescent="0.2">
      <c r="A84" s="113">
        <v>15</v>
      </c>
      <c r="B84" s="114" t="e">
        <f t="shared" si="12"/>
        <v>#DIV/0!</v>
      </c>
      <c r="C84" s="114" t="e">
        <f t="shared" si="13"/>
        <v>#DIV/0!</v>
      </c>
      <c r="D84" s="114" t="e">
        <f t="shared" si="18"/>
        <v>#DIV/0!</v>
      </c>
      <c r="E84" s="114" t="e">
        <f t="shared" si="19"/>
        <v>#DIV/0!</v>
      </c>
      <c r="F84" s="114" t="e">
        <f t="shared" si="14"/>
        <v>#DIV/0!</v>
      </c>
      <c r="G84" s="114" t="e">
        <f t="shared" si="15"/>
        <v>#DIV/0!</v>
      </c>
      <c r="I84" s="113">
        <v>15</v>
      </c>
      <c r="J84" s="114" t="e">
        <f t="shared" si="20"/>
        <v>#DIV/0!</v>
      </c>
      <c r="K84" s="114" t="e">
        <f t="shared" si="21"/>
        <v>#DIV/0!</v>
      </c>
      <c r="L84" s="114" t="e">
        <f t="shared" si="22"/>
        <v>#DIV/0!</v>
      </c>
      <c r="M84" s="114" t="e">
        <f t="shared" si="23"/>
        <v>#DIV/0!</v>
      </c>
      <c r="N84" s="114" t="e">
        <f t="shared" si="16"/>
        <v>#DIV/0!</v>
      </c>
      <c r="O84" s="114" t="e">
        <f t="shared" si="17"/>
        <v>#DIV/0!</v>
      </c>
    </row>
    <row r="85" spans="1:15" x14ac:dyDescent="0.2">
      <c r="A85" s="113">
        <v>16</v>
      </c>
      <c r="B85" s="114" t="e">
        <f t="shared" si="12"/>
        <v>#DIV/0!</v>
      </c>
      <c r="C85" s="114" t="e">
        <f t="shared" si="13"/>
        <v>#DIV/0!</v>
      </c>
      <c r="D85" s="114" t="e">
        <f t="shared" si="18"/>
        <v>#DIV/0!</v>
      </c>
      <c r="E85" s="114" t="e">
        <f t="shared" si="19"/>
        <v>#DIV/0!</v>
      </c>
      <c r="F85" s="114" t="e">
        <f t="shared" si="14"/>
        <v>#DIV/0!</v>
      </c>
      <c r="G85" s="114" t="e">
        <f t="shared" si="15"/>
        <v>#DIV/0!</v>
      </c>
      <c r="I85" s="113">
        <v>16</v>
      </c>
      <c r="J85" s="114" t="e">
        <f t="shared" si="20"/>
        <v>#DIV/0!</v>
      </c>
      <c r="K85" s="114" t="e">
        <f t="shared" si="21"/>
        <v>#DIV/0!</v>
      </c>
      <c r="L85" s="114" t="e">
        <f t="shared" si="22"/>
        <v>#DIV/0!</v>
      </c>
      <c r="M85" s="114" t="e">
        <f t="shared" si="23"/>
        <v>#DIV/0!</v>
      </c>
      <c r="N85" s="114" t="e">
        <f t="shared" si="16"/>
        <v>#DIV/0!</v>
      </c>
      <c r="O85" s="114" t="e">
        <f t="shared" si="17"/>
        <v>#DIV/0!</v>
      </c>
    </row>
    <row r="86" spans="1:15" x14ac:dyDescent="0.2">
      <c r="A86" s="113">
        <v>17</v>
      </c>
      <c r="B86" s="114" t="e">
        <f t="shared" si="12"/>
        <v>#DIV/0!</v>
      </c>
      <c r="C86" s="114" t="e">
        <f t="shared" si="13"/>
        <v>#DIV/0!</v>
      </c>
      <c r="D86" s="114" t="e">
        <f t="shared" si="18"/>
        <v>#DIV/0!</v>
      </c>
      <c r="E86" s="114" t="e">
        <f t="shared" si="19"/>
        <v>#DIV/0!</v>
      </c>
      <c r="F86" s="114" t="e">
        <f t="shared" si="14"/>
        <v>#DIV/0!</v>
      </c>
      <c r="G86" s="114" t="e">
        <f t="shared" si="15"/>
        <v>#DIV/0!</v>
      </c>
      <c r="I86" s="113">
        <v>17</v>
      </c>
      <c r="J86" s="114" t="e">
        <f t="shared" si="20"/>
        <v>#DIV/0!</v>
      </c>
      <c r="K86" s="114" t="e">
        <f t="shared" si="21"/>
        <v>#DIV/0!</v>
      </c>
      <c r="L86" s="114" t="e">
        <f t="shared" si="22"/>
        <v>#DIV/0!</v>
      </c>
      <c r="M86" s="114" t="e">
        <f t="shared" si="23"/>
        <v>#DIV/0!</v>
      </c>
      <c r="N86" s="114" t="e">
        <f t="shared" si="16"/>
        <v>#DIV/0!</v>
      </c>
      <c r="O86" s="114" t="e">
        <f t="shared" si="17"/>
        <v>#DIV/0!</v>
      </c>
    </row>
    <row r="87" spans="1:15" x14ac:dyDescent="0.2">
      <c r="A87" s="113">
        <v>18</v>
      </c>
      <c r="B87" s="114" t="e">
        <f t="shared" si="12"/>
        <v>#DIV/0!</v>
      </c>
      <c r="C87" s="114" t="e">
        <f t="shared" si="13"/>
        <v>#DIV/0!</v>
      </c>
      <c r="D87" s="114" t="e">
        <f t="shared" si="18"/>
        <v>#DIV/0!</v>
      </c>
      <c r="E87" s="114" t="e">
        <f t="shared" si="19"/>
        <v>#DIV/0!</v>
      </c>
      <c r="F87" s="114" t="e">
        <f t="shared" si="14"/>
        <v>#DIV/0!</v>
      </c>
      <c r="G87" s="114" t="e">
        <f t="shared" si="15"/>
        <v>#DIV/0!</v>
      </c>
      <c r="I87" s="113">
        <v>18</v>
      </c>
      <c r="J87" s="114" t="e">
        <f t="shared" si="20"/>
        <v>#DIV/0!</v>
      </c>
      <c r="K87" s="114" t="e">
        <f t="shared" si="21"/>
        <v>#DIV/0!</v>
      </c>
      <c r="L87" s="114" t="e">
        <f t="shared" si="22"/>
        <v>#DIV/0!</v>
      </c>
      <c r="M87" s="114" t="e">
        <f t="shared" si="23"/>
        <v>#DIV/0!</v>
      </c>
      <c r="N87" s="114" t="e">
        <f t="shared" si="16"/>
        <v>#DIV/0!</v>
      </c>
      <c r="O87" s="114" t="e">
        <f t="shared" si="17"/>
        <v>#DIV/0!</v>
      </c>
    </row>
    <row r="88" spans="1:15" x14ac:dyDescent="0.2">
      <c r="A88" s="113">
        <v>19</v>
      </c>
      <c r="B88" s="114" t="e">
        <f t="shared" si="12"/>
        <v>#DIV/0!</v>
      </c>
      <c r="C88" s="114" t="e">
        <f t="shared" si="13"/>
        <v>#DIV/0!</v>
      </c>
      <c r="D88" s="114" t="e">
        <f t="shared" si="18"/>
        <v>#DIV/0!</v>
      </c>
      <c r="E88" s="114" t="e">
        <f t="shared" si="19"/>
        <v>#DIV/0!</v>
      </c>
      <c r="F88" s="114" t="e">
        <f t="shared" si="14"/>
        <v>#DIV/0!</v>
      </c>
      <c r="G88" s="114" t="e">
        <f t="shared" si="15"/>
        <v>#DIV/0!</v>
      </c>
      <c r="I88" s="113">
        <v>19</v>
      </c>
      <c r="J88" s="114" t="e">
        <f t="shared" si="20"/>
        <v>#DIV/0!</v>
      </c>
      <c r="K88" s="114" t="e">
        <f t="shared" si="21"/>
        <v>#DIV/0!</v>
      </c>
      <c r="L88" s="114" t="e">
        <f t="shared" si="22"/>
        <v>#DIV/0!</v>
      </c>
      <c r="M88" s="114" t="e">
        <f t="shared" si="23"/>
        <v>#DIV/0!</v>
      </c>
      <c r="N88" s="114" t="e">
        <f t="shared" si="16"/>
        <v>#DIV/0!</v>
      </c>
      <c r="O88" s="114" t="e">
        <f t="shared" si="17"/>
        <v>#DIV/0!</v>
      </c>
    </row>
    <row r="89" spans="1:15" x14ac:dyDescent="0.2">
      <c r="A89" s="113">
        <v>20</v>
      </c>
      <c r="B89" s="114" t="e">
        <f t="shared" si="12"/>
        <v>#DIV/0!</v>
      </c>
      <c r="C89" s="114" t="e">
        <f t="shared" si="13"/>
        <v>#DIV/0!</v>
      </c>
      <c r="D89" s="114" t="e">
        <f t="shared" si="18"/>
        <v>#DIV/0!</v>
      </c>
      <c r="E89" s="114" t="e">
        <f t="shared" si="19"/>
        <v>#DIV/0!</v>
      </c>
      <c r="F89" s="114" t="e">
        <f t="shared" si="14"/>
        <v>#DIV/0!</v>
      </c>
      <c r="G89" s="114" t="e">
        <f t="shared" si="15"/>
        <v>#DIV/0!</v>
      </c>
      <c r="I89" s="113">
        <v>20</v>
      </c>
      <c r="J89" s="114" t="e">
        <f t="shared" si="20"/>
        <v>#DIV/0!</v>
      </c>
      <c r="K89" s="114" t="e">
        <f t="shared" si="21"/>
        <v>#DIV/0!</v>
      </c>
      <c r="L89" s="114" t="e">
        <f t="shared" si="22"/>
        <v>#DIV/0!</v>
      </c>
      <c r="M89" s="114" t="e">
        <f t="shared" si="23"/>
        <v>#DIV/0!</v>
      </c>
      <c r="N89" s="114" t="e">
        <f t="shared" si="16"/>
        <v>#DIV/0!</v>
      </c>
      <c r="O89" s="114" t="e">
        <f t="shared" si="17"/>
        <v>#DIV/0!</v>
      </c>
    </row>
    <row r="90" spans="1:15" x14ac:dyDescent="0.2">
      <c r="C90" s="175"/>
    </row>
    <row r="92" spans="1:15" x14ac:dyDescent="0.2">
      <c r="A92" s="3" t="s">
        <v>129</v>
      </c>
      <c r="B92" t="s">
        <v>130</v>
      </c>
    </row>
    <row r="93" spans="1:15" x14ac:dyDescent="0.2">
      <c r="A93" s="3"/>
      <c r="I93" s="3"/>
    </row>
    <row r="94" spans="1:15" x14ac:dyDescent="0.2">
      <c r="A94" s="102" t="s">
        <v>124</v>
      </c>
      <c r="B94" s="291"/>
      <c r="C94" s="106"/>
      <c r="D94" s="5"/>
      <c r="E94" s="130" t="s">
        <v>504</v>
      </c>
      <c r="F94" s="231">
        <v>0.25</v>
      </c>
      <c r="H94" s="320"/>
      <c r="I94" s="102" t="s">
        <v>124</v>
      </c>
      <c r="J94" s="291"/>
      <c r="K94" s="106"/>
      <c r="L94" s="5"/>
      <c r="M94" s="130" t="s">
        <v>504</v>
      </c>
      <c r="N94" s="231">
        <v>0.25</v>
      </c>
    </row>
    <row r="95" spans="1:15" x14ac:dyDescent="0.2">
      <c r="A95" s="102" t="s">
        <v>113</v>
      </c>
      <c r="B95" s="103"/>
      <c r="C95" s="4" t="s">
        <v>114</v>
      </c>
      <c r="D95" s="5"/>
      <c r="E95" s="5"/>
      <c r="H95" s="320"/>
      <c r="I95" s="102" t="s">
        <v>113</v>
      </c>
      <c r="J95" s="103"/>
      <c r="K95" s="4" t="s">
        <v>114</v>
      </c>
      <c r="L95" s="5"/>
      <c r="M95" s="5"/>
    </row>
    <row r="96" spans="1:15" x14ac:dyDescent="0.2">
      <c r="A96" s="102" t="s">
        <v>115</v>
      </c>
      <c r="B96" s="104">
        <v>0.05</v>
      </c>
      <c r="C96" s="4"/>
      <c r="D96" s="5"/>
      <c r="E96" s="5"/>
      <c r="H96" s="320"/>
      <c r="I96" s="102" t="s">
        <v>115</v>
      </c>
      <c r="J96" s="104"/>
      <c r="K96" s="4"/>
      <c r="L96" s="5"/>
      <c r="M96" s="5"/>
    </row>
    <row r="97" spans="1:15" x14ac:dyDescent="0.2">
      <c r="A97" s="102" t="s">
        <v>116</v>
      </c>
      <c r="B97" s="102">
        <v>10</v>
      </c>
      <c r="C97" s="4"/>
      <c r="D97" s="5"/>
      <c r="E97" s="5"/>
      <c r="H97" s="320"/>
      <c r="I97" s="102" t="s">
        <v>116</v>
      </c>
      <c r="J97" s="102"/>
      <c r="K97" s="4"/>
      <c r="L97" s="5"/>
      <c r="M97" s="5"/>
    </row>
    <row r="98" spans="1:15" x14ac:dyDescent="0.2">
      <c r="A98" s="537" t="s">
        <v>117</v>
      </c>
      <c r="B98" s="537">
        <v>1</v>
      </c>
      <c r="C98" s="4"/>
      <c r="D98" s="5"/>
      <c r="E98" s="5"/>
      <c r="H98" s="320"/>
      <c r="I98" s="102" t="s">
        <v>117</v>
      </c>
      <c r="J98" s="102">
        <v>1</v>
      </c>
      <c r="K98" s="4"/>
      <c r="L98" s="5"/>
      <c r="M98" s="5"/>
    </row>
    <row r="99" spans="1:15" x14ac:dyDescent="0.2">
      <c r="A99" s="432" t="s">
        <v>775</v>
      </c>
      <c r="B99" s="538" t="e">
        <f>IRR(F103:F113)</f>
        <v>#NUM!</v>
      </c>
      <c r="C99" s="4"/>
      <c r="D99" s="5"/>
      <c r="E99" s="5"/>
      <c r="H99" s="320"/>
      <c r="I99" s="14" t="s">
        <v>775</v>
      </c>
      <c r="J99" s="534" t="e">
        <f>IRR(N103:N113)</f>
        <v>#NUM!</v>
      </c>
      <c r="K99" s="5"/>
      <c r="L99" s="5"/>
      <c r="M99" s="5"/>
    </row>
    <row r="100" spans="1:15" x14ac:dyDescent="0.2">
      <c r="A100" s="432" t="s">
        <v>776</v>
      </c>
      <c r="B100" s="538" t="e">
        <f>((1+B99)^B98)-1</f>
        <v>#NUM!</v>
      </c>
      <c r="C100" s="536"/>
      <c r="D100" s="105"/>
      <c r="E100" s="105"/>
      <c r="H100" s="320"/>
      <c r="I100" s="432" t="s">
        <v>776</v>
      </c>
      <c r="J100" s="538" t="e">
        <f>((1+J99)^J98)-1</f>
        <v>#NUM!</v>
      </c>
      <c r="K100" s="105"/>
      <c r="L100" s="105"/>
      <c r="M100" s="105"/>
    </row>
    <row r="101" spans="1:15" x14ac:dyDescent="0.2">
      <c r="A101" s="290"/>
      <c r="B101" s="290"/>
      <c r="C101" s="290"/>
      <c r="D101" s="290"/>
      <c r="E101" s="290"/>
      <c r="H101" s="320"/>
      <c r="I101" s="290"/>
      <c r="J101" s="290"/>
      <c r="K101" s="290"/>
      <c r="L101" s="290"/>
      <c r="M101" s="290"/>
    </row>
    <row r="102" spans="1:15" x14ac:dyDescent="0.2">
      <c r="A102" s="115" t="s">
        <v>118</v>
      </c>
      <c r="B102" s="115" t="s">
        <v>119</v>
      </c>
      <c r="C102" s="115" t="s">
        <v>120</v>
      </c>
      <c r="D102" s="115" t="s">
        <v>121</v>
      </c>
      <c r="E102" s="115" t="s">
        <v>122</v>
      </c>
      <c r="F102" s="108" t="s">
        <v>123</v>
      </c>
      <c r="G102" s="115" t="s">
        <v>503</v>
      </c>
      <c r="I102" s="115" t="s">
        <v>118</v>
      </c>
      <c r="J102" s="115" t="s">
        <v>119</v>
      </c>
      <c r="K102" s="115" t="s">
        <v>120</v>
      </c>
      <c r="L102" s="115" t="s">
        <v>121</v>
      </c>
      <c r="M102" s="115" t="s">
        <v>122</v>
      </c>
      <c r="N102" s="108" t="s">
        <v>123</v>
      </c>
      <c r="O102" s="115" t="s">
        <v>503</v>
      </c>
    </row>
    <row r="103" spans="1:15" x14ac:dyDescent="0.2">
      <c r="A103" s="109">
        <v>0</v>
      </c>
      <c r="B103" s="110">
        <f t="shared" ref="B103:B112" si="24">$B$95</f>
        <v>0</v>
      </c>
      <c r="C103" s="111"/>
      <c r="D103" s="111"/>
      <c r="E103" s="111"/>
      <c r="F103" s="302">
        <f>B94</f>
        <v>0</v>
      </c>
      <c r="G103" s="321">
        <f>-B94</f>
        <v>0</v>
      </c>
      <c r="I103" s="109">
        <v>0</v>
      </c>
      <c r="J103" s="110">
        <f t="shared" ref="J103:J112" si="25">$B$95</f>
        <v>0</v>
      </c>
      <c r="K103" s="111"/>
      <c r="L103" s="111"/>
      <c r="M103" s="111"/>
      <c r="N103" s="112">
        <f>J94</f>
        <v>0</v>
      </c>
      <c r="O103" s="321">
        <f>-J94</f>
        <v>0</v>
      </c>
    </row>
    <row r="104" spans="1:15" x14ac:dyDescent="0.2">
      <c r="A104" s="113">
        <v>1</v>
      </c>
      <c r="B104" s="114">
        <f t="shared" si="24"/>
        <v>0</v>
      </c>
      <c r="C104" s="114">
        <f t="shared" ref="C104:C113" si="26">$B$103*($B$96/$B$98)</f>
        <v>0</v>
      </c>
      <c r="D104" s="113">
        <f>0</f>
        <v>0</v>
      </c>
      <c r="E104" s="114">
        <f>SUM(C104:D104)</f>
        <v>0</v>
      </c>
      <c r="F104" s="114">
        <f t="shared" ref="F104:F113" si="27">-E104</f>
        <v>0</v>
      </c>
      <c r="G104" s="114">
        <f t="shared" ref="G104:G113" si="28">E104-C104*$F$94</f>
        <v>0</v>
      </c>
      <c r="I104" s="113">
        <v>1</v>
      </c>
      <c r="J104" s="114">
        <f t="shared" si="25"/>
        <v>0</v>
      </c>
      <c r="K104" s="114">
        <f t="shared" ref="K104:K113" si="29">$B$103*($B$96/$B$98)</f>
        <v>0</v>
      </c>
      <c r="L104" s="113">
        <f>0</f>
        <v>0</v>
      </c>
      <c r="M104" s="114">
        <f>SUM(K104:L104)</f>
        <v>0</v>
      </c>
      <c r="N104" s="114">
        <f t="shared" ref="N104:N113" si="30">-M104</f>
        <v>0</v>
      </c>
      <c r="O104" s="114">
        <f t="shared" ref="O104:O113" si="31">M104-K104*$F$94</f>
        <v>0</v>
      </c>
    </row>
    <row r="105" spans="1:15" x14ac:dyDescent="0.2">
      <c r="A105" s="113">
        <v>2</v>
      </c>
      <c r="B105" s="114">
        <f t="shared" si="24"/>
        <v>0</v>
      </c>
      <c r="C105" s="114">
        <f t="shared" si="26"/>
        <v>0</v>
      </c>
      <c r="D105" s="113">
        <f>0</f>
        <v>0</v>
      </c>
      <c r="E105" s="114">
        <f t="shared" ref="E105:E113" si="32">SUM(C105:D105)</f>
        <v>0</v>
      </c>
      <c r="F105" s="114">
        <f t="shared" si="27"/>
        <v>0</v>
      </c>
      <c r="G105" s="114">
        <f t="shared" si="28"/>
        <v>0</v>
      </c>
      <c r="I105" s="113">
        <v>2</v>
      </c>
      <c r="J105" s="114">
        <f t="shared" si="25"/>
        <v>0</v>
      </c>
      <c r="K105" s="114">
        <f t="shared" si="29"/>
        <v>0</v>
      </c>
      <c r="L105" s="113">
        <f>0</f>
        <v>0</v>
      </c>
      <c r="M105" s="114">
        <f t="shared" ref="M105:M113" si="33">SUM(K105:L105)</f>
        <v>0</v>
      </c>
      <c r="N105" s="114">
        <f t="shared" si="30"/>
        <v>0</v>
      </c>
      <c r="O105" s="114">
        <f t="shared" si="31"/>
        <v>0</v>
      </c>
    </row>
    <row r="106" spans="1:15" x14ac:dyDescent="0.2">
      <c r="A106" s="113">
        <v>3</v>
      </c>
      <c r="B106" s="114">
        <f t="shared" si="24"/>
        <v>0</v>
      </c>
      <c r="C106" s="114">
        <f t="shared" si="26"/>
        <v>0</v>
      </c>
      <c r="D106" s="113">
        <f>0</f>
        <v>0</v>
      </c>
      <c r="E106" s="114">
        <f t="shared" si="32"/>
        <v>0</v>
      </c>
      <c r="F106" s="114">
        <f t="shared" si="27"/>
        <v>0</v>
      </c>
      <c r="G106" s="114">
        <f t="shared" si="28"/>
        <v>0</v>
      </c>
      <c r="I106" s="113">
        <v>3</v>
      </c>
      <c r="J106" s="114">
        <f t="shared" si="25"/>
        <v>0</v>
      </c>
      <c r="K106" s="114">
        <f t="shared" si="29"/>
        <v>0</v>
      </c>
      <c r="L106" s="113">
        <f>0</f>
        <v>0</v>
      </c>
      <c r="M106" s="114">
        <f t="shared" si="33"/>
        <v>0</v>
      </c>
      <c r="N106" s="114">
        <f t="shared" si="30"/>
        <v>0</v>
      </c>
      <c r="O106" s="114">
        <f t="shared" si="31"/>
        <v>0</v>
      </c>
    </row>
    <row r="107" spans="1:15" x14ac:dyDescent="0.2">
      <c r="A107" s="113">
        <v>4</v>
      </c>
      <c r="B107" s="114">
        <f t="shared" si="24"/>
        <v>0</v>
      </c>
      <c r="C107" s="114">
        <f t="shared" si="26"/>
        <v>0</v>
      </c>
      <c r="D107" s="113">
        <f>0</f>
        <v>0</v>
      </c>
      <c r="E107" s="114">
        <f t="shared" si="32"/>
        <v>0</v>
      </c>
      <c r="F107" s="114">
        <f t="shared" si="27"/>
        <v>0</v>
      </c>
      <c r="G107" s="114">
        <f t="shared" si="28"/>
        <v>0</v>
      </c>
      <c r="I107" s="113">
        <v>4</v>
      </c>
      <c r="J107" s="114">
        <f t="shared" si="25"/>
        <v>0</v>
      </c>
      <c r="K107" s="114">
        <f t="shared" si="29"/>
        <v>0</v>
      </c>
      <c r="L107" s="113">
        <f>0</f>
        <v>0</v>
      </c>
      <c r="M107" s="114">
        <f t="shared" si="33"/>
        <v>0</v>
      </c>
      <c r="N107" s="114">
        <f t="shared" si="30"/>
        <v>0</v>
      </c>
      <c r="O107" s="114">
        <f t="shared" si="31"/>
        <v>0</v>
      </c>
    </row>
    <row r="108" spans="1:15" x14ac:dyDescent="0.2">
      <c r="A108" s="113">
        <v>5</v>
      </c>
      <c r="B108" s="114">
        <f t="shared" si="24"/>
        <v>0</v>
      </c>
      <c r="C108" s="114">
        <f t="shared" si="26"/>
        <v>0</v>
      </c>
      <c r="D108" s="113">
        <f>0</f>
        <v>0</v>
      </c>
      <c r="E108" s="114">
        <f t="shared" si="32"/>
        <v>0</v>
      </c>
      <c r="F108" s="114">
        <f t="shared" si="27"/>
        <v>0</v>
      </c>
      <c r="G108" s="114">
        <f t="shared" si="28"/>
        <v>0</v>
      </c>
      <c r="I108" s="113">
        <v>5</v>
      </c>
      <c r="J108" s="114">
        <f t="shared" si="25"/>
        <v>0</v>
      </c>
      <c r="K108" s="114">
        <f t="shared" si="29"/>
        <v>0</v>
      </c>
      <c r="L108" s="113">
        <f>0</f>
        <v>0</v>
      </c>
      <c r="M108" s="114">
        <f t="shared" si="33"/>
        <v>0</v>
      </c>
      <c r="N108" s="114">
        <f t="shared" si="30"/>
        <v>0</v>
      </c>
      <c r="O108" s="114">
        <f t="shared" si="31"/>
        <v>0</v>
      </c>
    </row>
    <row r="109" spans="1:15" x14ac:dyDescent="0.2">
      <c r="A109" s="113">
        <v>6</v>
      </c>
      <c r="B109" s="114">
        <f t="shared" si="24"/>
        <v>0</v>
      </c>
      <c r="C109" s="114">
        <f t="shared" si="26"/>
        <v>0</v>
      </c>
      <c r="D109" s="113">
        <f>0</f>
        <v>0</v>
      </c>
      <c r="E109" s="114">
        <f t="shared" si="32"/>
        <v>0</v>
      </c>
      <c r="F109" s="114">
        <f t="shared" si="27"/>
        <v>0</v>
      </c>
      <c r="G109" s="114">
        <f t="shared" si="28"/>
        <v>0</v>
      </c>
      <c r="I109" s="113">
        <v>6</v>
      </c>
      <c r="J109" s="114">
        <f t="shared" si="25"/>
        <v>0</v>
      </c>
      <c r="K109" s="114">
        <f t="shared" si="29"/>
        <v>0</v>
      </c>
      <c r="L109" s="113">
        <f>0</f>
        <v>0</v>
      </c>
      <c r="M109" s="114">
        <f t="shared" si="33"/>
        <v>0</v>
      </c>
      <c r="N109" s="114">
        <f t="shared" si="30"/>
        <v>0</v>
      </c>
      <c r="O109" s="114">
        <f t="shared" si="31"/>
        <v>0</v>
      </c>
    </row>
    <row r="110" spans="1:15" x14ac:dyDescent="0.2">
      <c r="A110" s="113">
        <v>7</v>
      </c>
      <c r="B110" s="114">
        <f t="shared" si="24"/>
        <v>0</v>
      </c>
      <c r="C110" s="114">
        <f t="shared" si="26"/>
        <v>0</v>
      </c>
      <c r="D110" s="113">
        <v>0</v>
      </c>
      <c r="E110" s="114">
        <f t="shared" si="32"/>
        <v>0</v>
      </c>
      <c r="F110" s="114">
        <f t="shared" si="27"/>
        <v>0</v>
      </c>
      <c r="G110" s="114">
        <f t="shared" si="28"/>
        <v>0</v>
      </c>
      <c r="I110" s="113">
        <v>7</v>
      </c>
      <c r="J110" s="114">
        <f t="shared" si="25"/>
        <v>0</v>
      </c>
      <c r="K110" s="114">
        <f t="shared" si="29"/>
        <v>0</v>
      </c>
      <c r="L110" s="113">
        <v>0</v>
      </c>
      <c r="M110" s="114">
        <f t="shared" si="33"/>
        <v>0</v>
      </c>
      <c r="N110" s="114">
        <f t="shared" si="30"/>
        <v>0</v>
      </c>
      <c r="O110" s="114">
        <f t="shared" si="31"/>
        <v>0</v>
      </c>
    </row>
    <row r="111" spans="1:15" x14ac:dyDescent="0.2">
      <c r="A111" s="113">
        <v>8</v>
      </c>
      <c r="B111" s="114">
        <f t="shared" si="24"/>
        <v>0</v>
      </c>
      <c r="C111" s="114">
        <f t="shared" si="26"/>
        <v>0</v>
      </c>
      <c r="D111" s="113">
        <f>0</f>
        <v>0</v>
      </c>
      <c r="E111" s="114">
        <f t="shared" si="32"/>
        <v>0</v>
      </c>
      <c r="F111" s="114">
        <f t="shared" si="27"/>
        <v>0</v>
      </c>
      <c r="G111" s="114">
        <f t="shared" si="28"/>
        <v>0</v>
      </c>
      <c r="I111" s="113">
        <v>8</v>
      </c>
      <c r="J111" s="114">
        <f t="shared" si="25"/>
        <v>0</v>
      </c>
      <c r="K111" s="114">
        <f t="shared" si="29"/>
        <v>0</v>
      </c>
      <c r="L111" s="113">
        <f>0</f>
        <v>0</v>
      </c>
      <c r="M111" s="114">
        <f t="shared" si="33"/>
        <v>0</v>
      </c>
      <c r="N111" s="114">
        <f t="shared" si="30"/>
        <v>0</v>
      </c>
      <c r="O111" s="114">
        <f t="shared" si="31"/>
        <v>0</v>
      </c>
    </row>
    <row r="112" spans="1:15" x14ac:dyDescent="0.2">
      <c r="A112" s="113">
        <v>9</v>
      </c>
      <c r="B112" s="114">
        <f t="shared" si="24"/>
        <v>0</v>
      </c>
      <c r="C112" s="114">
        <f t="shared" si="26"/>
        <v>0</v>
      </c>
      <c r="D112" s="113">
        <f>0</f>
        <v>0</v>
      </c>
      <c r="E112" s="114">
        <f t="shared" si="32"/>
        <v>0</v>
      </c>
      <c r="F112" s="114">
        <f t="shared" si="27"/>
        <v>0</v>
      </c>
      <c r="G112" s="114">
        <f t="shared" si="28"/>
        <v>0</v>
      </c>
      <c r="I112" s="113">
        <v>9</v>
      </c>
      <c r="J112" s="114">
        <f t="shared" si="25"/>
        <v>0</v>
      </c>
      <c r="K112" s="114">
        <f t="shared" si="29"/>
        <v>0</v>
      </c>
      <c r="L112" s="113">
        <f>0</f>
        <v>0</v>
      </c>
      <c r="M112" s="114">
        <f t="shared" si="33"/>
        <v>0</v>
      </c>
      <c r="N112" s="114">
        <f t="shared" si="30"/>
        <v>0</v>
      </c>
      <c r="O112" s="114">
        <f t="shared" si="31"/>
        <v>0</v>
      </c>
    </row>
    <row r="113" spans="1:15" x14ac:dyDescent="0.2">
      <c r="A113" s="113">
        <v>10</v>
      </c>
      <c r="B113" s="114">
        <f>B112-D113</f>
        <v>0</v>
      </c>
      <c r="C113" s="114">
        <f t="shared" si="26"/>
        <v>0</v>
      </c>
      <c r="D113" s="114">
        <f>B95</f>
        <v>0</v>
      </c>
      <c r="E113" s="114">
        <f t="shared" si="32"/>
        <v>0</v>
      </c>
      <c r="F113" s="114">
        <f t="shared" si="27"/>
        <v>0</v>
      </c>
      <c r="G113" s="114">
        <f t="shared" si="28"/>
        <v>0</v>
      </c>
      <c r="I113" s="113">
        <v>10</v>
      </c>
      <c r="J113" s="114">
        <f>J112-L113</f>
        <v>0</v>
      </c>
      <c r="K113" s="114">
        <f t="shared" si="29"/>
        <v>0</v>
      </c>
      <c r="L113" s="114">
        <f>J95</f>
        <v>0</v>
      </c>
      <c r="M113" s="114">
        <f t="shared" si="33"/>
        <v>0</v>
      </c>
      <c r="N113" s="114">
        <f t="shared" si="30"/>
        <v>0</v>
      </c>
      <c r="O113" s="114">
        <f t="shared" si="31"/>
        <v>0</v>
      </c>
    </row>
    <row r="114" spans="1:15" x14ac:dyDescent="0.2">
      <c r="C114" s="175"/>
    </row>
    <row r="115" spans="1:15" s="238" customFormat="1" x14ac:dyDescent="0.2"/>
    <row r="117" spans="1:15" x14ac:dyDescent="0.2">
      <c r="A117" s="1" t="s">
        <v>598</v>
      </c>
    </row>
    <row r="118" spans="1:15" x14ac:dyDescent="0.2">
      <c r="A118" s="1"/>
    </row>
    <row r="119" spans="1:15" ht="17.25" customHeight="1" x14ac:dyDescent="0.2">
      <c r="A119" s="614" t="s">
        <v>131</v>
      </c>
      <c r="B119" s="614"/>
      <c r="C119" s="614"/>
      <c r="D119" s="614"/>
      <c r="E119" s="614"/>
      <c r="F119" s="614"/>
    </row>
    <row r="120" spans="1:15" x14ac:dyDescent="0.2">
      <c r="A120" s="614"/>
      <c r="B120" s="614"/>
      <c r="C120" s="614"/>
      <c r="D120" s="614"/>
      <c r="E120" s="614"/>
      <c r="F120" s="614"/>
    </row>
    <row r="121" spans="1:15" x14ac:dyDescent="0.2">
      <c r="A121" s="614"/>
      <c r="B121" s="614"/>
      <c r="C121" s="614"/>
      <c r="D121" s="614"/>
      <c r="E121" s="614"/>
      <c r="F121" s="614"/>
    </row>
    <row r="122" spans="1:15" x14ac:dyDescent="0.2">
      <c r="A122" s="162"/>
      <c r="B122" s="163"/>
      <c r="C122" s="163"/>
      <c r="D122" s="163"/>
      <c r="E122" s="163"/>
    </row>
    <row r="123" spans="1:15" x14ac:dyDescent="0.2">
      <c r="A123" s="162"/>
      <c r="B123" s="163"/>
      <c r="C123" s="163"/>
      <c r="D123" s="163"/>
      <c r="E123" s="163"/>
    </row>
    <row r="124" spans="1:15" ht="17.25" customHeight="1" x14ac:dyDescent="0.2">
      <c r="A124" s="614" t="s">
        <v>132</v>
      </c>
      <c r="B124" s="614"/>
      <c r="C124" s="614"/>
      <c r="D124" s="614"/>
      <c r="E124" s="614"/>
      <c r="F124" s="614"/>
    </row>
    <row r="125" spans="1:15" x14ac:dyDescent="0.2">
      <c r="A125" s="614"/>
      <c r="B125" s="614"/>
      <c r="C125" s="614"/>
      <c r="D125" s="614"/>
      <c r="E125" s="614"/>
      <c r="F125" s="614"/>
    </row>
    <row r="126" spans="1:15" x14ac:dyDescent="0.2">
      <c r="A126" s="614"/>
      <c r="B126" s="614"/>
      <c r="C126" s="614"/>
      <c r="D126" s="614"/>
      <c r="E126" s="614"/>
      <c r="F126" s="614"/>
    </row>
    <row r="127" spans="1:15" x14ac:dyDescent="0.2">
      <c r="A127" s="614"/>
      <c r="B127" s="614"/>
      <c r="C127" s="614"/>
      <c r="D127" s="614"/>
      <c r="E127" s="614"/>
      <c r="F127" s="614"/>
    </row>
    <row r="129" spans="1:9" x14ac:dyDescent="0.2">
      <c r="A129" t="s">
        <v>133</v>
      </c>
    </row>
    <row r="131" spans="1:9" x14ac:dyDescent="0.2">
      <c r="A131" s="12" t="s">
        <v>519</v>
      </c>
      <c r="E131" s="3" t="s">
        <v>688</v>
      </c>
    </row>
    <row r="132" spans="1:9" x14ac:dyDescent="0.2">
      <c r="A132" s="101"/>
      <c r="B132" s="318" t="s">
        <v>410</v>
      </c>
      <c r="C132" s="318" t="s">
        <v>411</v>
      </c>
      <c r="E132" s="615"/>
      <c r="F132" s="615"/>
      <c r="G132" s="101" t="s">
        <v>410</v>
      </c>
      <c r="H132" s="101" t="s">
        <v>411</v>
      </c>
    </row>
    <row r="133" spans="1:9" x14ac:dyDescent="0.2">
      <c r="A133" s="101" t="s">
        <v>134</v>
      </c>
      <c r="B133" s="323" t="e">
        <f>IRR(F45:F55)</f>
        <v>#NUM!</v>
      </c>
      <c r="C133" s="324" t="e">
        <f>IRR(N45:N55)</f>
        <v>#VALUE!</v>
      </c>
      <c r="E133" s="616" t="s">
        <v>134</v>
      </c>
      <c r="F133" s="616"/>
      <c r="G133" s="327" t="e">
        <f>(1+B133)^$F$137-1</f>
        <v>#NUM!</v>
      </c>
      <c r="H133" s="327" t="e">
        <f>(1+C133)^$F$137-1</f>
        <v>#VALUE!</v>
      </c>
    </row>
    <row r="134" spans="1:9" x14ac:dyDescent="0.2">
      <c r="A134" s="101" t="s">
        <v>136</v>
      </c>
      <c r="B134" s="325" t="e">
        <f>IRR(F69:F89)</f>
        <v>#VALUE!</v>
      </c>
      <c r="C134" s="326" t="e">
        <f>IRR(N69:N89)</f>
        <v>#VALUE!</v>
      </c>
      <c r="E134" s="616" t="s">
        <v>136</v>
      </c>
      <c r="F134" s="616"/>
      <c r="G134" s="327" t="e">
        <f>(1+B134)^$F$137-1</f>
        <v>#VALUE!</v>
      </c>
      <c r="H134" s="327" t="e">
        <f t="shared" ref="H134:H135" si="34">(1+C134)^$F$137-1</f>
        <v>#VALUE!</v>
      </c>
    </row>
    <row r="135" spans="1:9" x14ac:dyDescent="0.2">
      <c r="A135" s="101" t="s">
        <v>135</v>
      </c>
      <c r="B135" s="326" t="e">
        <f>IRR(F103:F113)</f>
        <v>#NUM!</v>
      </c>
      <c r="C135" s="326" t="e">
        <f>IRR(N103:N113)</f>
        <v>#NUM!</v>
      </c>
      <c r="E135" s="616" t="s">
        <v>135</v>
      </c>
      <c r="F135" s="616"/>
      <c r="G135" s="327" t="e">
        <f>(1+B135)^$F$137-1</f>
        <v>#NUM!</v>
      </c>
      <c r="H135" s="327" t="e">
        <f t="shared" si="34"/>
        <v>#NUM!</v>
      </c>
    </row>
    <row r="137" spans="1:9" x14ac:dyDescent="0.2">
      <c r="E137" s="413" t="s">
        <v>712</v>
      </c>
      <c r="F137" s="181">
        <v>2</v>
      </c>
    </row>
    <row r="139" spans="1:9" x14ac:dyDescent="0.2">
      <c r="A139" s="3" t="s">
        <v>505</v>
      </c>
    </row>
    <row r="140" spans="1:9" x14ac:dyDescent="0.2">
      <c r="A140" s="101"/>
      <c r="B140" s="101" t="s">
        <v>410</v>
      </c>
      <c r="C140" s="101" t="s">
        <v>411</v>
      </c>
    </row>
    <row r="141" spans="1:9" x14ac:dyDescent="0.2">
      <c r="A141" s="101" t="s">
        <v>134</v>
      </c>
      <c r="B141" s="328" t="e">
        <f>IRR(-(F45:F55))</f>
        <v>#NUM!</v>
      </c>
      <c r="C141" s="328" t="e">
        <f>IRR(-(N45:N55))</f>
        <v>#VALUE!</v>
      </c>
    </row>
    <row r="142" spans="1:9" x14ac:dyDescent="0.2">
      <c r="A142" s="101" t="s">
        <v>136</v>
      </c>
      <c r="B142" s="328" t="e">
        <f>IRR(-(F69:F89))</f>
        <v>#VALUE!</v>
      </c>
      <c r="C142" s="328" t="e">
        <f>IRR(-(N69:N89))</f>
        <v>#VALUE!</v>
      </c>
    </row>
    <row r="143" spans="1:9" x14ac:dyDescent="0.2">
      <c r="A143" s="101" t="s">
        <v>135</v>
      </c>
      <c r="B143" s="328" t="e">
        <f>IRR(-(F103:F113))</f>
        <v>#NUM!</v>
      </c>
      <c r="C143" s="328" t="e">
        <f>IRR(-(N103:N113))</f>
        <v>#NUM!</v>
      </c>
      <c r="D143" s="292"/>
      <c r="E143" s="292"/>
      <c r="F143" s="292"/>
      <c r="G143" s="292"/>
      <c r="H143" s="292"/>
      <c r="I143" s="292"/>
    </row>
    <row r="145" spans="3:4" x14ac:dyDescent="0.2">
      <c r="D145" s="282"/>
    </row>
    <row r="146" spans="3:4" x14ac:dyDescent="0.2">
      <c r="D146" s="282"/>
    </row>
    <row r="147" spans="3:4" x14ac:dyDescent="0.2">
      <c r="C147" s="282"/>
      <c r="D147" s="282"/>
    </row>
  </sheetData>
  <mergeCells count="6">
    <mergeCell ref="A119:F121"/>
    <mergeCell ref="E132:F132"/>
    <mergeCell ref="E133:F133"/>
    <mergeCell ref="E134:F134"/>
    <mergeCell ref="E135:F135"/>
    <mergeCell ref="A124:F1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15</vt:i4>
      </vt:variant>
    </vt:vector>
  </HeadingPairs>
  <TitlesOfParts>
    <vt:vector size="15" baseType="lpstr">
      <vt:lpstr>Templates</vt:lpstr>
      <vt:lpstr>Regnskab - Nøgletal</vt:lpstr>
      <vt:lpstr>Regnskab - Balance + Resultat</vt:lpstr>
      <vt:lpstr>Regnskab - Årsopgørelse</vt:lpstr>
      <vt:lpstr>Regnskab - debi + kredi</vt:lpstr>
      <vt:lpstr>Regnskab - Afskrivninger</vt:lpstr>
      <vt:lpstr>Investeringer - Generel teori</vt:lpstr>
      <vt:lpstr>Investeringer - Kalkyler</vt:lpstr>
      <vt:lpstr>Finansiering - Låntagning</vt:lpstr>
      <vt:lpstr>Finansiering - Afkast+Risiko</vt:lpstr>
      <vt:lpstr>Finansiering - Porteføljer</vt:lpstr>
      <vt:lpstr>Finansiering - CAPM</vt:lpstr>
      <vt:lpstr>Finansiering - Mange aktier</vt:lpstr>
      <vt:lpstr>Finansiering - Fundamentalværdi</vt:lpstr>
      <vt:lpstr>Strategi - Produktionoptimering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Freja Egebæk Haarbo</dc:creator>
  <cp:lastModifiedBy>Eske Hermann</cp:lastModifiedBy>
  <dcterms:created xsi:type="dcterms:W3CDTF">2017-04-24T14:35:07Z</dcterms:created>
  <dcterms:modified xsi:type="dcterms:W3CDTF">2024-04-16T10:05:08Z</dcterms:modified>
</cp:coreProperties>
</file>