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niversity\Postdoc\Economic Crises and the Death of IOs\"/>
    </mc:Choice>
  </mc:AlternateContent>
  <bookViews>
    <workbookView xWindow="0" yWindow="0" windowWidth="23040" windowHeight="8976" activeTab="1"/>
  </bookViews>
  <sheets>
    <sheet name="Full Table" sheetId="1" r:id="rId1"/>
    <sheet name="Approved Projects" sheetId="3" r:id="rId2"/>
    <sheet name="Financing Amount by Sector" sheetId="2" r:id="rId3"/>
  </sheets>
  <definedNames>
    <definedName name="_xlnm._FilterDatabase" localSheetId="0" hidden="1">'Full Table'!$G$1:$G$186</definedName>
  </definedNames>
  <calcPr calcId="152511" iterate="1" iterateCount="1" calcOnSave="0"/>
  <pivotCaches>
    <pivotCache cacheId="29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7" i="1" l="1"/>
  <c r="G187" i="1"/>
  <c r="D189" i="1"/>
  <c r="D191" i="1" s="1"/>
  <c r="D187" i="1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D133" i="3"/>
  <c r="C143" i="3"/>
  <c r="G149" i="3"/>
  <c r="F149" i="3"/>
  <c r="E149" i="3"/>
  <c r="D149" i="3"/>
  <c r="G148" i="3"/>
  <c r="F148" i="3"/>
  <c r="E148" i="3"/>
  <c r="D148" i="3"/>
  <c r="C148" i="3"/>
  <c r="G147" i="3"/>
  <c r="F147" i="3"/>
  <c r="E147" i="3"/>
  <c r="D147" i="3"/>
  <c r="G146" i="3"/>
  <c r="F146" i="3"/>
  <c r="E146" i="3"/>
  <c r="D146" i="3"/>
  <c r="G145" i="3"/>
  <c r="F145" i="3"/>
  <c r="E145" i="3"/>
  <c r="D145" i="3"/>
  <c r="G144" i="3"/>
  <c r="F144" i="3"/>
  <c r="E144" i="3"/>
  <c r="D144" i="3"/>
  <c r="G143" i="3"/>
  <c r="F143" i="3"/>
  <c r="E143" i="3"/>
  <c r="D143" i="3"/>
  <c r="G142" i="3"/>
  <c r="F142" i="3"/>
  <c r="E142" i="3"/>
  <c r="D142" i="3"/>
  <c r="G141" i="3"/>
  <c r="F141" i="3"/>
  <c r="E141" i="3"/>
  <c r="D141" i="3"/>
  <c r="G140" i="3"/>
  <c r="F140" i="3"/>
  <c r="E140" i="3"/>
  <c r="D140" i="3"/>
  <c r="C140" i="3"/>
  <c r="G139" i="3"/>
  <c r="F139" i="3"/>
  <c r="E139" i="3"/>
  <c r="D139" i="3"/>
  <c r="G138" i="3"/>
  <c r="F138" i="3"/>
  <c r="E138" i="3"/>
  <c r="D138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3" i="3"/>
  <c r="G133" i="3"/>
  <c r="F133" i="3"/>
  <c r="E133" i="3"/>
  <c r="C133" i="3"/>
  <c r="E150" i="3" l="1"/>
  <c r="F150" i="3"/>
  <c r="C145" i="3"/>
  <c r="G150" i="3"/>
  <c r="C142" i="3"/>
  <c r="C139" i="3"/>
  <c r="C147" i="3"/>
  <c r="C144" i="3"/>
  <c r="C141" i="3"/>
  <c r="C149" i="3"/>
  <c r="C138" i="3"/>
  <c r="C146" i="3"/>
  <c r="D150" i="3"/>
  <c r="B150" i="3"/>
  <c r="C150" i="3" l="1"/>
  <c r="B185" i="1" l="1"/>
  <c r="D185" i="1"/>
  <c r="E185" i="1"/>
  <c r="G185" i="1"/>
  <c r="H185" i="1"/>
  <c r="G186" i="1"/>
  <c r="H186" i="1"/>
  <c r="E187" i="1"/>
  <c r="B188" i="1"/>
  <c r="G188" i="1"/>
  <c r="H188" i="1"/>
  <c r="G189" i="1"/>
  <c r="H189" i="1"/>
  <c r="E190" i="1"/>
  <c r="G190" i="1"/>
  <c r="H190" i="1"/>
  <c r="B191" i="1"/>
  <c r="B196" i="1"/>
  <c r="C196" i="1"/>
  <c r="D196" i="1"/>
  <c r="E196" i="1"/>
  <c r="F196" i="1"/>
  <c r="G196" i="1"/>
</calcChain>
</file>

<file path=xl/sharedStrings.xml><?xml version="1.0" encoding="utf-8"?>
<sst xmlns="http://schemas.openxmlformats.org/spreadsheetml/2006/main" count="1853" uniqueCount="262">
  <si>
    <t>APPROVAL YEAR</t>
  </si>
  <si>
    <t>MEMBER</t>
  </si>
  <si>
    <t>SECTOR</t>
  </si>
  <si>
    <t>FINANCING TYPE</t>
  </si>
  <si>
    <t>PROJECT NAME</t>
  </si>
  <si>
    <t>FINANCING AMOUNT</t>
  </si>
  <si>
    <t>STATUS</t>
  </si>
  <si>
    <t>Jordan</t>
  </si>
  <si>
    <t>Economic Resilience / PBF</t>
  </si>
  <si>
    <t>Sovereign</t>
  </si>
  <si>
    <t>Jordan: Inclusive Transparent and Climate Responsive Investments Program for Results (the Program or PforR)</t>
  </si>
  <si>
    <t>Proposed</t>
  </si>
  <si>
    <t>Cambodia</t>
  </si>
  <si>
    <t>Public Health</t>
  </si>
  <si>
    <t>Cambodia: Rapid Immunization Support Project</t>
  </si>
  <si>
    <t>Bangladesh</t>
  </si>
  <si>
    <t>Energy</t>
  </si>
  <si>
    <t>Bangladesh: Southern Chattogram and Kaliakoir Transmission Infrastructure Development Project</t>
  </si>
  <si>
    <t>Multicountry</t>
  </si>
  <si>
    <t>Financial Institution</t>
  </si>
  <si>
    <t>Nonsovereign</t>
  </si>
  <si>
    <t>Multicountry: Keppel-Pierfront Private Credit Fund L.P</t>
  </si>
  <si>
    <t>India</t>
  </si>
  <si>
    <t>India: Enel Green 300 MW Solar Project - Rajasthan</t>
  </si>
  <si>
    <t>Egypt</t>
  </si>
  <si>
    <t>Egypt: Inclusive Growth for Sustainable Recovery DPF Program</t>
  </si>
  <si>
    <t>China</t>
  </si>
  <si>
    <t>ICT</t>
  </si>
  <si>
    <t>China: Sinovation Disrupt Fund</t>
  </si>
  <si>
    <t>Azerbaijan</t>
  </si>
  <si>
    <t>Azerbaijan: Republic of Azerbaijan COVID-19 Active Response and Expenditure Support (CARES) Program</t>
  </si>
  <si>
    <t>Transport</t>
  </si>
  <si>
    <t>China: Liaoning Green Smart Public Transport Demonstration Project</t>
  </si>
  <si>
    <t>Indonesia</t>
  </si>
  <si>
    <t>Indonesia: Emergency Response to COVID-19 Program - Additional Financing</t>
  </si>
  <si>
    <t>Awaiting Approval</t>
  </si>
  <si>
    <t>Rwanda</t>
  </si>
  <si>
    <t>Finance / Liquidity</t>
  </si>
  <si>
    <t>Rwanda: Support to COVID-19 Economic Recovery Fund for Private Sector</t>
  </si>
  <si>
    <t>Education</t>
  </si>
  <si>
    <t>India: Gujarat Education Infrastructure and Technology Modernization Program</t>
  </si>
  <si>
    <t>Rwanda: Rwanda Digital Acceleration Project (Digital Investment for Recovery, Resilience and Connectivity)</t>
  </si>
  <si>
    <t>India: West Bengal Electricity Distribution Grid Modernization Project</t>
  </si>
  <si>
    <t>Belarus</t>
  </si>
  <si>
    <t>Belarus: Belarus Emergency Response and Public Healthcare Support Project</t>
  </si>
  <si>
    <t>Urban</t>
  </si>
  <si>
    <t>India: Chennai City Partnership: Sustainable Urban Services Program</t>
  </si>
  <si>
    <t>Water</t>
  </si>
  <si>
    <t>India: Extension, Renovation, and Modernization of Grand Anicut Canal System</t>
  </si>
  <si>
    <t>Mongolia</t>
  </si>
  <si>
    <t>Mongolia: Support for COVID-19 Vaccine Delivery in Mongolia under the Asia Pacific Vaccine Access Facility</t>
  </si>
  <si>
    <t>Approved</t>
  </si>
  <si>
    <t>Uzbekistan</t>
  </si>
  <si>
    <t>Uzbekistan: Sirdarya 1,500MW CCGT Power Project</t>
  </si>
  <si>
    <t>Uzbekistan: Medium-size Cities Integrated Urban Development Project</t>
  </si>
  <si>
    <t>Multicountry: Global Infrastructure Partners Emerging Markets Fund I (“GIP EM” or the “Fund”)</t>
  </si>
  <si>
    <t>Singapore</t>
  </si>
  <si>
    <t>Singapore: Asia Infrastructure Securitization Program</t>
  </si>
  <si>
    <t>India: India City Gas Distribution (CGD) Financing AGPCGPL</t>
  </si>
  <si>
    <t>Other</t>
  </si>
  <si>
    <t>India: Resilient Kerala Program for Results</t>
  </si>
  <si>
    <t>Turkey</t>
  </si>
  <si>
    <t>Turkey: Eximbank COVID-19 Credit Line Project</t>
  </si>
  <si>
    <t>Georgia</t>
  </si>
  <si>
    <t>Georgia: TBC Bank COVID-19 Credit Line Project</t>
  </si>
  <si>
    <t>India: Punjab Municipal Services Improvement Project</t>
  </si>
  <si>
    <t>India: Kerala Solid Waste Management Project</t>
  </si>
  <si>
    <t>Multicountry: Aberdeen Standard Investcorp Infrastructure Partners</t>
  </si>
  <si>
    <t>Philippines</t>
  </si>
  <si>
    <t>Philippines: Second Health System Enhancement to Address and Limit COVID-19 under Asia Pacific Vaccine Access Facility Project (HEAL 2)</t>
  </si>
  <si>
    <t>Sri Lanka</t>
  </si>
  <si>
    <t>Sri Lanka: COVID-19 Emergency and Crisis Response Facility</t>
  </si>
  <si>
    <t>Maldives</t>
  </si>
  <si>
    <t>Maldives: Solar Power Development and Energy Storage Solution</t>
  </si>
  <si>
    <t>Bangladesh: Mymensingh Kewatkhali Bridge Project</t>
  </si>
  <si>
    <t>Bangladesh: COVID-19 Emergency and Crisis Response Facility</t>
  </si>
  <si>
    <t>India: Assam Intra-State Transmission System Enhancement Project</t>
  </si>
  <si>
    <t>Indonesia: PLN East Java &amp; Bali Power Distribution Strengthening Project</t>
  </si>
  <si>
    <t>Multi-Country: ISQ Growth Markets Infrastructure Fund</t>
  </si>
  <si>
    <t>Sri Lanka: Kerawalapitiya – Port 2nd Transmission Line Project</t>
  </si>
  <si>
    <t>India: Assam Secondary Road Network Improvement Project</t>
  </si>
  <si>
    <t>Pakistan</t>
  </si>
  <si>
    <t>Pakistan: Karachi Water and Sewerage Services Improvement Project-2 (KWSSIP-2)</t>
  </si>
  <si>
    <t>India: Second Dam Rehabilitation and Improvement Project</t>
  </si>
  <si>
    <t>Cook Islands</t>
  </si>
  <si>
    <t>Cook Islands: COVID-19 Active Response and Economic Support Program</t>
  </si>
  <si>
    <t>Cambodia: National Restoration of Rural Productive Capacity Project</t>
  </si>
  <si>
    <t>India: Ayana Anantapuramu NTPC Solar Project</t>
  </si>
  <si>
    <t>China: Zhengzhou International Logistics Hub (Previously: Zhengzhou International Hub Expansion)</t>
  </si>
  <si>
    <t>Ecuador</t>
  </si>
  <si>
    <t>Ecuador: Corporación Financiera Nacional COVID-19 Credit Line Project</t>
  </si>
  <si>
    <t>Multicountry: ADM Capital [Elkhorn] Emerging Asia Renewable Energy Fund</t>
  </si>
  <si>
    <t>Turkey: Akbank COVID-19 Crisis Recovery Facility</t>
  </si>
  <si>
    <t>Uzbekistan: National Bank for Foreign Economic Activity of the Republic of Uzbekistan COVID-19 Credit Line Project</t>
  </si>
  <si>
    <t>Pakistan: Khyber Pakhtunkhwa Cities Improvement Project</t>
  </si>
  <si>
    <t>China: Guangxi Chongzuo Border Connectivity Improvement Project</t>
  </si>
  <si>
    <t>India: Delhi-Meerut Regional Rapid Transit System</t>
  </si>
  <si>
    <t>Bangladesh: Rural Water, Sanitation and Hygiene for Human Capital Development Project</t>
  </si>
  <si>
    <t>Russian Federation</t>
  </si>
  <si>
    <t>Russian Federation: Russian Railways COVID-19 Emergency Response Project</t>
  </si>
  <si>
    <t>Multicountry: Lightsmith Climate Resilience Partners</t>
  </si>
  <si>
    <t>China: Legend Capital Healthcare Technology Fund</t>
  </si>
  <si>
    <t>Lao PDR</t>
  </si>
  <si>
    <t>Lao PDR: Climate Resilience Improvement of National Road 13 South Project (Section 3)</t>
  </si>
  <si>
    <t>Indonesia: Multifunctional Satellite PPP Project</t>
  </si>
  <si>
    <t>India: HDFC Line of Credit for Affordable Housing</t>
  </si>
  <si>
    <t>Maldives: Greater Malé Waste-to-Energy Project</t>
  </si>
  <si>
    <t>Bangladesh: COVID-19 Emergency Response and Pandemic Preparedness Project</t>
  </si>
  <si>
    <t>Turkey: COVID-19 Medical Emergency Response (MER) Project</t>
  </si>
  <si>
    <t>Uzbekistan: Healthcare Emergency Response Project</t>
  </si>
  <si>
    <t>Kyrgyz Republic</t>
  </si>
  <si>
    <t>Kyrgyz Republic: Kyrgyz Emergency Support for Private and Financial Sector Project</t>
  </si>
  <si>
    <t>Fiji</t>
  </si>
  <si>
    <t>Fiji: Sustained Private Sector-Led Growth Reform Program</t>
  </si>
  <si>
    <t>Viet Nam</t>
  </si>
  <si>
    <t>Viet Nam: VP Bank COVID-19 Response Facility</t>
  </si>
  <si>
    <t>Georgia: Economic Management and Competitiveness Program: COVID-19 Crisis Mitigation</t>
  </si>
  <si>
    <t>Turkey: Izmir Metro Expansion Phase 4: Fahrettin Altay – Narlidere Line Project</t>
  </si>
  <si>
    <t>Pakistan: Resilient Institutions for Sustainable Economy (RISE) Program</t>
  </si>
  <si>
    <t>Turkey: COVID-19 Credit Line Project</t>
  </si>
  <si>
    <t>Kazakhstan</t>
  </si>
  <si>
    <t>Kazakhstan: COVID-19 Active Response and Expenditure Support (CARES) Program</t>
  </si>
  <si>
    <t>Maldives: COVID-19 Emergency Response and Health Systems Preparedness Project</t>
  </si>
  <si>
    <t>Indonesia: Emergency Response to COVID-19 Program</t>
  </si>
  <si>
    <t>Uzbekistan: Bukhara Road Network Improvement Project (Phase 1)</t>
  </si>
  <si>
    <t>Pakistan: COVID-19 Active Response and Expenditure Support (CARES) Program</t>
  </si>
  <si>
    <t>India: COVID-19 Active Response and Expenditure Support (CARES)</t>
  </si>
  <si>
    <t>Mongolia: COVID-19 Rapid Response Program</t>
  </si>
  <si>
    <t>Philippines: COVID-19 Active Response and Expenditure Support (CARES) Program</t>
  </si>
  <si>
    <t>Georgia: Emergency COVID-19 Response Project</t>
  </si>
  <si>
    <t>Bangladesh: COVID-19 Active Response and Expenditure Support (CARES) Program</t>
  </si>
  <si>
    <t>Indonesia: COVID-19 Active Response and Expenditure Support Program</t>
  </si>
  <si>
    <t>India: COVID-19 Emergency Response and Health Systems Preparedness Project</t>
  </si>
  <si>
    <t>Bangladesh: Dhaka Sanitation Improvement</t>
  </si>
  <si>
    <t>Multicountry: Keppel Asia Infrastructure Fund</t>
  </si>
  <si>
    <t>China: Emergency Assistance to China Public Health Infrastructure Project</t>
  </si>
  <si>
    <t>Uzbekistan: Bukhara Region Water Supply and Sewerage (BRWSSP)</t>
  </si>
  <si>
    <t>Bangladesh: Sylhet to Tamabil Road Upgrade Project</t>
  </si>
  <si>
    <t>Oman</t>
  </si>
  <si>
    <t>Oman: Ibri II 500MW Solar PV Independent Power Plant Project</t>
  </si>
  <si>
    <t>Bangladesh: Dhaka and West Zone Transmission Grid Expansion Project</t>
  </si>
  <si>
    <t>Turkey: Halkali-Cerkezkoy Rail Project</t>
  </si>
  <si>
    <t>Uzbekistan: Karakalpakstan and Khorezm Water Supply and Sanitation Project</t>
  </si>
  <si>
    <t>Thailand</t>
  </si>
  <si>
    <t>Thailand: COVID-19 Active Response and Expenditure Support Program</t>
  </si>
  <si>
    <t>India: Haryana Orbital Rail Corridor Project</t>
  </si>
  <si>
    <t>India: Maharashtra Multi-Modal Corridor Package III Project</t>
  </si>
  <si>
    <t>Pakistan: Balakot Hydropower Development Project</t>
  </si>
  <si>
    <t>Bangladesh: Hatikumrul-Bonpara-Jhenaidah Phase I Road Improvement Project</t>
  </si>
  <si>
    <t>India: Chennai Metro Rail Phase 2 Project – Balance Corridor 5</t>
  </si>
  <si>
    <t>Uzbekistan: Bukhara-Miskin-Urgench-Khiva Railway Electrification Project</t>
  </si>
  <si>
    <t>India: Mumbai Metro Line 5</t>
  </si>
  <si>
    <t>India: Mumbai Urban Transport Project 3A-1</t>
  </si>
  <si>
    <t>India: Chennai Peripheral Ring Road (Sections 2 and 3)</t>
  </si>
  <si>
    <t>Bangladesh: IDCOL Multi-Sector On-Lending Facility</t>
  </si>
  <si>
    <t>Bangladesh: Municipal Water Supply and Sanitation Project</t>
  </si>
  <si>
    <t>Bangladesh: Power System Upgrade and Expansion</t>
  </si>
  <si>
    <t>Cambodia: Fiber Optic Communication Network Project</t>
  </si>
  <si>
    <t>China: Beijing-Tianjin-Hebei Low Carbon Energy Transition and Air Quality Improvement Project</t>
  </si>
  <si>
    <t>Egypt: National Bank of Egypt On-Lending Facility for Infrastructure</t>
  </si>
  <si>
    <t>India: L&amp;T- Sustainable Infrastructure on-lending Facility</t>
  </si>
  <si>
    <t>India: Mumbai Urban Transport Project - Phase III (MUTP)</t>
  </si>
  <si>
    <t>India: Rajasthan 250 MW Solar Project–Hero Future Energies</t>
  </si>
  <si>
    <t>India: Tata Cleantech Sustainable Infrastructure On-Lending Facility</t>
  </si>
  <si>
    <t>India: West Bengal Major Irrigation and Flood Management</t>
  </si>
  <si>
    <t>Kazakhstan: Zhanatas 100 MW Wind Power Plant</t>
  </si>
  <si>
    <t>Lao People’s Democratic Republic: National Road 13 Improvement and Maintenance Project</t>
  </si>
  <si>
    <t>Multicountry: Asia Climate Bond Portfolio</t>
  </si>
  <si>
    <t>Multicountry: Asia Investment Limited Partnership Fund (Previously: Asia Investment Fund)</t>
  </si>
  <si>
    <t>Multicountry: CITIC Capital Pan Eurasia Fund</t>
  </si>
  <si>
    <t>Multicountry: SUSI Asia Energy Transition Fund</t>
  </si>
  <si>
    <t>Nepal</t>
  </si>
  <si>
    <t>Nepal: Power Distribution System Upgrade and Expansion Project</t>
  </si>
  <si>
    <t>Nepal: Upper Trishuli-1 Hydropower Project</t>
  </si>
  <si>
    <t>Pakistan: Karachi Bus Rapid Transit</t>
  </si>
  <si>
    <t>Pakistan: Karachi Water and Sewerage Services Improvement</t>
  </si>
  <si>
    <t>Russian Federation: Infrastructure Development Program (Previously: Russian Federation Transport Sector Investment Loan)</t>
  </si>
  <si>
    <t>Singapore: Infrastructure Private Capital Mobilization Platform</t>
  </si>
  <si>
    <t>Sri Lanka: Reduction of Landslide Vulnerability by Mitigation Measures (RLVMM) Project</t>
  </si>
  <si>
    <t>Sri Lanka: Support to Colombo Urban Regeneration Project</t>
  </si>
  <si>
    <t>Turkey: Efeler 97.6MWE Geothermal Power Plant Expansion Project</t>
  </si>
  <si>
    <t>Turkey: Istanbul Seismic Risk Mitigation and Emergency Preparedness Project</t>
  </si>
  <si>
    <t>Turkey: TKYB Renewable Energy and Energy Efficiency On-Lending Facility</t>
  </si>
  <si>
    <t>Rural Infrastructure and Agriculture Development</t>
  </si>
  <si>
    <t>Uzbekistan: Rural Infrastructure Development Project (Previously: Prosperous Villages Project)</t>
  </si>
  <si>
    <t>Bangladesh: Ultra-high Voltage Transmission line Madunaghat-Bhulta and Sustainable Electricity Access Project</t>
  </si>
  <si>
    <t>Belarus: Rehabilitation and Upgrading of National Road R46</t>
  </si>
  <si>
    <t>India: Assam Electricity Distribution System Enhancement Project</t>
  </si>
  <si>
    <t>India: Chennai Metro Rail Phase 2 Project - Corridor 4</t>
  </si>
  <si>
    <t>India: Karnataka Rural Water Supply Project (KRWSP)</t>
  </si>
  <si>
    <t>India: Nangal Chaudhary Integrated Multi-Modal Logistics Hub (IMLH) Project</t>
  </si>
  <si>
    <t>Nepal: Nepal Urban Governance and Infrastructure Project</t>
  </si>
  <si>
    <t>Tajikistan</t>
  </si>
  <si>
    <t>Tajikistan: Obigarm-Nurobod Road Project–Long Bridge and Approach Roads</t>
  </si>
  <si>
    <t>Uzbekistan: Bukhara Region Water Supply and Sewerage Phase II (BRWSSP II)</t>
  </si>
  <si>
    <t>Bangladesh: Bangladesh Bhola IPP</t>
  </si>
  <si>
    <t>Egypt: Sustainable Rural Sanitation Services Program, Phase-2</t>
  </si>
  <si>
    <t>India: Andhra Pradesh Rural Roads</t>
  </si>
  <si>
    <t>India: Andhra Pradesh Urban Water Supply and Septage Management Improvement</t>
  </si>
  <si>
    <t>India: Madhya Pradesh Rural Connectivity</t>
  </si>
  <si>
    <t>India: National Investment and Infrastructure Fund Phase I</t>
  </si>
  <si>
    <t>Indonesia: Mandalika Urban and Tourism Infrastructure</t>
  </si>
  <si>
    <t>Indonesia: Strategic Irrigation Modernization and Urgent Rehabilitation Project</t>
  </si>
  <si>
    <t>Multicountry: AIIB Asia ESG Enhanced Credit Managed Portfolio</t>
  </si>
  <si>
    <t>Turkey: TSKB Sustainable Energy and Infrastructure On-lending Facility</t>
  </si>
  <si>
    <t>Turkey: Tuz Golu Turkey Gas Storage Expansion Project</t>
  </si>
  <si>
    <t>India: OSE InvIT</t>
  </si>
  <si>
    <t>Nepal: Tamakoshi V Hydroelectric Project (TV-HEP)</t>
  </si>
  <si>
    <t>Pakistan: Lahore Water and Wastewater Management</t>
  </si>
  <si>
    <t>Sri Lanka: Anuradhapura Wastewater Management</t>
  </si>
  <si>
    <t>Bangladesh: Natural Gas Infrastructure and Efficiency Improvement</t>
  </si>
  <si>
    <t>China: Beijing Air Quality Improvement and Coal Replacement</t>
  </si>
  <si>
    <t>Egypt: Egypt Round II Solar PV Feed-in Tariffs Program</t>
  </si>
  <si>
    <t>Georgia: Batumi Bypass Road</t>
  </si>
  <si>
    <t>India: Andhra Pradesh 24x7 – Power For All</t>
  </si>
  <si>
    <t>India: Bangalore Metro Rail Project - Line R6</t>
  </si>
  <si>
    <t>India: Gujarat Rural Roads (MMGSY)</t>
  </si>
  <si>
    <t>India: Transmission System Strengthening (Tamil Nadu)</t>
  </si>
  <si>
    <t>Indonesia: Dam Operational Improvement and Safety Project Phase II</t>
  </si>
  <si>
    <t>Indonesia: Regional Infrastructure Development Fund</t>
  </si>
  <si>
    <t>Multicountry: International Finance Corporation Emerging Asia Fund</t>
  </si>
  <si>
    <t>Oman: Oman Broadband Infrastructure</t>
  </si>
  <si>
    <t>Philippines: Metro Manila Flood Management</t>
  </si>
  <si>
    <t>Tajikistan: Nurek Hydropower Rehabilitation, Phase I</t>
  </si>
  <si>
    <t>India: North Haven India Infrastructure Fund (Previously: India Infrastructure Fund)</t>
  </si>
  <si>
    <t>Georgia: 280 MW Nenskra Hydropower Plant</t>
  </si>
  <si>
    <t>Nepal: Urban Infrastructure Investment Project</t>
  </si>
  <si>
    <t>Azerbaijan: Trans Anatolian Natural Gas Pipeline Project (TANAP)</t>
  </si>
  <si>
    <t>Bangladesh: Distribution System Upgrade and Expansion</t>
  </si>
  <si>
    <t>Indonesia: National Slum Upgrading Project</t>
  </si>
  <si>
    <t>Myanmar</t>
  </si>
  <si>
    <t>Myanmar: Myingyan 225 MW Combined Cycle Gas Turbine (CCGT) Power Plant Project</t>
  </si>
  <si>
    <t>Oman: Duqm Port Commercial Terminal and Operational Zone Development</t>
  </si>
  <si>
    <t>Pakistan: National Motorway M-4 (Shorkot-Khanewal Section)</t>
  </si>
  <si>
    <t>Pakistan: Tarbela 5 Hydropower Extension</t>
  </si>
  <si>
    <t>Tajikistan: Dushanbe-Uzbekistan Border Road Improvement</t>
  </si>
  <si>
    <t>Total Financing Amount</t>
  </si>
  <si>
    <t>Total Approved Amount</t>
  </si>
  <si>
    <t>Total Proposed Amount</t>
  </si>
  <si>
    <t>Total Public Health Financed Amount</t>
  </si>
  <si>
    <t>Sum of FINANCING AMOUNT</t>
  </si>
  <si>
    <t>Total Approved Projects</t>
  </si>
  <si>
    <t>Total Currently Proposed Projects</t>
  </si>
  <si>
    <t>Sector/Year</t>
  </si>
  <si>
    <t>Sum</t>
  </si>
  <si>
    <t>YEAR</t>
  </si>
  <si>
    <t>COVIED-RELATED</t>
  </si>
  <si>
    <t>No</t>
  </si>
  <si>
    <t>Yes</t>
  </si>
  <si>
    <t>Unknown</t>
  </si>
  <si>
    <t>Total COVID-19-Related Projects</t>
  </si>
  <si>
    <t>Total Approved COVID-19-Related Projects</t>
  </si>
  <si>
    <t>Total Proposed COVID-19-Related Projects</t>
  </si>
  <si>
    <t>Total Projects</t>
  </si>
  <si>
    <t>COVID-19 Related Projects</t>
  </si>
  <si>
    <t>Year</t>
  </si>
  <si>
    <t>Number of COVID-19 Related Projects</t>
  </si>
  <si>
    <t>Number of Projects</t>
  </si>
  <si>
    <t>Overall Projects</t>
  </si>
  <si>
    <t>Overall Amount</t>
  </si>
  <si>
    <t>Number Percentage</t>
  </si>
  <si>
    <t>Amount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</si>
</sst>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AIIB's Annual Financing (2016-June 2021)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Projects'!$B$132:$G$132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Projects'!$B$133:$G$133</c:f>
              <c:numCache>
                <c:formatCode>General</c:formatCode>
                <c:ptCount val="6"/>
                <c:pt idx="0">
                  <c:v>1694</c:v>
                </c:pt>
                <c:pt idx="1">
                  <c:v>2502.6999999999998</c:v>
                </c:pt>
                <c:pt idx="2">
                  <c:v>3303.4</c:v>
                </c:pt>
                <c:pt idx="3">
                  <c:v>4546.8099999999995</c:v>
                </c:pt>
                <c:pt idx="4">
                  <c:v>9980.5000000000018</c:v>
                </c:pt>
                <c:pt idx="5">
                  <c:v>3000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64201368"/>
        <c:axId val="664205288"/>
      </c:barChart>
      <c:catAx>
        <c:axId val="66420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205288"/>
        <c:crosses val="autoZero"/>
        <c:auto val="0"/>
        <c:lblAlgn val="ctr"/>
        <c:lblOffset val="100"/>
        <c:noMultiLvlLbl val="0"/>
      </c:catAx>
      <c:valAx>
        <c:axId val="66420528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Financing Amount in millions of dollars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664201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AIIB's Financing by Sector and Year (2016-June</a:t>
            </a:r>
            <a:r>
              <a:rPr lang="en-US" baseline="0"/>
              <a:t> 2021)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17085285969348E-2"/>
          <c:y val="0.11239817716960138"/>
          <c:w val="0.83906824146981629"/>
          <c:h val="0.490842873874354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'Approved Projects'!$B$137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'Approved Projects'!$A$138:$A$149</c:f>
              <c:strCache>
                <c:ptCount val="12"/>
                <c:pt idx="0">
                  <c:v>Economic Resilience / PBF</c:v>
                </c:pt>
                <c:pt idx="1">
                  <c:v>Education</c:v>
                </c:pt>
                <c:pt idx="2">
                  <c:v>Energy</c:v>
                </c:pt>
                <c:pt idx="3">
                  <c:v>Finance / Liquidity</c:v>
                </c:pt>
                <c:pt idx="4">
                  <c:v>Financial Institution</c:v>
                </c:pt>
                <c:pt idx="5">
                  <c:v>ICT</c:v>
                </c:pt>
                <c:pt idx="6">
                  <c:v>Other</c:v>
                </c:pt>
                <c:pt idx="7">
                  <c:v>Public Health</c:v>
                </c:pt>
                <c:pt idx="8">
                  <c:v>Rural Infrastructure and Agriculture Development</c:v>
                </c:pt>
                <c:pt idx="9">
                  <c:v>Transport</c:v>
                </c:pt>
                <c:pt idx="10">
                  <c:v>Urban</c:v>
                </c:pt>
                <c:pt idx="11">
                  <c:v>Water</c:v>
                </c:pt>
              </c:strCache>
            </c:strRef>
          </c:cat>
          <c:val>
            <c:numRef>
              <c:f>'Approved Projects'!$B$138:$B$149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392.5</c:v>
                </c:pt>
                <c:pt idx="10">
                  <c:v>216.5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'Approved Projects'!$C$137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'Approved Projects'!$A$138:$A$149</c:f>
              <c:strCache>
                <c:ptCount val="12"/>
                <c:pt idx="0">
                  <c:v>Economic Resilience / PBF</c:v>
                </c:pt>
                <c:pt idx="1">
                  <c:v>Education</c:v>
                </c:pt>
                <c:pt idx="2">
                  <c:v>Energy</c:v>
                </c:pt>
                <c:pt idx="3">
                  <c:v>Finance / Liquidity</c:v>
                </c:pt>
                <c:pt idx="4">
                  <c:v>Financial Institution</c:v>
                </c:pt>
                <c:pt idx="5">
                  <c:v>ICT</c:v>
                </c:pt>
                <c:pt idx="6">
                  <c:v>Other</c:v>
                </c:pt>
                <c:pt idx="7">
                  <c:v>Public Health</c:v>
                </c:pt>
                <c:pt idx="8">
                  <c:v>Rural Infrastructure and Agriculture Development</c:v>
                </c:pt>
                <c:pt idx="9">
                  <c:v>Transport</c:v>
                </c:pt>
                <c:pt idx="10">
                  <c:v>Urban</c:v>
                </c:pt>
                <c:pt idx="11">
                  <c:v>Water</c:v>
                </c:pt>
              </c:strCache>
            </c:strRef>
          </c:cat>
          <c:val>
            <c:numRef>
              <c:f>'Approved Projects'!$C$138:$C$149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840</c:v>
                </c:pt>
                <c:pt idx="3">
                  <c:v>0</c:v>
                </c:pt>
                <c:pt idx="4">
                  <c:v>300</c:v>
                </c:pt>
                <c:pt idx="5">
                  <c:v>152.1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778</c:v>
                </c:pt>
                <c:pt idx="10">
                  <c:v>100</c:v>
                </c:pt>
                <c:pt idx="11">
                  <c:v>332.6</c:v>
                </c:pt>
              </c:numCache>
            </c:numRef>
          </c:val>
        </c:ser>
        <c:ser>
          <c:idx val="2"/>
          <c:order val="2"/>
          <c:tx>
            <c:strRef>
              <c:f>'Approved Projects'!$D$137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'Approved Projects'!$A$138:$A$149</c:f>
              <c:strCache>
                <c:ptCount val="12"/>
                <c:pt idx="0">
                  <c:v>Economic Resilience / PBF</c:v>
                </c:pt>
                <c:pt idx="1">
                  <c:v>Education</c:v>
                </c:pt>
                <c:pt idx="2">
                  <c:v>Energy</c:v>
                </c:pt>
                <c:pt idx="3">
                  <c:v>Finance / Liquidity</c:v>
                </c:pt>
                <c:pt idx="4">
                  <c:v>Financial Institution</c:v>
                </c:pt>
                <c:pt idx="5">
                  <c:v>ICT</c:v>
                </c:pt>
                <c:pt idx="6">
                  <c:v>Other</c:v>
                </c:pt>
                <c:pt idx="7">
                  <c:v>Public Health</c:v>
                </c:pt>
                <c:pt idx="8">
                  <c:v>Rural Infrastructure and Agriculture Development</c:v>
                </c:pt>
                <c:pt idx="9">
                  <c:v>Transport</c:v>
                </c:pt>
                <c:pt idx="10">
                  <c:v>Urban</c:v>
                </c:pt>
                <c:pt idx="11">
                  <c:v>Water</c:v>
                </c:pt>
              </c:strCache>
            </c:strRef>
          </c:cat>
          <c:val>
            <c:numRef>
              <c:f>'Approved Projects'!$D$138:$D$149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660</c:v>
                </c:pt>
                <c:pt idx="3">
                  <c:v>0</c:v>
                </c:pt>
                <c:pt idx="4">
                  <c:v>800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645</c:v>
                </c:pt>
                <c:pt idx="10">
                  <c:v>248.4</c:v>
                </c:pt>
                <c:pt idx="11">
                  <c:v>950</c:v>
                </c:pt>
              </c:numCache>
            </c:numRef>
          </c:val>
        </c:ser>
        <c:ser>
          <c:idx val="3"/>
          <c:order val="3"/>
          <c:tx>
            <c:strRef>
              <c:f>'Approved Projects'!$E$137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'Approved Projects'!$A$138:$A$149</c:f>
              <c:strCache>
                <c:ptCount val="12"/>
                <c:pt idx="0">
                  <c:v>Economic Resilience / PBF</c:v>
                </c:pt>
                <c:pt idx="1">
                  <c:v>Education</c:v>
                </c:pt>
                <c:pt idx="2">
                  <c:v>Energy</c:v>
                </c:pt>
                <c:pt idx="3">
                  <c:v>Finance / Liquidity</c:v>
                </c:pt>
                <c:pt idx="4">
                  <c:v>Financial Institution</c:v>
                </c:pt>
                <c:pt idx="5">
                  <c:v>ICT</c:v>
                </c:pt>
                <c:pt idx="6">
                  <c:v>Other</c:v>
                </c:pt>
                <c:pt idx="7">
                  <c:v>Public Health</c:v>
                </c:pt>
                <c:pt idx="8">
                  <c:v>Rural Infrastructure and Agriculture Development</c:v>
                </c:pt>
                <c:pt idx="9">
                  <c:v>Transport</c:v>
                </c:pt>
                <c:pt idx="10">
                  <c:v>Urban</c:v>
                </c:pt>
                <c:pt idx="11">
                  <c:v>Water</c:v>
                </c:pt>
              </c:strCache>
            </c:strRef>
          </c:cat>
          <c:val>
            <c:numRef>
              <c:f>'Approved Projects'!$E$138:$E$149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1034</c:v>
                </c:pt>
                <c:pt idx="3">
                  <c:v>0</c:v>
                </c:pt>
                <c:pt idx="4">
                  <c:v>1379</c:v>
                </c:pt>
                <c:pt idx="5">
                  <c:v>75</c:v>
                </c:pt>
                <c:pt idx="6">
                  <c:v>80</c:v>
                </c:pt>
                <c:pt idx="7">
                  <c:v>0</c:v>
                </c:pt>
                <c:pt idx="8">
                  <c:v>82</c:v>
                </c:pt>
                <c:pt idx="9">
                  <c:v>1111.81</c:v>
                </c:pt>
                <c:pt idx="10">
                  <c:v>500</c:v>
                </c:pt>
                <c:pt idx="11">
                  <c:v>285</c:v>
                </c:pt>
              </c:numCache>
            </c:numRef>
          </c:val>
        </c:ser>
        <c:ser>
          <c:idx val="4"/>
          <c:order val="4"/>
          <c:tx>
            <c:strRef>
              <c:f>'Approved Projects'!$F$137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'Approved Projects'!$A$138:$A$149</c:f>
              <c:strCache>
                <c:ptCount val="12"/>
                <c:pt idx="0">
                  <c:v>Economic Resilience / PBF</c:v>
                </c:pt>
                <c:pt idx="1">
                  <c:v>Education</c:v>
                </c:pt>
                <c:pt idx="2">
                  <c:v>Energy</c:v>
                </c:pt>
                <c:pt idx="3">
                  <c:v>Finance / Liquidity</c:v>
                </c:pt>
                <c:pt idx="4">
                  <c:v>Financial Institution</c:v>
                </c:pt>
                <c:pt idx="5">
                  <c:v>ICT</c:v>
                </c:pt>
                <c:pt idx="6">
                  <c:v>Other</c:v>
                </c:pt>
                <c:pt idx="7">
                  <c:v>Public Health</c:v>
                </c:pt>
                <c:pt idx="8">
                  <c:v>Rural Infrastructure and Agriculture Development</c:v>
                </c:pt>
                <c:pt idx="9">
                  <c:v>Transport</c:v>
                </c:pt>
                <c:pt idx="10">
                  <c:v>Urban</c:v>
                </c:pt>
                <c:pt idx="11">
                  <c:v>Water</c:v>
                </c:pt>
              </c:strCache>
            </c:strRef>
          </c:cat>
          <c:val>
            <c:numRef>
              <c:f>'Approved Projects'!$F$138:$F$149</c:f>
              <c:numCache>
                <c:formatCode>General</c:formatCode>
                <c:ptCount val="12"/>
                <c:pt idx="0">
                  <c:v>4280</c:v>
                </c:pt>
                <c:pt idx="1">
                  <c:v>0</c:v>
                </c:pt>
                <c:pt idx="2">
                  <c:v>295</c:v>
                </c:pt>
                <c:pt idx="3">
                  <c:v>1300</c:v>
                </c:pt>
                <c:pt idx="4">
                  <c:v>480</c:v>
                </c:pt>
                <c:pt idx="5">
                  <c:v>180</c:v>
                </c:pt>
                <c:pt idx="6">
                  <c:v>0</c:v>
                </c:pt>
                <c:pt idx="7">
                  <c:v>1494.9</c:v>
                </c:pt>
                <c:pt idx="8">
                  <c:v>0</c:v>
                </c:pt>
                <c:pt idx="9">
                  <c:v>1155.5</c:v>
                </c:pt>
                <c:pt idx="10">
                  <c:v>40</c:v>
                </c:pt>
                <c:pt idx="11">
                  <c:v>755.1</c:v>
                </c:pt>
              </c:numCache>
            </c:numRef>
          </c:val>
        </c:ser>
        <c:ser>
          <c:idx val="5"/>
          <c:order val="5"/>
          <c:tx>
            <c:strRef>
              <c:f>'Approved Projects'!$G$137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'Approved Projects'!$A$138:$A$149</c:f>
              <c:strCache>
                <c:ptCount val="12"/>
                <c:pt idx="0">
                  <c:v>Economic Resilience / PBF</c:v>
                </c:pt>
                <c:pt idx="1">
                  <c:v>Education</c:v>
                </c:pt>
                <c:pt idx="2">
                  <c:v>Energy</c:v>
                </c:pt>
                <c:pt idx="3">
                  <c:v>Finance / Liquidity</c:v>
                </c:pt>
                <c:pt idx="4">
                  <c:v>Financial Institution</c:v>
                </c:pt>
                <c:pt idx="5">
                  <c:v>ICT</c:v>
                </c:pt>
                <c:pt idx="6">
                  <c:v>Other</c:v>
                </c:pt>
                <c:pt idx="7">
                  <c:v>Public Health</c:v>
                </c:pt>
                <c:pt idx="8">
                  <c:v>Rural Infrastructure and Agriculture Development</c:v>
                </c:pt>
                <c:pt idx="9">
                  <c:v>Transport</c:v>
                </c:pt>
                <c:pt idx="10">
                  <c:v>Urban</c:v>
                </c:pt>
                <c:pt idx="11">
                  <c:v>Water</c:v>
                </c:pt>
              </c:strCache>
            </c:strRef>
          </c:cat>
          <c:val>
            <c:numRef>
              <c:f>'Approved Projects'!$G$138:$G$149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809</c:v>
                </c:pt>
                <c:pt idx="3">
                  <c:v>830</c:v>
                </c:pt>
                <c:pt idx="4">
                  <c:v>470</c:v>
                </c:pt>
                <c:pt idx="5">
                  <c:v>0</c:v>
                </c:pt>
                <c:pt idx="6">
                  <c:v>0</c:v>
                </c:pt>
                <c:pt idx="7">
                  <c:v>321</c:v>
                </c:pt>
                <c:pt idx="8">
                  <c:v>0</c:v>
                </c:pt>
                <c:pt idx="9">
                  <c:v>260</c:v>
                </c:pt>
                <c:pt idx="10">
                  <c:v>310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92699664"/>
        <c:axId val="792700840"/>
        <c:axId val="0"/>
      </c:bar3DChart>
      <c:catAx>
        <c:axId val="7926996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700840"/>
        <c:crosses val="autoZero"/>
        <c:auto val="1"/>
        <c:lblAlgn val="ctr"/>
        <c:lblOffset val="100"/>
        <c:noMultiLvlLbl val="0"/>
      </c:catAx>
      <c:valAx>
        <c:axId val="7927008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69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60320673082008"/>
          <c:y val="0.85470572246430365"/>
          <c:w val="0.33663386120622069"/>
          <c:h val="8.596310169966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AIIB's annual</a:t>
            </a:r>
            <a:r>
              <a:rPr lang="en-US" baseline="0">
                <a:solidFill>
                  <a:sysClr val="windowText" lastClr="000000"/>
                </a:solidFill>
              </a:rPr>
              <a:t> financing by sector (2016 - June 2021 in millions of dollars)</a:t>
            </a:r>
            <a:endParaRPr lang="en-U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670583706209414E-2"/>
          <c:y val="9.4637494637494657E-2"/>
          <c:w val="0.92812701093870065"/>
          <c:h val="0.846152123122104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'Approved Projects'!$A$138</c:f>
              <c:strCache>
                <c:ptCount val="1"/>
                <c:pt idx="0">
                  <c:v>Economic Resilience / PBF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Projects'!$B$138:$G$138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4280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'Approved Projects'!$A$139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Projects'!$B$139:$G$139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'Approved Projects'!$A$140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Projects'!$B$140:$G$140</c:f>
              <c:numCache>
                <c:formatCode>General</c:formatCode>
                <c:ptCount val="6"/>
                <c:pt idx="0">
                  <c:v>1085</c:v>
                </c:pt>
                <c:pt idx="1">
                  <c:v>840</c:v>
                </c:pt>
                <c:pt idx="2">
                  <c:v>660</c:v>
                </c:pt>
                <c:pt idx="3">
                  <c:v>1034</c:v>
                </c:pt>
                <c:pt idx="4">
                  <c:v>295</c:v>
                </c:pt>
                <c:pt idx="5">
                  <c:v>809</c:v>
                </c:pt>
              </c:numCache>
            </c:numRef>
          </c:val>
        </c:ser>
        <c:ser>
          <c:idx val="3"/>
          <c:order val="3"/>
          <c:tx>
            <c:strRef>
              <c:f>'Approved Projects'!$A$141</c:f>
              <c:strCache>
                <c:ptCount val="1"/>
                <c:pt idx="0">
                  <c:v>Finance / Liquidity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Projects'!$B$141:$G$141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1300</c:v>
                </c:pt>
                <c:pt idx="5">
                  <c:v>830</c:v>
                </c:pt>
              </c:numCache>
            </c:numRef>
          </c:val>
        </c:ser>
        <c:ser>
          <c:idx val="4"/>
          <c:order val="4"/>
          <c:tx>
            <c:strRef>
              <c:f>'Approved Projects'!$A$142</c:f>
              <c:strCache>
                <c:ptCount val="1"/>
                <c:pt idx="0">
                  <c:v>Financial Institution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Projects'!$B$142:$G$142</c:f>
              <c:numCache>
                <c:formatCode>General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800</c:v>
                </c:pt>
                <c:pt idx="3">
                  <c:v>1379</c:v>
                </c:pt>
                <c:pt idx="4">
                  <c:v>480</c:v>
                </c:pt>
                <c:pt idx="5">
                  <c:v>470</c:v>
                </c:pt>
              </c:numCache>
            </c:numRef>
          </c:val>
        </c:ser>
        <c:ser>
          <c:idx val="5"/>
          <c:order val="5"/>
          <c:tx>
            <c:strRef>
              <c:f>'Approved Projects'!$A$143</c:f>
              <c:strCache>
                <c:ptCount val="1"/>
                <c:pt idx="0">
                  <c:v>ICT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Projects'!$B$143:$G$143</c:f>
              <c:numCache>
                <c:formatCode>General</c:formatCode>
                <c:ptCount val="6"/>
                <c:pt idx="0">
                  <c:v>0</c:v>
                </c:pt>
                <c:pt idx="1">
                  <c:v>152.1</c:v>
                </c:pt>
                <c:pt idx="2">
                  <c:v>0</c:v>
                </c:pt>
                <c:pt idx="3">
                  <c:v>75</c:v>
                </c:pt>
                <c:pt idx="4">
                  <c:v>180</c:v>
                </c:pt>
                <c:pt idx="5">
                  <c:v>0</c:v>
                </c:pt>
              </c:numCache>
            </c:numRef>
          </c:val>
        </c:ser>
        <c:ser>
          <c:idx val="6"/>
          <c:order val="6"/>
          <c:tx>
            <c:strRef>
              <c:f>'Approved Projects'!$A$144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Projects'!$B$144:$G$144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7"/>
          <c:order val="7"/>
          <c:tx>
            <c:strRef>
              <c:f>'Approved Projects'!$A$145</c:f>
              <c:strCache>
                <c:ptCount val="1"/>
                <c:pt idx="0">
                  <c:v>Public Health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Projects'!$B$145:$G$145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1494.9</c:v>
                </c:pt>
                <c:pt idx="5">
                  <c:v>321</c:v>
                </c:pt>
              </c:numCache>
            </c:numRef>
          </c:val>
        </c:ser>
        <c:ser>
          <c:idx val="8"/>
          <c:order val="8"/>
          <c:tx>
            <c:strRef>
              <c:f>'Approved Projects'!$A$146</c:f>
              <c:strCache>
                <c:ptCount val="1"/>
                <c:pt idx="0">
                  <c:v>Rural Infrastructure and Agriculture Development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Projects'!$B$146:$G$146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9"/>
          <c:order val="9"/>
          <c:tx>
            <c:strRef>
              <c:f>'Approved Projects'!$A$147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Projects'!$B$147:$G$147</c:f>
              <c:numCache>
                <c:formatCode>General</c:formatCode>
                <c:ptCount val="6"/>
                <c:pt idx="0">
                  <c:v>392.5</c:v>
                </c:pt>
                <c:pt idx="1">
                  <c:v>778</c:v>
                </c:pt>
                <c:pt idx="2">
                  <c:v>645</c:v>
                </c:pt>
                <c:pt idx="3">
                  <c:v>1111.81</c:v>
                </c:pt>
                <c:pt idx="4">
                  <c:v>1155.5</c:v>
                </c:pt>
                <c:pt idx="5">
                  <c:v>260</c:v>
                </c:pt>
              </c:numCache>
            </c:numRef>
          </c:val>
        </c:ser>
        <c:ser>
          <c:idx val="10"/>
          <c:order val="10"/>
          <c:tx>
            <c:strRef>
              <c:f>'Approved Projects'!$A$148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Projects'!$B$148:$G$148</c:f>
              <c:numCache>
                <c:formatCode>General</c:formatCode>
                <c:ptCount val="6"/>
                <c:pt idx="0">
                  <c:v>216.5</c:v>
                </c:pt>
                <c:pt idx="1">
                  <c:v>100</c:v>
                </c:pt>
                <c:pt idx="2">
                  <c:v>248.4</c:v>
                </c:pt>
                <c:pt idx="3">
                  <c:v>500</c:v>
                </c:pt>
                <c:pt idx="4">
                  <c:v>40</c:v>
                </c:pt>
                <c:pt idx="5">
                  <c:v>310</c:v>
                </c:pt>
              </c:numCache>
            </c:numRef>
          </c:val>
        </c:ser>
        <c:ser>
          <c:idx val="11"/>
          <c:order val="11"/>
          <c:tx>
            <c:strRef>
              <c:f>'Approved Projects'!$A$149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'Approved Projects'!$B$137:$G$137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'Approved Projects'!$B$149:$G$149</c:f>
              <c:numCache>
                <c:formatCode>General</c:formatCode>
                <c:ptCount val="6"/>
                <c:pt idx="0">
                  <c:v>0</c:v>
                </c:pt>
                <c:pt idx="1">
                  <c:v>332.6</c:v>
                </c:pt>
                <c:pt idx="2">
                  <c:v>950</c:v>
                </c:pt>
                <c:pt idx="3">
                  <c:v>285</c:v>
                </c:pt>
                <c:pt idx="4">
                  <c:v>755.1</c:v>
                </c:pt>
                <c:pt idx="5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7775376"/>
        <c:axId val="7779688"/>
      </c:barChart>
      <c:catAx>
        <c:axId val="777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9688"/>
        <c:crosses val="autoZero"/>
        <c:auto val="1"/>
        <c:lblAlgn val="ctr"/>
        <c:lblOffset val="100"/>
        <c:noMultiLvlLbl val="0"/>
      </c:catAx>
      <c:valAx>
        <c:axId val="7779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7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9532416583693932E-2"/>
          <c:y val="0.13836428289213751"/>
          <c:w val="0.60702606116114544"/>
          <c:h val="0.374029955066363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AIIB's Approved Loans by Country (in millions of dollars; 2016-June 2021)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'Approved Projects'!$I$1:$AJ$1</c:f>
              <c:strCache>
                <c:ptCount val="28"/>
                <c:pt idx="0">
                  <c:v>Mongolia</c:v>
                </c:pt>
                <c:pt idx="1">
                  <c:v>Uzbekistan</c:v>
                </c:pt>
                <c:pt idx="2">
                  <c:v>Multicountry</c:v>
                </c:pt>
                <c:pt idx="3">
                  <c:v>Singapore</c:v>
                </c:pt>
                <c:pt idx="4">
                  <c:v>India</c:v>
                </c:pt>
                <c:pt idx="5">
                  <c:v>Turkey</c:v>
                </c:pt>
                <c:pt idx="6">
                  <c:v>Georgia</c:v>
                </c:pt>
                <c:pt idx="7">
                  <c:v>Philippines</c:v>
                </c:pt>
                <c:pt idx="8">
                  <c:v>Sri Lanka</c:v>
                </c:pt>
                <c:pt idx="9">
                  <c:v>Maldives</c:v>
                </c:pt>
                <c:pt idx="10">
                  <c:v>Bangladesh</c:v>
                </c:pt>
                <c:pt idx="11">
                  <c:v>Indonesia</c:v>
                </c:pt>
                <c:pt idx="12">
                  <c:v>Cook Islands</c:v>
                </c:pt>
                <c:pt idx="13">
                  <c:v>Cambodia</c:v>
                </c:pt>
                <c:pt idx="14">
                  <c:v>Ecuador</c:v>
                </c:pt>
                <c:pt idx="15">
                  <c:v>Russian Federation</c:v>
                </c:pt>
                <c:pt idx="16">
                  <c:v>China</c:v>
                </c:pt>
                <c:pt idx="17">
                  <c:v>Lao PDR</c:v>
                </c:pt>
                <c:pt idx="18">
                  <c:v>Kyrgyz Republic</c:v>
                </c:pt>
                <c:pt idx="19">
                  <c:v>Viet Nam</c:v>
                </c:pt>
                <c:pt idx="20">
                  <c:v>Fiji</c:v>
                </c:pt>
                <c:pt idx="21">
                  <c:v>Pakistan</c:v>
                </c:pt>
                <c:pt idx="22">
                  <c:v>Kazakhstan</c:v>
                </c:pt>
                <c:pt idx="23">
                  <c:v>Oman</c:v>
                </c:pt>
                <c:pt idx="24">
                  <c:v>Egypt</c:v>
                </c:pt>
                <c:pt idx="25">
                  <c:v>Nepal</c:v>
                </c:pt>
                <c:pt idx="26">
                  <c:v>Tajikistan</c:v>
                </c:pt>
                <c:pt idx="27">
                  <c:v>Azerbaijan</c:v>
                </c:pt>
              </c:strCache>
            </c:strRef>
          </c:cat>
          <c:val>
            <c:numRef>
              <c:f>'Approved Projects'!$I$2:$AJ$2</c:f>
              <c:numCache>
                <c:formatCode>General</c:formatCode>
                <c:ptCount val="28"/>
                <c:pt idx="0">
                  <c:v>121</c:v>
                </c:pt>
                <c:pt idx="1">
                  <c:v>1132.5999999999999</c:v>
                </c:pt>
                <c:pt idx="2">
                  <c:v>2120</c:v>
                </c:pt>
                <c:pt idx="3">
                  <c:v>134</c:v>
                </c:pt>
                <c:pt idx="4">
                  <c:v>5678</c:v>
                </c:pt>
                <c:pt idx="5">
                  <c:v>2388.6</c:v>
                </c:pt>
                <c:pt idx="6">
                  <c:v>364</c:v>
                </c:pt>
                <c:pt idx="7">
                  <c:v>1257.5999999999999</c:v>
                </c:pt>
                <c:pt idx="8">
                  <c:v>460</c:v>
                </c:pt>
                <c:pt idx="9">
                  <c:v>67.3</c:v>
                </c:pt>
                <c:pt idx="10">
                  <c:v>2389</c:v>
                </c:pt>
                <c:pt idx="11">
                  <c:v>2399.9</c:v>
                </c:pt>
                <c:pt idx="12">
                  <c:v>20</c:v>
                </c:pt>
                <c:pt idx="13">
                  <c:v>135</c:v>
                </c:pt>
                <c:pt idx="14">
                  <c:v>50</c:v>
                </c:pt>
                <c:pt idx="15">
                  <c:v>800</c:v>
                </c:pt>
                <c:pt idx="16">
                  <c:v>1135</c:v>
                </c:pt>
                <c:pt idx="17">
                  <c:v>70</c:v>
                </c:pt>
                <c:pt idx="18">
                  <c:v>50</c:v>
                </c:pt>
                <c:pt idx="19">
                  <c:v>100</c:v>
                </c:pt>
                <c:pt idx="20">
                  <c:v>50</c:v>
                </c:pt>
                <c:pt idx="21">
                  <c:v>1261.81</c:v>
                </c:pt>
                <c:pt idx="22">
                  <c:v>796.7</c:v>
                </c:pt>
                <c:pt idx="23">
                  <c:v>477.1</c:v>
                </c:pt>
                <c:pt idx="24">
                  <c:v>660</c:v>
                </c:pt>
                <c:pt idx="25">
                  <c:v>202.3</c:v>
                </c:pt>
                <c:pt idx="26">
                  <c:v>87.5</c:v>
                </c:pt>
                <c:pt idx="27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918809920"/>
        <c:axId val="918806784"/>
      </c:barChart>
      <c:catAx>
        <c:axId val="9188099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806784"/>
        <c:crosses val="autoZero"/>
        <c:auto val="1"/>
        <c:lblAlgn val="ctr"/>
        <c:lblOffset val="100"/>
        <c:noMultiLvlLbl val="0"/>
      </c:catAx>
      <c:valAx>
        <c:axId val="91880678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80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[AIIB Projects.xlsx]Financing Amount by Sector!PivotTable15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AIIB's</a:t>
            </a:r>
            <a:r>
              <a:rPr lang="en-US" b="1" baseline="0">
                <a:solidFill>
                  <a:sysClr val="windowText" lastClr="000000"/>
                </a:solidFill>
              </a:rPr>
              <a:t> Financing by Sectors (2016-2021; Proposed and approved in millions of dollars)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'Financing Amount by Sector'!$B$3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'Financing Amount by Sector'!$A$4:$A$15</c:f>
              <c:strCache>
                <c:ptCount val="12"/>
                <c:pt idx="0">
                  <c:v>Economic Resilience / PBF</c:v>
                </c:pt>
                <c:pt idx="1">
                  <c:v>Education</c:v>
                </c:pt>
                <c:pt idx="2">
                  <c:v>Energy</c:v>
                </c:pt>
                <c:pt idx="3">
                  <c:v>Finance / Liquidity</c:v>
                </c:pt>
                <c:pt idx="4">
                  <c:v>Financial Institution</c:v>
                </c:pt>
                <c:pt idx="5">
                  <c:v>ICT</c:v>
                </c:pt>
                <c:pt idx="6">
                  <c:v>Other</c:v>
                </c:pt>
                <c:pt idx="7">
                  <c:v>Public Health</c:v>
                </c:pt>
                <c:pt idx="8">
                  <c:v>Rural Infrastructure and Agriculture Development</c:v>
                </c:pt>
                <c:pt idx="9">
                  <c:v>Transport</c:v>
                </c:pt>
                <c:pt idx="10">
                  <c:v>Urban</c:v>
                </c:pt>
                <c:pt idx="11">
                  <c:v>Water</c:v>
                </c:pt>
              </c:strCache>
            </c:strRef>
          </c:cat>
          <c:val>
            <c:numRef>
              <c:f>'Financing Amount by Sector'!$B$4:$B$15</c:f>
              <c:numCache>
                <c:formatCode>General</c:formatCode>
                <c:ptCount val="12"/>
                <c:pt idx="0">
                  <c:v>5530</c:v>
                </c:pt>
                <c:pt idx="1">
                  <c:v>250</c:v>
                </c:pt>
                <c:pt idx="2">
                  <c:v>6443.5</c:v>
                </c:pt>
                <c:pt idx="3">
                  <c:v>2230</c:v>
                </c:pt>
                <c:pt idx="4">
                  <c:v>3779</c:v>
                </c:pt>
                <c:pt idx="5">
                  <c:v>482.1</c:v>
                </c:pt>
                <c:pt idx="6">
                  <c:v>205</c:v>
                </c:pt>
                <c:pt idx="7">
                  <c:v>2482.17</c:v>
                </c:pt>
                <c:pt idx="8">
                  <c:v>82</c:v>
                </c:pt>
                <c:pt idx="9">
                  <c:v>9099.61</c:v>
                </c:pt>
                <c:pt idx="10">
                  <c:v>1956.9</c:v>
                </c:pt>
                <c:pt idx="11">
                  <c:v>4424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4189608"/>
        <c:axId val="664190000"/>
      </c:barChart>
      <c:catAx>
        <c:axId val="66418960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190000"/>
        <c:crosses val="autoZero"/>
        <c:auto val="1"/>
        <c:lblAlgn val="ctr"/>
        <c:lblOffset val="100"/>
        <c:noMultiLvlLbl val="0"/>
      </c:catAx>
      <c:valAx>
        <c:axId val="66419000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18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211454</xdr:colOff>
      <xdr:row>119</xdr:row>
      <xdr:rowOff>280034</xdr:rowOff>
    </xdr:from>
    <xdr:to>
      <xdr:col>16</xdr:col>
      <xdr:colOff>72389</xdr:colOff>
      <xdr:row>133</xdr:row>
      <xdr:rowOff>49529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68580</xdr:colOff>
      <xdr:row>136</xdr:row>
      <xdr:rowOff>7620</xdr:rowOff>
    </xdr:from>
    <xdr:to>
      <xdr:col>18</xdr:col>
      <xdr:colOff>369570</xdr:colOff>
      <xdr:row>158</xdr:row>
      <xdr:rowOff>144780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592454</xdr:colOff>
      <xdr:row>150</xdr:row>
      <xdr:rowOff>102870</xdr:rowOff>
    </xdr:from>
    <xdr:to>
      <xdr:col>6</xdr:col>
      <xdr:colOff>140970</xdr:colOff>
      <xdr:row>176</xdr:row>
      <xdr:rowOff>169545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127634</xdr:colOff>
      <xdr:row>3</xdr:row>
      <xdr:rowOff>139064</xdr:rowOff>
    </xdr:from>
    <xdr:to>
      <xdr:col>19</xdr:col>
      <xdr:colOff>156210</xdr:colOff>
      <xdr:row>15</xdr:row>
      <xdr:rowOff>167640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0</xdr:row>
      <xdr:rowOff>144780</xdr:rowOff>
    </xdr:from>
    <xdr:to>
      <xdr:col>14</xdr:col>
      <xdr:colOff>537210</xdr:colOff>
      <xdr:row>28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oron" refreshedDate="44368.658520486111" createdVersion="5" refreshedVersion="5" minRefreshableVersion="3" recordCount="179">
  <cacheSource type="worksheet">
    <worksheetSource ref="A1:G180" sheet="Full Table"/>
  </cacheSource>
  <cacheFields count="7">
    <cacheField name="APPROVAL YEAR" numFmtId="0">
      <sharedItems containsMixedTypes="1" containsNumber="1" containsInteger="1" minValue="2016" maxValue="2021"/>
    </cacheField>
    <cacheField name="MEMBER" numFmtId="0">
      <sharedItems/>
    </cacheField>
    <cacheField name="SECTOR" numFmtId="0">
      <sharedItems count="12">
        <s v="Economic Resilience / PBF"/>
        <s v="Public Health"/>
        <s v="Energy"/>
        <s v="Financial Institution"/>
        <s v="ICT"/>
        <s v="Transport"/>
        <s v="Finance / Liquidity"/>
        <s v="Education"/>
        <s v="Urban"/>
        <s v="Water"/>
        <s v="Other"/>
        <s v="Rural Infrastructure and Agriculture Development"/>
      </sharedItems>
    </cacheField>
    <cacheField name="FINANCING TYPE" numFmtId="0">
      <sharedItems/>
    </cacheField>
    <cacheField name="PROJECT NAME" numFmtId="0">
      <sharedItems/>
    </cacheField>
    <cacheField name="FINANCING AMOUNT" numFmtId="0">
      <sharedItems containsSemiMixedTypes="0" containsString="0" containsNumber="1" minValue="7.3" maxValue="750"/>
    </cacheField>
    <cacheField name="STATU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9">
  <r>
    <s v="Awaiting Approval"/>
    <s v="Jordan"/>
    <x v="0"/>
    <s v="Sovereign"/>
    <s v="Jordan: Inclusive Transparent and Climate Responsive Investments Program for Results (the Program or PforR)"/>
    <n v="250"/>
    <s v="Proposed"/>
  </r>
  <r>
    <s v="Awaiting Approval"/>
    <s v="Cambodia"/>
    <x v="1"/>
    <s v="Sovereign"/>
    <s v="Cambodia: Rapid Immunization Support Project"/>
    <n v="50"/>
    <s v="Proposed"/>
  </r>
  <r>
    <s v="Awaiting Approval"/>
    <s v="Bangladesh"/>
    <x v="2"/>
    <s v="Sovereign"/>
    <s v="Bangladesh: Southern Chattogram and Kaliakoir Transmission Infrastructure Development Project"/>
    <n v="130.5"/>
    <s v="Proposed"/>
  </r>
  <r>
    <s v="Awaiting Approval"/>
    <s v="Multicountry"/>
    <x v="3"/>
    <s v="Nonsovereign"/>
    <s v="Multicountry: Keppel-Pierfront Private Credit Fund L.P"/>
    <n v="150"/>
    <s v="Proposed"/>
  </r>
  <r>
    <s v="Awaiting Approval"/>
    <s v="India"/>
    <x v="2"/>
    <s v="Nonsovereign"/>
    <s v="India: Enel Green 300 MW Solar Project - Rajasthan"/>
    <n v="50"/>
    <s v="Proposed"/>
  </r>
  <r>
    <s v="Awaiting Approval"/>
    <s v="Egypt"/>
    <x v="0"/>
    <s v="Sovereign"/>
    <s v="Egypt: Inclusive Growth for Sustainable Recovery DPF Program"/>
    <n v="300"/>
    <s v="Proposed"/>
  </r>
  <r>
    <s v="Awaiting Approval"/>
    <s v="China"/>
    <x v="4"/>
    <s v="Nonsovereign"/>
    <s v="China: Sinovation Disrupt Fund"/>
    <n v="75"/>
    <s v="Proposed"/>
  </r>
  <r>
    <s v="Awaiting Approval"/>
    <s v="Azerbaijan"/>
    <x v="0"/>
    <s v="Sovereign"/>
    <s v="Azerbaijan: Republic of Azerbaijan COVID-19 Active Response and Expenditure Support (CARES) Program"/>
    <n v="100"/>
    <s v="Proposed"/>
  </r>
  <r>
    <s v="Awaiting Approval"/>
    <s v="China"/>
    <x v="5"/>
    <s v="Sovereign"/>
    <s v="China: Liaoning Green Smart Public Transport Demonstration Project"/>
    <n v="150"/>
    <s v="Proposed"/>
  </r>
  <r>
    <s v="Awaiting Approval"/>
    <s v="Indonesia"/>
    <x v="1"/>
    <s v="Sovereign"/>
    <s v="Indonesia: Emergency Response to COVID-19 Program - Additional Financing"/>
    <n v="500"/>
    <s v="Proposed"/>
  </r>
  <r>
    <s v="Awaiting Approval"/>
    <s v="Rwanda"/>
    <x v="6"/>
    <s v="Sovereign"/>
    <s v="Rwanda: Support to COVID-19 Economic Recovery Fund for Private Sector"/>
    <n v="100"/>
    <s v="Proposed"/>
  </r>
  <r>
    <s v="Awaiting Approval"/>
    <s v="India"/>
    <x v="7"/>
    <s v="Sovereign"/>
    <s v="India: Gujarat Education Infrastructure and Technology Modernization Program"/>
    <n v="250"/>
    <s v="Proposed"/>
  </r>
  <r>
    <s v="Awaiting Approval"/>
    <s v="Rwanda"/>
    <x v="0"/>
    <s v="Sovereign"/>
    <s v="Rwanda: Rwanda Digital Acceleration Project (Digital Investment for Recovery, Resilience and Connectivity)"/>
    <n v="100"/>
    <s v="Proposed"/>
  </r>
  <r>
    <s v="Awaiting Approval"/>
    <s v="India"/>
    <x v="2"/>
    <s v="Sovereign"/>
    <s v="India: West Bengal Electricity Distribution Grid Modernization Project"/>
    <n v="140"/>
    <s v="Proposed"/>
  </r>
  <r>
    <s v="Awaiting Approval"/>
    <s v="Belarus"/>
    <x v="1"/>
    <s v="Sovereign"/>
    <s v="Belarus: Belarus Emergency Response and Public Healthcare Support Project"/>
    <n v="116.27"/>
    <s v="Proposed"/>
  </r>
  <r>
    <s v="Awaiting Approval"/>
    <s v="India"/>
    <x v="8"/>
    <s v="Sovereign"/>
    <s v="India: Chennai City Partnership: Sustainable Urban Services Program"/>
    <n v="150"/>
    <s v="Proposed"/>
  </r>
  <r>
    <s v="Awaiting Approval"/>
    <s v="India"/>
    <x v="9"/>
    <s v="Sovereign"/>
    <s v="India: Extension, Renovation, and Modernization of Grand Anicut Canal System"/>
    <n v="230"/>
    <s v="Proposed"/>
  </r>
  <r>
    <n v="2021"/>
    <s v="Mongolia"/>
    <x v="1"/>
    <s v="Sovereign"/>
    <s v="Mongolia: Support for COVID-19 Vaccine Delivery in Mongolia under the Asia Pacific Vaccine Access Facility"/>
    <n v="21"/>
    <s v="Approved"/>
  </r>
  <r>
    <n v="2021"/>
    <s v="Uzbekistan"/>
    <x v="2"/>
    <s v="Nonsovereign"/>
    <s v="Uzbekistan: Sirdarya 1,500MW CCGT Power Project"/>
    <n v="100"/>
    <s v="Approved"/>
  </r>
  <r>
    <n v="2021"/>
    <s v="Uzbekistan"/>
    <x v="8"/>
    <s v="Sovereign"/>
    <s v="Uzbekistan: Medium-size Cities Integrated Urban Development Project"/>
    <n v="100"/>
    <s v="Approved"/>
  </r>
  <r>
    <n v="2021"/>
    <s v="Multicountry"/>
    <x v="3"/>
    <s v="Nonsovereign"/>
    <s v="Multicountry: Global Infrastructure Partners Emerging Markets Fund I (“GIP EM” or the “Fund”)"/>
    <n v="150"/>
    <s v="Approved"/>
  </r>
  <r>
    <n v="2021"/>
    <s v="Singapore"/>
    <x v="3"/>
    <s v="Nonsovereign"/>
    <s v="Singapore: Asia Infrastructure Securitization Program"/>
    <n v="80"/>
    <s v="Approved"/>
  </r>
  <r>
    <n v="2021"/>
    <s v="India"/>
    <x v="2"/>
    <s v="Nonsovereign"/>
    <s v="India: India City Gas Distribution (CGD) Financing AGPCGPL"/>
    <n v="75"/>
    <s v="Approved"/>
  </r>
  <r>
    <s v="Awaiting Approval"/>
    <s v="India"/>
    <x v="10"/>
    <s v="Sovereign"/>
    <s v="India: Resilient Kerala Program for Results"/>
    <n v="125"/>
    <s v="Proposed"/>
  </r>
  <r>
    <n v="2021"/>
    <s v="Turkey"/>
    <x v="6"/>
    <s v="Sovereign"/>
    <s v="Turkey: Eximbank COVID-19 Credit Line Project"/>
    <n v="250"/>
    <s v="Approved"/>
  </r>
  <r>
    <n v="2021"/>
    <s v="Georgia"/>
    <x v="6"/>
    <s v="Nonsovereign"/>
    <s v="Georgia: TBC Bank COVID-19 Credit Line Project"/>
    <n v="100"/>
    <s v="Approved"/>
  </r>
  <r>
    <n v="2021"/>
    <s v="India"/>
    <x v="8"/>
    <s v="Sovereign"/>
    <s v="India: Punjab Municipal Services Improvement Project"/>
    <n v="105"/>
    <s v="Approved"/>
  </r>
  <r>
    <n v="2021"/>
    <s v="India"/>
    <x v="8"/>
    <s v="Sovereign"/>
    <s v="India: Kerala Solid Waste Management Project"/>
    <n v="105"/>
    <s v="Approved"/>
  </r>
  <r>
    <n v="2021"/>
    <s v="Multicountry"/>
    <x v="3"/>
    <s v="Nonsovereign"/>
    <s v="Multicountry: Aberdeen Standard Investcorp Infrastructure Partners"/>
    <n v="90"/>
    <s v="Approved"/>
  </r>
  <r>
    <n v="2021"/>
    <s v="Philippines"/>
    <x v="1"/>
    <s v="Sovereign"/>
    <s v="Philippines: Second Health System Enhancement to Address and Limit COVID-19 under Asia Pacific Vaccine Access Facility Project (HEAL 2)"/>
    <n v="300"/>
    <s v="Approved"/>
  </r>
  <r>
    <n v="2021"/>
    <s v="Sri Lanka"/>
    <x v="6"/>
    <s v="Sovereign"/>
    <s v="Sri Lanka: COVID-19 Emergency and Crisis Response Facility"/>
    <n v="180"/>
    <s v="Approved"/>
  </r>
  <r>
    <n v="2021"/>
    <s v="Maldives"/>
    <x v="2"/>
    <s v="Sovereign"/>
    <s v="Maldives: Solar Power Development and Energy Storage Solution"/>
    <n v="20"/>
    <s v="Approved"/>
  </r>
  <r>
    <n v="2021"/>
    <s v="Bangladesh"/>
    <x v="5"/>
    <s v="Sovereign"/>
    <s v="Bangladesh: Mymensingh Kewatkhali Bridge Project"/>
    <n v="260"/>
    <s v="Approved"/>
  </r>
  <r>
    <n v="2021"/>
    <s v="Bangladesh"/>
    <x v="6"/>
    <s v="Sovereign"/>
    <s v="Bangladesh: COVID-19 Emergency and Crisis Response Facility"/>
    <n v="300"/>
    <s v="Approved"/>
  </r>
  <r>
    <n v="2021"/>
    <s v="India"/>
    <x v="2"/>
    <s v="Sovereign"/>
    <s v="India: Assam Intra-State Transmission System Enhancement Project"/>
    <n v="304"/>
    <s v="Approved"/>
  </r>
  <r>
    <n v="2021"/>
    <s v="Indonesia"/>
    <x v="2"/>
    <s v="Sovereign"/>
    <s v="Indonesia: PLN East Java &amp; Bali Power Distribution Strengthening Project"/>
    <n v="310"/>
    <s v="Approved"/>
  </r>
  <r>
    <n v="2021"/>
    <s v="Multicountry"/>
    <x v="3"/>
    <s v="Nonsovereign"/>
    <s v="Multi-Country: ISQ Growth Markets Infrastructure Fund"/>
    <n v="150"/>
    <s v="Approved"/>
  </r>
  <r>
    <s v="Awaiting Approval"/>
    <s v="Sri Lanka"/>
    <x v="2"/>
    <s v="Sovereign"/>
    <s v="Sri Lanka: Kerawalapitiya – Port 2nd Transmission Line Project"/>
    <n v="52"/>
    <s v="Proposed"/>
  </r>
  <r>
    <s v="Awaiting Approval"/>
    <s v="India"/>
    <x v="5"/>
    <s v="Sovereign"/>
    <s v="India: Assam Secondary Road Network Improvement Project"/>
    <n v="320"/>
    <s v="Proposed"/>
  </r>
  <r>
    <s v="Awaiting Approval"/>
    <s v="Pakistan"/>
    <x v="9"/>
    <s v="Sovereign"/>
    <s v="Pakistan: Karachi Water and Sewerage Services Improvement Project-2 (KWSSIP-2)"/>
    <n v="240"/>
    <s v="Proposed"/>
  </r>
  <r>
    <s v="Awaiting Approval"/>
    <s v="India"/>
    <x v="9"/>
    <s v="Sovereign"/>
    <s v="India: Second Dam Rehabilitation and Improvement Project"/>
    <n v="250"/>
    <s v="Proposed"/>
  </r>
  <r>
    <n v="2020"/>
    <s v="Cook Islands"/>
    <x v="0"/>
    <s v="Sovereign"/>
    <s v="Cook Islands: COVID-19 Active Response and Economic Support Program"/>
    <n v="20"/>
    <s v="Approved"/>
  </r>
  <r>
    <n v="2020"/>
    <s v="Cambodia"/>
    <x v="0"/>
    <s v="Sovereign"/>
    <s v="Cambodia: National Restoration of Rural Productive Capacity Project"/>
    <n v="60"/>
    <s v="Approved"/>
  </r>
  <r>
    <n v="2020"/>
    <s v="India"/>
    <x v="2"/>
    <s v="Nonsovereign"/>
    <s v="India: Ayana Anantapuramu NTPC Solar Project"/>
    <n v="35"/>
    <s v="Approved"/>
  </r>
  <r>
    <s v="Awaiting Approval"/>
    <s v="China"/>
    <x v="5"/>
    <s v="Sovereign"/>
    <s v="China: Zhengzhou International Logistics Hub (Previously: Zhengzhou International Hub Expansion)"/>
    <n v="150"/>
    <s v="Proposed"/>
  </r>
  <r>
    <n v="2020"/>
    <s v="Ecuador"/>
    <x v="6"/>
    <s v="Sovereign"/>
    <s v="Ecuador: Corporación Financiera Nacional COVID-19 Credit Line Project"/>
    <n v="50"/>
    <s v="Approved"/>
  </r>
  <r>
    <n v="2020"/>
    <s v="Multicountry"/>
    <x v="3"/>
    <s v="Nonsovereign"/>
    <s v="Multicountry: ADM Capital [Elkhorn] Emerging Asia Renewable Energy Fund"/>
    <n v="100"/>
    <s v="Approved"/>
  </r>
  <r>
    <n v="2020"/>
    <s v="Turkey"/>
    <x v="6"/>
    <s v="Nonsovereign"/>
    <s v="Turkey: Akbank COVID-19 Crisis Recovery Facility"/>
    <n v="100"/>
    <s v="Approved"/>
  </r>
  <r>
    <n v="2020"/>
    <s v="Uzbekistan"/>
    <x v="6"/>
    <s v="Sovereign"/>
    <s v="Uzbekistan: National Bank for Foreign Economic Activity of the Republic of Uzbekistan COVID-19 Credit Line Project"/>
    <n v="200"/>
    <s v="Approved"/>
  </r>
  <r>
    <s v="Awaiting Approval"/>
    <s v="Pakistan"/>
    <x v="8"/>
    <s v="Sovereign"/>
    <s v="Pakistan: Khyber Pakhtunkhwa Cities Improvement Project"/>
    <n v="142"/>
    <s v="Proposed"/>
  </r>
  <r>
    <s v="Awaiting Approval"/>
    <s v="China"/>
    <x v="5"/>
    <s v="Sovereign"/>
    <s v="China: Guangxi Chongzuo Border Connectivity Improvement Project"/>
    <n v="300"/>
    <s v="Proposed"/>
  </r>
  <r>
    <n v="2020"/>
    <s v="India"/>
    <x v="5"/>
    <s v="Sovereign"/>
    <s v="India: Delhi-Meerut Regional Rapid Transit System"/>
    <n v="500"/>
    <s v="Approved"/>
  </r>
  <r>
    <n v="2020"/>
    <s v="Bangladesh"/>
    <x v="9"/>
    <s v="Sovereign"/>
    <s v="Bangladesh: Rural Water, Sanitation and Hygiene for Human Capital Development Project"/>
    <n v="200"/>
    <s v="Approved"/>
  </r>
  <r>
    <n v="2020"/>
    <s v="Russian Federation"/>
    <x v="6"/>
    <s v="Nonsovereign"/>
    <s v="Russian Federation: Russian Railways COVID-19 Emergency Response Project"/>
    <n v="300"/>
    <s v="Approved"/>
  </r>
  <r>
    <n v="2020"/>
    <s v="Multicountry"/>
    <x v="3"/>
    <s v="Nonsovereign"/>
    <s v="Multicountry: Lightsmith Climate Resilience Partners"/>
    <n v="30"/>
    <s v="Approved"/>
  </r>
  <r>
    <n v="2020"/>
    <s v="China"/>
    <x v="4"/>
    <s v="Nonsovereign"/>
    <s v="China: Legend Capital Healthcare Technology Fund"/>
    <n v="30"/>
    <s v="Approved"/>
  </r>
  <r>
    <n v="2020"/>
    <s v="Lao PDR"/>
    <x v="5"/>
    <s v="Sovereign"/>
    <s v="Lao PDR: Climate Resilience Improvement of National Road 13 South Project (Section 3)"/>
    <n v="30"/>
    <s v="Approved"/>
  </r>
  <r>
    <n v="2020"/>
    <s v="Indonesia"/>
    <x v="4"/>
    <s v="Nonsovereign"/>
    <s v="Indonesia: Multifunctional Satellite PPP Project"/>
    <n v="150"/>
    <s v="Approved"/>
  </r>
  <r>
    <n v="2020"/>
    <s v="India"/>
    <x v="3"/>
    <s v="Nonsovereign"/>
    <s v="India: HDFC Line of Credit for Affordable Housing"/>
    <n v="200"/>
    <s v="Approved"/>
  </r>
  <r>
    <n v="2020"/>
    <s v="Maldives"/>
    <x v="8"/>
    <s v="Sovereign"/>
    <s v="Maldives: Greater Malé Waste-to-Energy Project"/>
    <n v="40"/>
    <s v="Approved"/>
  </r>
  <r>
    <n v="2020"/>
    <s v="Bangladesh"/>
    <x v="1"/>
    <s v="Sovereign"/>
    <s v="Bangladesh: COVID-19 Emergency Response and Pandemic Preparedness Project"/>
    <n v="100"/>
    <s v="Approved"/>
  </r>
  <r>
    <n v="2020"/>
    <s v="Turkey"/>
    <x v="1"/>
    <s v="Sovereign"/>
    <s v="Turkey: COVID-19 Medical Emergency Response (MER) Project"/>
    <n v="82.6"/>
    <s v="Approved"/>
  </r>
  <r>
    <n v="2020"/>
    <s v="Uzbekistan"/>
    <x v="1"/>
    <s v="Sovereign"/>
    <s v="Uzbekistan: Healthcare Emergency Response Project"/>
    <n v="100"/>
    <s v="Approved"/>
  </r>
  <r>
    <n v="2020"/>
    <s v="Kyrgyz Republic"/>
    <x v="6"/>
    <s v="Sovereign"/>
    <s v="Kyrgyz Republic: Kyrgyz Emergency Support for Private and Financial Sector Project"/>
    <n v="50"/>
    <s v="Approved"/>
  </r>
  <r>
    <n v="2020"/>
    <s v="Fiji"/>
    <x v="0"/>
    <s v="Sovereign"/>
    <s v="Fiji: Sustained Private Sector-Led Growth Reform Program"/>
    <n v="50"/>
    <s v="Approved"/>
  </r>
  <r>
    <n v="2020"/>
    <s v="Viet Nam"/>
    <x v="6"/>
    <s v="Nonsovereign"/>
    <s v="Viet Nam: VP Bank COVID-19 Response Facility"/>
    <n v="100"/>
    <s v="Approved"/>
  </r>
  <r>
    <n v="2020"/>
    <s v="Georgia"/>
    <x v="0"/>
    <s v="Sovereign"/>
    <s v="Georgia: Economic Management and Competitiveness Program: COVID-19 Crisis Mitigation"/>
    <n v="50"/>
    <s v="Approved"/>
  </r>
  <r>
    <n v="2020"/>
    <s v="Turkey"/>
    <x v="5"/>
    <s v="Nonsovereign"/>
    <s v="Turkey: Izmir Metro Expansion Phase 4: Fahrettin Altay – Narlidere Line Project"/>
    <n v="56"/>
    <s v="Approved"/>
  </r>
  <r>
    <n v="2020"/>
    <s v="Pakistan"/>
    <x v="0"/>
    <s v="Sovereign"/>
    <s v="Pakistan: Resilient Institutions for Sustainable Economy (RISE) Program"/>
    <n v="250"/>
    <s v="Approved"/>
  </r>
  <r>
    <n v="2020"/>
    <s v="Turkey"/>
    <x v="6"/>
    <s v="Sovereign"/>
    <s v="Turkey: COVID-19 Credit Line Project"/>
    <n v="500"/>
    <s v="Approved"/>
  </r>
  <r>
    <n v="2020"/>
    <s v="Kazakhstan"/>
    <x v="0"/>
    <s v="Sovereign"/>
    <s v="Kazakhstan: COVID-19 Active Response and Expenditure Support (CARES) Program"/>
    <n v="750"/>
    <s v="Approved"/>
  </r>
  <r>
    <n v="2020"/>
    <s v="Maldives"/>
    <x v="1"/>
    <s v="Sovereign"/>
    <s v="Maldives: COVID-19 Emergency Response and Health Systems Preparedness Project"/>
    <n v="7.3"/>
    <s v="Approved"/>
  </r>
  <r>
    <n v="2020"/>
    <s v="Indonesia"/>
    <x v="1"/>
    <s v="Sovereign"/>
    <s v="Indonesia: Emergency Response to COVID-19 Program"/>
    <n v="250"/>
    <s v="Approved"/>
  </r>
  <r>
    <n v="2020"/>
    <s v="Uzbekistan"/>
    <x v="5"/>
    <s v="Sovereign"/>
    <s v="Uzbekistan: Bukhara Road Network Improvement Project (Phase 1)"/>
    <n v="165.5"/>
    <s v="Approved"/>
  </r>
  <r>
    <n v="2020"/>
    <s v="Pakistan"/>
    <x v="0"/>
    <s v="Sovereign"/>
    <s v="Pakistan: COVID-19 Active Response and Expenditure Support (CARES) Program"/>
    <n v="500"/>
    <s v="Approved"/>
  </r>
  <r>
    <n v="2020"/>
    <s v="India"/>
    <x v="0"/>
    <s v="Sovereign"/>
    <s v="India: COVID-19 Active Response and Expenditure Support (CARES)"/>
    <n v="750"/>
    <s v="Approved"/>
  </r>
  <r>
    <n v="2020"/>
    <s v="Mongolia"/>
    <x v="0"/>
    <s v="Sovereign"/>
    <s v="Mongolia: COVID-19 Rapid Response Program"/>
    <n v="100"/>
    <s v="Approved"/>
  </r>
  <r>
    <n v="2020"/>
    <s v="Philippines"/>
    <x v="0"/>
    <s v="Sovereign"/>
    <s v="Philippines: COVID-19 Active Response and Expenditure Support (CARES) Program"/>
    <n v="750"/>
    <s v="Approved"/>
  </r>
  <r>
    <n v="2020"/>
    <s v="Georgia"/>
    <x v="1"/>
    <s v="Sovereign"/>
    <s v="Georgia: Emergency COVID-19 Response Project"/>
    <n v="100"/>
    <s v="Approved"/>
  </r>
  <r>
    <n v="2020"/>
    <s v="Bangladesh"/>
    <x v="0"/>
    <s v="Sovereign"/>
    <s v="Bangladesh: COVID-19 Active Response and Expenditure Support (CARES) Program"/>
    <n v="250"/>
    <s v="Approved"/>
  </r>
  <r>
    <n v="2020"/>
    <s v="Indonesia"/>
    <x v="0"/>
    <s v="Sovereign"/>
    <s v="Indonesia: COVID-19 Active Response and Expenditure Support Program"/>
    <n v="750"/>
    <s v="Approved"/>
  </r>
  <r>
    <n v="2020"/>
    <s v="India"/>
    <x v="1"/>
    <s v="Sovereign"/>
    <s v="India: COVID-19 Emergency Response and Health Systems Preparedness Project"/>
    <n v="500"/>
    <s v="Approved"/>
  </r>
  <r>
    <n v="2020"/>
    <s v="Bangladesh"/>
    <x v="9"/>
    <s v="Sovereign"/>
    <s v="Bangladesh: Dhaka Sanitation Improvement"/>
    <n v="170"/>
    <s v="Approved"/>
  </r>
  <r>
    <n v="2020"/>
    <s v="Multicountry"/>
    <x v="3"/>
    <s v="Nonsovereign"/>
    <s v="Multicountry: Keppel Asia Infrastructure Fund"/>
    <n v="150"/>
    <s v="Approved"/>
  </r>
  <r>
    <n v="2020"/>
    <s v="China"/>
    <x v="1"/>
    <s v="Sovereign"/>
    <s v="China: Emergency Assistance to China Public Health Infrastructure Project"/>
    <n v="355"/>
    <s v="Approved"/>
  </r>
  <r>
    <n v="2020"/>
    <s v="Uzbekistan"/>
    <x v="9"/>
    <s v="Sovereign"/>
    <s v="Uzbekistan: Bukhara Region Water Supply and Sewerage (BRWSSP)"/>
    <n v="385.1"/>
    <s v="Approved"/>
  </r>
  <r>
    <n v="2020"/>
    <s v="Bangladesh"/>
    <x v="5"/>
    <s v="Sovereign"/>
    <s v="Bangladesh: Sylhet to Tamabil Road Upgrade Project"/>
    <n v="404"/>
    <s v="Approved"/>
  </r>
  <r>
    <n v="2020"/>
    <s v="Oman"/>
    <x v="2"/>
    <s v="Nonsovereign"/>
    <s v="Oman: Ibri II 500MW Solar PV Independent Power Plant Project"/>
    <n v="60"/>
    <s v="Approved"/>
  </r>
  <r>
    <n v="2020"/>
    <s v="Bangladesh"/>
    <x v="2"/>
    <s v="Sovereign"/>
    <s v="Bangladesh: Dhaka and West Zone Transmission Grid Expansion Project"/>
    <n v="200"/>
    <s v="Approved"/>
  </r>
  <r>
    <s v="Awaiting Approval"/>
    <s v="Turkey"/>
    <x v="5"/>
    <s v="Sovereign"/>
    <s v="Turkey: Halkali-Cerkezkoy Rail Project"/>
    <n v="320"/>
    <s v="Proposed"/>
  </r>
  <r>
    <s v="Awaiting Approval"/>
    <s v="Uzbekistan"/>
    <x v="9"/>
    <s v="Sovereign"/>
    <s v="Uzbekistan: Karakalpakstan and Khorezm Water Supply and Sanitation Project"/>
    <n v="430.1"/>
    <s v="Proposed"/>
  </r>
  <r>
    <s v="Awaiting Approval"/>
    <s v="Thailand"/>
    <x v="0"/>
    <s v="Sovereign"/>
    <s v="Thailand: COVID-19 Active Response and Expenditure Support Program"/>
    <n v="500"/>
    <s v="Proposed"/>
  </r>
  <r>
    <s v="Awaiting Approval"/>
    <s v="India"/>
    <x v="5"/>
    <s v="Sovereign"/>
    <s v="India: Haryana Orbital Rail Corridor Project"/>
    <n v="400"/>
    <s v="Proposed"/>
  </r>
  <r>
    <s v="Awaiting Approval"/>
    <s v="India"/>
    <x v="5"/>
    <s v="Sovereign"/>
    <s v="India: Maharashtra Multi-Modal Corridor Package III Project"/>
    <n v="359"/>
    <s v="Proposed"/>
  </r>
  <r>
    <s v="Awaiting Approval"/>
    <s v="Pakistan"/>
    <x v="2"/>
    <s v="Sovereign"/>
    <s v="Pakistan: Balakot Hydropower Development Project"/>
    <n v="280"/>
    <s v="Proposed"/>
  </r>
  <r>
    <s v="Awaiting Approval"/>
    <s v="Bangladesh"/>
    <x v="5"/>
    <s v="Sovereign"/>
    <s v="Bangladesh: Hatikumrul-Bonpara-Jhenaidah Phase I Road Improvement Project"/>
    <n v="333.9"/>
    <s v="Proposed"/>
  </r>
  <r>
    <s v="Awaiting Approval"/>
    <s v="India"/>
    <x v="5"/>
    <s v="Sovereign"/>
    <s v="India: Chennai Metro Rail Phase 2 Project – Balance Corridor 5"/>
    <n v="438.75"/>
    <s v="Proposed"/>
  </r>
  <r>
    <s v="Awaiting Approval"/>
    <s v="Uzbekistan"/>
    <x v="5"/>
    <s v="Sovereign"/>
    <s v="Uzbekistan: Bukhara-Miskin-Urgench-Khiva Railway Electrification Project"/>
    <n v="105"/>
    <s v="Proposed"/>
  </r>
  <r>
    <s v="Awaiting Approval"/>
    <s v="India"/>
    <x v="5"/>
    <s v="Sovereign"/>
    <s v="India: Mumbai Metro Line 5"/>
    <n v="436"/>
    <s v="Proposed"/>
  </r>
  <r>
    <s v="Awaiting Approval"/>
    <s v="India"/>
    <x v="5"/>
    <s v="Sovereign"/>
    <s v="India: Mumbai Urban Transport Project 3A-1"/>
    <n v="500"/>
    <s v="Proposed"/>
  </r>
  <r>
    <s v="Awaiting Approval"/>
    <s v="India"/>
    <x v="5"/>
    <s v="Sovereign"/>
    <s v="India: Chennai Peripheral Ring Road (Sections 2 and 3)"/>
    <n v="378"/>
    <s v="Proposed"/>
  </r>
  <r>
    <s v="Awaiting Approval"/>
    <s v="Bangladesh"/>
    <x v="3"/>
    <s v="Sovereign"/>
    <s v="Bangladesh: IDCOL Multi-Sector On-Lending Facility"/>
    <n v="200"/>
    <s v="Proposed"/>
  </r>
  <r>
    <n v="2019"/>
    <s v="Bangladesh"/>
    <x v="9"/>
    <s v="Sovereign"/>
    <s v="Bangladesh: Municipal Water Supply and Sanitation Project"/>
    <n v="100"/>
    <s v="Approved"/>
  </r>
  <r>
    <n v="2019"/>
    <s v="Bangladesh"/>
    <x v="2"/>
    <s v="Sovereign"/>
    <s v="Bangladesh: Power System Upgrade and Expansion"/>
    <n v="120"/>
    <s v="Approved"/>
  </r>
  <r>
    <n v="2019"/>
    <s v="Cambodia"/>
    <x v="4"/>
    <s v="Nonsovereign"/>
    <s v="Cambodia: Fiber Optic Communication Network Project"/>
    <n v="75"/>
    <s v="Approved"/>
  </r>
  <r>
    <n v="2019"/>
    <s v="China"/>
    <x v="2"/>
    <s v="Sovereign"/>
    <s v="China: Beijing-Tianjin-Hebei Low Carbon Energy Transition and Air Quality Improvement Project"/>
    <n v="500"/>
    <s v="Approved"/>
  </r>
  <r>
    <n v="2019"/>
    <s v="Egypt"/>
    <x v="3"/>
    <s v="Nonsovereign"/>
    <s v="Egypt: National Bank of Egypt On-Lending Facility for Infrastructure"/>
    <n v="150"/>
    <s v="Approved"/>
  </r>
  <r>
    <n v="2019"/>
    <s v="India"/>
    <x v="3"/>
    <s v="Nonsovereign"/>
    <s v="India: L&amp;T- Sustainable Infrastructure on-lending Facility"/>
    <n v="100"/>
    <s v="Approved"/>
  </r>
  <r>
    <n v="2019"/>
    <s v="India"/>
    <x v="5"/>
    <s v="Sovereign"/>
    <s v="India: Mumbai Urban Transport Project - Phase III (MUTP)"/>
    <n v="500"/>
    <s v="Approved"/>
  </r>
  <r>
    <n v="2019"/>
    <s v="India"/>
    <x v="2"/>
    <s v="Nonsovereign"/>
    <s v="India: Rajasthan 250 MW Solar Project–Hero Future Energies"/>
    <n v="65"/>
    <s v="Approved"/>
  </r>
  <r>
    <n v="2019"/>
    <s v="India"/>
    <x v="3"/>
    <s v="Nonsovereign"/>
    <s v="India: Tata Cleantech Sustainable Infrastructure On-Lending Facility"/>
    <n v="75"/>
    <s v="Approved"/>
  </r>
  <r>
    <n v="2019"/>
    <s v="India"/>
    <x v="9"/>
    <s v="Sovereign"/>
    <s v="India: West Bengal Major Irrigation and Flood Management"/>
    <n v="145"/>
    <s v="Approved"/>
  </r>
  <r>
    <n v="2019"/>
    <s v="Kazakhstan"/>
    <x v="2"/>
    <s v="Nonsovereign"/>
    <s v="Kazakhstan: Zhanatas 100 MW Wind Power Plant"/>
    <n v="46.7"/>
    <s v="Approved"/>
  </r>
  <r>
    <n v="2019"/>
    <s v="Lao PDR"/>
    <x v="5"/>
    <s v="Sovereign"/>
    <s v="Lao People’s Democratic Republic: National Road 13 Improvement and Maintenance Project"/>
    <n v="40"/>
    <s v="Approved"/>
  </r>
  <r>
    <n v="2019"/>
    <s v="Multicountry"/>
    <x v="3"/>
    <s v="Nonsovereign"/>
    <s v="Multicountry: Asia Climate Bond Portfolio"/>
    <n v="500"/>
    <s v="Approved"/>
  </r>
  <r>
    <n v="2019"/>
    <s v="Multicountry"/>
    <x v="3"/>
    <s v="Nonsovereign"/>
    <s v="Multicountry: Asia Investment Limited Partnership Fund (Previously: Asia Investment Fund)"/>
    <n v="75"/>
    <s v="Approved"/>
  </r>
  <r>
    <n v="2019"/>
    <s v="Multicountry"/>
    <x v="3"/>
    <s v="Nonsovereign"/>
    <s v="Multicountry: CITIC Capital Pan Eurasia Fund"/>
    <n v="125"/>
    <s v="Approved"/>
  </r>
  <r>
    <n v="2019"/>
    <s v="Multicountry"/>
    <x v="3"/>
    <s v="Nonsovereign"/>
    <s v="Multicountry: SUSI Asia Energy Transition Fund"/>
    <n v="100"/>
    <s v="Approved"/>
  </r>
  <r>
    <n v="2019"/>
    <s v="Nepal"/>
    <x v="2"/>
    <s v="Sovereign"/>
    <s v="Nepal: Power Distribution System Upgrade and Expansion Project"/>
    <n v="112.3"/>
    <s v="Approved"/>
  </r>
  <r>
    <n v="2019"/>
    <s v="Nepal"/>
    <x v="2"/>
    <s v="Nonsovereign"/>
    <s v="Nepal: Upper Trishuli-1 Hydropower Project"/>
    <n v="90"/>
    <s v="Approved"/>
  </r>
  <r>
    <n v="2019"/>
    <s v="Pakistan"/>
    <x v="5"/>
    <s v="Sovereign"/>
    <s v="Pakistan: Karachi Bus Rapid Transit"/>
    <n v="71.81"/>
    <s v="Approved"/>
  </r>
  <r>
    <n v="2019"/>
    <s v="Pakistan"/>
    <x v="9"/>
    <s v="Sovereign"/>
    <s v="Pakistan: Karachi Water and Sewerage Services Improvement"/>
    <n v="40"/>
    <s v="Approved"/>
  </r>
  <r>
    <n v="2019"/>
    <s v="Russian Federation"/>
    <x v="5"/>
    <s v="Sovereign"/>
    <s v="Russian Federation: Infrastructure Development Program (Previously: Russian Federation Transport Sector Investment Loan)"/>
    <n v="500"/>
    <s v="Approved"/>
  </r>
  <r>
    <n v="2019"/>
    <s v="Singapore"/>
    <x v="3"/>
    <s v="Nonsovereign"/>
    <s v="Singapore: Infrastructure Private Capital Mobilization Platform"/>
    <n v="54"/>
    <s v="Approved"/>
  </r>
  <r>
    <n v="2019"/>
    <s v="Sri Lanka"/>
    <x v="10"/>
    <s v="Sovereign"/>
    <s v="Sri Lanka: Reduction of Landslide Vulnerability by Mitigation Measures (RLVMM) Project"/>
    <n v="80"/>
    <s v="Approved"/>
  </r>
  <r>
    <n v="2019"/>
    <s v="Sri Lanka"/>
    <x v="8"/>
    <s v="Sovereign"/>
    <s v="Sri Lanka: Support to Colombo Urban Regeneration Project"/>
    <n v="200"/>
    <s v="Approved"/>
  </r>
  <r>
    <n v="2019"/>
    <s v="Turkey"/>
    <x v="2"/>
    <s v="Nonsovereign"/>
    <s v="Turkey: Efeler 97.6MWE Geothermal Power Plant Expansion Project"/>
    <n v="100"/>
    <s v="Approved"/>
  </r>
  <r>
    <n v="2019"/>
    <s v="Turkey"/>
    <x v="8"/>
    <s v="Sovereign"/>
    <s v="Turkey: Istanbul Seismic Risk Mitigation and Emergency Preparedness Project"/>
    <n v="300"/>
    <s v="Approved"/>
  </r>
  <r>
    <n v="2019"/>
    <s v="Turkey"/>
    <x v="3"/>
    <s v="Sovereign"/>
    <s v="Turkey: TKYB Renewable Energy and Energy Efficiency On-Lending Facility"/>
    <n v="200"/>
    <s v="Approved"/>
  </r>
  <r>
    <n v="2019"/>
    <s v="Uzbekistan"/>
    <x v="11"/>
    <s v="Sovereign"/>
    <s v="Uzbekistan: Rural Infrastructure Development Project (Previously: Prosperous Villages Project)"/>
    <n v="82"/>
    <s v="Approved"/>
  </r>
  <r>
    <s v="Awaiting Approval"/>
    <s v="Bangladesh"/>
    <x v="2"/>
    <s v="Sovereign"/>
    <s v="Bangladesh: Ultra-high Voltage Transmission line Madunaghat-Bhulta and Sustainable Electricity Access Project"/>
    <n v="470"/>
    <s v="Proposed"/>
  </r>
  <r>
    <s v="Awaiting Approval"/>
    <s v="Belarus"/>
    <x v="5"/>
    <s v="Sovereign"/>
    <s v="Belarus: Rehabilitation and Upgrading of National Road R46"/>
    <n v="84.4"/>
    <s v="Proposed"/>
  </r>
  <r>
    <s v="Awaiting Approval"/>
    <s v="India"/>
    <x v="2"/>
    <s v="Sovereign"/>
    <s v="India: Assam Electricity Distribution System Enhancement Project"/>
    <n v="386"/>
    <s v="Proposed"/>
  </r>
  <r>
    <s v="Awaiting Approval"/>
    <s v="India"/>
    <x v="5"/>
    <s v="Sovereign"/>
    <s v="India: Chennai Metro Rail Phase 2 Project - Corridor 4"/>
    <n v="356.65"/>
    <s v="Proposed"/>
  </r>
  <r>
    <s v="Awaiting Approval"/>
    <s v="India"/>
    <x v="9"/>
    <s v="Sovereign"/>
    <s v="India: Karnataka Rural Water Supply Project (KRWSP)"/>
    <n v="400"/>
    <s v="Proposed"/>
  </r>
  <r>
    <s v="Awaiting Approval"/>
    <s v="India"/>
    <x v="5"/>
    <s v="Sovereign"/>
    <s v="India: Nangal Chaudhary Integrated Multi-Modal Logistics Hub (IMLH) Project"/>
    <n v="70.099999999999994"/>
    <s v="Proposed"/>
  </r>
  <r>
    <s v="Awaiting Approval"/>
    <s v="Nepal"/>
    <x v="8"/>
    <s v="Sovereign"/>
    <s v="Nepal: Nepal Urban Governance and Infrastructure Project"/>
    <n v="150"/>
    <s v="Proposed"/>
  </r>
  <r>
    <s v="Awaiting Approval"/>
    <s v="Tajikistan"/>
    <x v="5"/>
    <s v="Sovereign"/>
    <s v="Tajikistan: Obigarm-Nurobod Road Project–Long Bridge and Approach Roads"/>
    <n v="55"/>
    <s v="Proposed"/>
  </r>
  <r>
    <s v="Awaiting Approval"/>
    <s v="Uzbekistan"/>
    <x v="9"/>
    <s v="Sovereign"/>
    <s v="Uzbekistan: Bukhara Region Water Supply and Sewerage Phase II (BRWSSP II)"/>
    <n v="266.2"/>
    <s v="Proposed"/>
  </r>
  <r>
    <n v="2018"/>
    <s v="Bangladesh"/>
    <x v="2"/>
    <s v="Nonsovereign"/>
    <s v="Bangladesh: Bangladesh Bhola IPP"/>
    <n v="60"/>
    <s v="Approved"/>
  </r>
  <r>
    <n v="2018"/>
    <s v="Egypt"/>
    <x v="9"/>
    <s v="Sovereign"/>
    <s v="Egypt: Sustainable Rural Sanitation Services Program, Phase-2"/>
    <n v="300"/>
    <s v="Approved"/>
  </r>
  <r>
    <n v="2018"/>
    <s v="India"/>
    <x v="5"/>
    <s v="Sovereign"/>
    <s v="India: Andhra Pradesh Rural Roads"/>
    <n v="455"/>
    <s v="Approved"/>
  </r>
  <r>
    <n v="2018"/>
    <s v="India"/>
    <x v="9"/>
    <s v="Sovereign"/>
    <s v="India: Andhra Pradesh Urban Water Supply and Septage Management Improvement"/>
    <n v="400"/>
    <s v="Approved"/>
  </r>
  <r>
    <n v="2018"/>
    <s v="India"/>
    <x v="5"/>
    <s v="Sovereign"/>
    <s v="India: Madhya Pradesh Rural Connectivity"/>
    <n v="140"/>
    <s v="Approved"/>
  </r>
  <r>
    <n v="2018"/>
    <s v="India"/>
    <x v="3"/>
    <s v="Nonsovereign"/>
    <s v="India: National Investment and Infrastructure Fund Phase I"/>
    <n v="100"/>
    <s v="Approved"/>
  </r>
  <r>
    <n v="2018"/>
    <s v="Indonesia"/>
    <x v="8"/>
    <s v="Sovereign"/>
    <s v="Indonesia: Mandalika Urban and Tourism Infrastructure"/>
    <n v="248.4"/>
    <s v="Approved"/>
  </r>
  <r>
    <n v="2018"/>
    <s v="Indonesia"/>
    <x v="9"/>
    <s v="Sovereign"/>
    <s v="Indonesia: Strategic Irrigation Modernization and Urgent Rehabilitation Project"/>
    <n v="250"/>
    <s v="Approved"/>
  </r>
  <r>
    <n v="2018"/>
    <s v="Multicountry"/>
    <x v="3"/>
    <s v="Nonsovereign"/>
    <s v="Multicountry: AIIB Asia ESG Enhanced Credit Managed Portfolio"/>
    <n v="500"/>
    <s v="Approved"/>
  </r>
  <r>
    <n v="2018"/>
    <s v="Turkey"/>
    <x v="3"/>
    <s v="Sovereign"/>
    <s v="Turkey: TSKB Sustainable Energy and Infrastructure On-lending Facility"/>
    <n v="200"/>
    <s v="Approved"/>
  </r>
  <r>
    <n v="2018"/>
    <s v="Turkey"/>
    <x v="2"/>
    <s v="Sovereign"/>
    <s v="Turkey: Tuz Golu Turkey Gas Storage Expansion Project"/>
    <n v="600"/>
    <s v="Approved"/>
  </r>
  <r>
    <n v="2018"/>
    <s v="India"/>
    <x v="5"/>
    <s v="Nonsovereign"/>
    <s v="India: OSE InvIT"/>
    <n v="50"/>
    <s v="Approved"/>
  </r>
  <r>
    <s v="Awaiting Approval"/>
    <s v="Nepal"/>
    <x v="2"/>
    <s v="Sovereign"/>
    <s v="Nepal: Tamakoshi V Hydroelectric Project (TV-HEP)"/>
    <n v="112"/>
    <s v="Proposed"/>
  </r>
  <r>
    <s v="Awaiting Approval"/>
    <s v="Pakistan"/>
    <x v="9"/>
    <s v="Sovereign"/>
    <s v="Pakistan: Lahore Water and Wastewater Management"/>
    <n v="235"/>
    <s v="Proposed"/>
  </r>
  <r>
    <s v="Awaiting Approval"/>
    <s v="Sri Lanka"/>
    <x v="9"/>
    <s v="Sovereign"/>
    <s v="Sri Lanka: Anuradhapura Wastewater Management"/>
    <n v="50"/>
    <s v="Proposed"/>
  </r>
  <r>
    <n v="2017"/>
    <s v="Bangladesh"/>
    <x v="2"/>
    <s v="Sovereign"/>
    <s v="Bangladesh: Natural Gas Infrastructure and Efficiency Improvement"/>
    <n v="60"/>
    <s v="Approved"/>
  </r>
  <r>
    <n v="2017"/>
    <s v="China"/>
    <x v="2"/>
    <s v="Nonsovereign"/>
    <s v="China: Beijing Air Quality Improvement and Coal Replacement"/>
    <n v="250"/>
    <s v="Approved"/>
  </r>
  <r>
    <n v="2017"/>
    <s v="Egypt"/>
    <x v="2"/>
    <s v="Nonsovereign"/>
    <s v="Egypt: Egypt Round II Solar PV Feed-in Tariffs Program"/>
    <n v="210"/>
    <s v="Approved"/>
  </r>
  <r>
    <n v="2017"/>
    <s v="Georgia"/>
    <x v="5"/>
    <s v="Sovereign"/>
    <s v="Georgia: Batumi Bypass Road"/>
    <n v="114"/>
    <s v="Approved"/>
  </r>
  <r>
    <n v="2017"/>
    <s v="India"/>
    <x v="2"/>
    <s v="Sovereign"/>
    <s v="India: Andhra Pradesh 24x7 – Power For All"/>
    <n v="160"/>
    <s v="Approved"/>
  </r>
  <r>
    <n v="2017"/>
    <s v="India"/>
    <x v="5"/>
    <s v="Sovereign"/>
    <s v="India: Bangalore Metro Rail Project - Line R6"/>
    <n v="335"/>
    <s v="Approved"/>
  </r>
  <r>
    <n v="2017"/>
    <s v="India"/>
    <x v="5"/>
    <s v="Sovereign"/>
    <s v="India: Gujarat Rural Roads (MMGSY)"/>
    <n v="329"/>
    <s v="Approved"/>
  </r>
  <r>
    <n v="2017"/>
    <s v="India"/>
    <x v="2"/>
    <s v="Sovereign"/>
    <s v="India: Transmission System Strengthening (Tamil Nadu)"/>
    <n v="100"/>
    <s v="Approved"/>
  </r>
  <r>
    <n v="2017"/>
    <s v="Indonesia"/>
    <x v="9"/>
    <s v="Sovereign"/>
    <s v="Indonesia: Dam Operational Improvement and Safety Project Phase II"/>
    <n v="125"/>
    <s v="Approved"/>
  </r>
  <r>
    <n v="2017"/>
    <s v="Indonesia"/>
    <x v="8"/>
    <s v="Sovereign"/>
    <s v="Indonesia: Regional Infrastructure Development Fund"/>
    <n v="100"/>
    <s v="Approved"/>
  </r>
  <r>
    <n v="2017"/>
    <s v="Multicountry"/>
    <x v="3"/>
    <s v="Nonsovereign"/>
    <s v="Multicountry: International Finance Corporation Emerging Asia Fund"/>
    <n v="150"/>
    <s v="Approved"/>
  </r>
  <r>
    <n v="2017"/>
    <s v="Oman"/>
    <x v="4"/>
    <s v="Nonsovereign"/>
    <s v="Oman: Oman Broadband Infrastructure"/>
    <n v="152.1"/>
    <s v="Approved"/>
  </r>
  <r>
    <n v="2017"/>
    <s v="Philippines"/>
    <x v="9"/>
    <s v="Sovereign"/>
    <s v="Philippines: Metro Manila Flood Management"/>
    <n v="207.6"/>
    <s v="Approved"/>
  </r>
  <r>
    <n v="2017"/>
    <s v="Tajikistan"/>
    <x v="2"/>
    <s v="Sovereign"/>
    <s v="Tajikistan: Nurek Hydropower Rehabilitation, Phase I"/>
    <n v="60"/>
    <s v="Approved"/>
  </r>
  <r>
    <n v="2017"/>
    <s v="India"/>
    <x v="3"/>
    <s v="Nonsovereign"/>
    <s v="India: North Haven India Infrastructure Fund (Previously: India Infrastructure Fund)"/>
    <n v="150"/>
    <s v="Approved"/>
  </r>
  <r>
    <s v="Awaiting Approval"/>
    <s v="Georgia"/>
    <x v="2"/>
    <s v="Nonsovereign"/>
    <s v="Georgia: 280 MW Nenskra Hydropower Plant"/>
    <n v="100"/>
    <s v="Proposed"/>
  </r>
  <r>
    <s v="Awaiting Approval"/>
    <s v="Nepal"/>
    <x v="8"/>
    <s v="Sovereign"/>
    <s v="Nepal: Urban Infrastructure Investment Project"/>
    <n v="100"/>
    <s v="Proposed"/>
  </r>
  <r>
    <n v="2016"/>
    <s v="Azerbaijan"/>
    <x v="2"/>
    <s v="Sovereign"/>
    <s v="Azerbaijan: Trans Anatolian Natural Gas Pipeline Project (TANAP)"/>
    <n v="600"/>
    <s v="Approved"/>
  </r>
  <r>
    <n v="2016"/>
    <s v="Bangladesh"/>
    <x v="2"/>
    <s v="Sovereign"/>
    <s v="Bangladesh: Distribution System Upgrade and Expansion"/>
    <n v="165"/>
    <s v="Approved"/>
  </r>
  <r>
    <n v="2016"/>
    <s v="Indonesia"/>
    <x v="8"/>
    <s v="Sovereign"/>
    <s v="Indonesia: National Slum Upgrading Project"/>
    <n v="216.5"/>
    <s v="Approved"/>
  </r>
  <r>
    <n v="2016"/>
    <s v="Myanmar"/>
    <x v="2"/>
    <s v="Nonsovereign"/>
    <s v="Myanmar: Myingyan 225 MW Combined Cycle Gas Turbine (CCGT) Power Plant Project"/>
    <n v="20"/>
    <s v="Approved"/>
  </r>
  <r>
    <n v="2016"/>
    <s v="Oman"/>
    <x v="5"/>
    <s v="Sovereign"/>
    <s v="Oman: Duqm Port Commercial Terminal and Operational Zone Development"/>
    <n v="265"/>
    <s v="Approved"/>
  </r>
  <r>
    <n v="2016"/>
    <s v="Pakistan"/>
    <x v="5"/>
    <s v="Sovereign"/>
    <s v="Pakistan: National Motorway M-4 (Shorkot-Khanewal Section)"/>
    <n v="100"/>
    <s v="Approved"/>
  </r>
  <r>
    <n v="2016"/>
    <s v="Pakistan"/>
    <x v="2"/>
    <s v="Sovereign"/>
    <s v="Pakistan: Tarbela 5 Hydropower Extension"/>
    <n v="300"/>
    <s v="Approved"/>
  </r>
  <r>
    <n v="2016"/>
    <s v="Tajikistan"/>
    <x v="5"/>
    <s v="Sovereign"/>
    <s v="Tajikistan: Dushanbe-Uzbekistan Border Road Improvement"/>
    <n v="27.5"/>
    <s v="Approve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5" cacheId="29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multipleFieldFilters="0" chartFormat="14">
  <location ref="A3:B15" firstHeaderRow="1" firstDataRow="1" firstDataCol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0"/>
        <item x="7"/>
        <item x="2"/>
        <item x="6"/>
        <item x="3"/>
        <item x="4"/>
        <item x="10"/>
        <item x="1"/>
        <item x="11"/>
        <item x="5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Items count="1">
    <i/>
  </colItems>
  <dataFields count="1">
    <dataField name="Sum of FINANCING AMOUNT" fld="5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6"/>
  <sheetViews>
    <sheetView topLeftCell="A170" workbookViewId="0">
      <selection activeCell="G192" sqref="G192"/>
    </sheetView>
  </sheetViews>
  <sheetFormatPr defaultRowHeight="14.4" x14ac:dyDescent="0.55000000000000004"/>
  <cols>
    <col min="1" max="1" width="16.5234375" style="2" customWidth="1"/>
    <col min="2" max="2" width="19.68359375" bestFit="1" customWidth="1"/>
    <col min="3" max="3" width="22.734375" customWidth="1"/>
    <col min="4" max="4" width="34.578125" bestFit="1" customWidth="1"/>
    <col min="5" max="5" width="44.1015625" style="1" customWidth="1"/>
    <col min="6" max="6" width="30.7890625" style="2" bestFit="1" customWidth="1"/>
    <col min="7" max="7" width="10.3671875" customWidth="1"/>
    <col min="8" max="8" width="16.7890625" style="2" customWidth="1"/>
    <col min="9" max="9" width="19.68359375" style="2" bestFit="1" customWidth="1"/>
    <col min="11" max="11" width="29.89453125" bestFit="1" customWidth="1"/>
  </cols>
  <sheetData>
    <row r="1" spans="1:9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245</v>
      </c>
      <c r="I1" s="2" t="s">
        <v>246</v>
      </c>
    </row>
    <row r="2" spans="1:9" ht="43.2" x14ac:dyDescent="0.55000000000000004">
      <c r="A2" s="2" t="s">
        <v>35</v>
      </c>
      <c r="B2" t="s">
        <v>7</v>
      </c>
      <c r="C2" t="s">
        <v>8</v>
      </c>
      <c r="D2" t="s">
        <v>9</v>
      </c>
      <c r="E2" s="1" t="s">
        <v>10</v>
      </c>
      <c r="F2" s="2">
        <v>250</v>
      </c>
      <c r="G2" t="s">
        <v>11</v>
      </c>
      <c r="H2" s="2">
        <v>2021</v>
      </c>
      <c r="I2" s="2" t="s">
        <v>247</v>
      </c>
    </row>
    <row r="3" spans="1:9" x14ac:dyDescent="0.55000000000000004">
      <c r="A3" s="2" t="s">
        <v>35</v>
      </c>
      <c r="B3" t="s">
        <v>12</v>
      </c>
      <c r="C3" t="s">
        <v>13</v>
      </c>
      <c r="D3" t="s">
        <v>9</v>
      </c>
      <c r="E3" s="1" t="s">
        <v>14</v>
      </c>
      <c r="F3" s="2">
        <v>50</v>
      </c>
      <c r="G3" t="s">
        <v>11</v>
      </c>
      <c r="H3" s="2">
        <v>2021</v>
      </c>
      <c r="I3" s="2" t="s">
        <v>248</v>
      </c>
    </row>
    <row r="4" spans="1:9" ht="28.8" x14ac:dyDescent="0.55000000000000004">
      <c r="A4" s="2" t="s">
        <v>35</v>
      </c>
      <c r="B4" t="s">
        <v>15</v>
      </c>
      <c r="C4" t="s">
        <v>16</v>
      </c>
      <c r="D4" t="s">
        <v>9</v>
      </c>
      <c r="E4" s="1" t="s">
        <v>17</v>
      </c>
      <c r="F4" s="2">
        <v>130.5</v>
      </c>
      <c r="G4" t="s">
        <v>11</v>
      </c>
      <c r="H4" s="2">
        <v>2021</v>
      </c>
      <c r="I4" s="2" t="s">
        <v>247</v>
      </c>
    </row>
    <row r="5" spans="1:9" x14ac:dyDescent="0.55000000000000004">
      <c r="A5" s="2" t="s">
        <v>35</v>
      </c>
      <c r="B5" t="s">
        <v>18</v>
      </c>
      <c r="C5" t="s">
        <v>19</v>
      </c>
      <c r="D5" t="s">
        <v>20</v>
      </c>
      <c r="E5" s="1" t="s">
        <v>21</v>
      </c>
      <c r="F5" s="2">
        <v>150</v>
      </c>
      <c r="G5" t="s">
        <v>11</v>
      </c>
      <c r="H5" s="2">
        <v>2021</v>
      </c>
      <c r="I5" s="2" t="s">
        <v>247</v>
      </c>
    </row>
    <row r="6" spans="1:9" x14ac:dyDescent="0.55000000000000004">
      <c r="A6" s="2" t="s">
        <v>35</v>
      </c>
      <c r="B6" t="s">
        <v>22</v>
      </c>
      <c r="C6" t="s">
        <v>16</v>
      </c>
      <c r="D6" t="s">
        <v>20</v>
      </c>
      <c r="E6" s="1" t="s">
        <v>23</v>
      </c>
      <c r="F6" s="2">
        <v>50</v>
      </c>
      <c r="G6" t="s">
        <v>11</v>
      </c>
      <c r="H6" s="2">
        <v>2021</v>
      </c>
      <c r="I6" s="2" t="s">
        <v>247</v>
      </c>
    </row>
    <row r="7" spans="1:9" ht="28.8" x14ac:dyDescent="0.55000000000000004">
      <c r="A7" s="2" t="s">
        <v>35</v>
      </c>
      <c r="B7" t="s">
        <v>24</v>
      </c>
      <c r="C7" t="s">
        <v>8</v>
      </c>
      <c r="D7" t="s">
        <v>9</v>
      </c>
      <c r="E7" s="1" t="s">
        <v>25</v>
      </c>
      <c r="F7" s="2">
        <v>300</v>
      </c>
      <c r="G7" t="s">
        <v>11</v>
      </c>
      <c r="H7" s="2">
        <v>2021</v>
      </c>
      <c r="I7" s="2" t="s">
        <v>247</v>
      </c>
    </row>
    <row r="8" spans="1:9" x14ac:dyDescent="0.55000000000000004">
      <c r="A8" s="2" t="s">
        <v>35</v>
      </c>
      <c r="B8" t="s">
        <v>26</v>
      </c>
      <c r="C8" t="s">
        <v>27</v>
      </c>
      <c r="D8" t="s">
        <v>20</v>
      </c>
      <c r="E8" s="1" t="s">
        <v>28</v>
      </c>
      <c r="F8" s="2">
        <v>75</v>
      </c>
      <c r="G8" t="s">
        <v>11</v>
      </c>
      <c r="H8" s="2">
        <v>2021</v>
      </c>
      <c r="I8" s="2" t="s">
        <v>247</v>
      </c>
    </row>
    <row r="9" spans="1:9" ht="28.8" x14ac:dyDescent="0.55000000000000004">
      <c r="A9" s="2" t="s">
        <v>35</v>
      </c>
      <c r="B9" t="s">
        <v>29</v>
      </c>
      <c r="C9" t="s">
        <v>8</v>
      </c>
      <c r="D9" t="s">
        <v>9</v>
      </c>
      <c r="E9" s="1" t="s">
        <v>30</v>
      </c>
      <c r="F9" s="2">
        <v>100</v>
      </c>
      <c r="G9" t="s">
        <v>11</v>
      </c>
      <c r="H9" s="2">
        <v>2021</v>
      </c>
      <c r="I9" s="2" t="s">
        <v>248</v>
      </c>
    </row>
    <row r="10" spans="1:9" ht="28.8" x14ac:dyDescent="0.55000000000000004">
      <c r="A10" s="2" t="s">
        <v>35</v>
      </c>
      <c r="B10" t="s">
        <v>26</v>
      </c>
      <c r="C10" t="s">
        <v>31</v>
      </c>
      <c r="D10" t="s">
        <v>9</v>
      </c>
      <c r="E10" s="1" t="s">
        <v>32</v>
      </c>
      <c r="F10" s="2">
        <v>150</v>
      </c>
      <c r="G10" t="s">
        <v>11</v>
      </c>
      <c r="H10" s="2">
        <v>2021</v>
      </c>
      <c r="I10" s="2" t="s">
        <v>247</v>
      </c>
    </row>
    <row r="11" spans="1:9" ht="28.8" x14ac:dyDescent="0.55000000000000004">
      <c r="A11" s="2" t="s">
        <v>35</v>
      </c>
      <c r="B11" t="s">
        <v>33</v>
      </c>
      <c r="C11" t="s">
        <v>13</v>
      </c>
      <c r="D11" t="s">
        <v>9</v>
      </c>
      <c r="E11" s="1" t="s">
        <v>34</v>
      </c>
      <c r="F11" s="2">
        <v>500</v>
      </c>
      <c r="G11" t="s">
        <v>11</v>
      </c>
      <c r="H11" s="2">
        <v>2021</v>
      </c>
      <c r="I11" s="2" t="s">
        <v>248</v>
      </c>
    </row>
    <row r="12" spans="1:9" ht="28.8" x14ac:dyDescent="0.55000000000000004">
      <c r="A12" s="2" t="s">
        <v>35</v>
      </c>
      <c r="B12" t="s">
        <v>36</v>
      </c>
      <c r="C12" t="s">
        <v>37</v>
      </c>
      <c r="D12" t="s">
        <v>9</v>
      </c>
      <c r="E12" s="1" t="s">
        <v>38</v>
      </c>
      <c r="F12" s="2">
        <v>100</v>
      </c>
      <c r="G12" t="s">
        <v>11</v>
      </c>
      <c r="H12" s="2">
        <v>2021</v>
      </c>
      <c r="I12" s="2" t="s">
        <v>248</v>
      </c>
    </row>
    <row r="13" spans="1:9" ht="28.8" x14ac:dyDescent="0.55000000000000004">
      <c r="A13" s="2" t="s">
        <v>35</v>
      </c>
      <c r="B13" t="s">
        <v>22</v>
      </c>
      <c r="C13" t="s">
        <v>39</v>
      </c>
      <c r="D13" t="s">
        <v>9</v>
      </c>
      <c r="E13" s="1" t="s">
        <v>40</v>
      </c>
      <c r="F13" s="2">
        <v>250</v>
      </c>
      <c r="G13" t="s">
        <v>11</v>
      </c>
      <c r="H13" s="2">
        <v>2021</v>
      </c>
      <c r="I13" s="2" t="s">
        <v>247</v>
      </c>
    </row>
    <row r="14" spans="1:9" ht="28.8" x14ac:dyDescent="0.55000000000000004">
      <c r="A14" s="2" t="s">
        <v>35</v>
      </c>
      <c r="B14" t="s">
        <v>36</v>
      </c>
      <c r="C14" t="s">
        <v>8</v>
      </c>
      <c r="D14" t="s">
        <v>9</v>
      </c>
      <c r="E14" s="1" t="s">
        <v>41</v>
      </c>
      <c r="F14" s="2">
        <v>100</v>
      </c>
      <c r="G14" t="s">
        <v>11</v>
      </c>
      <c r="H14" s="2">
        <v>2021</v>
      </c>
      <c r="I14" s="2" t="s">
        <v>247</v>
      </c>
    </row>
    <row r="15" spans="1:9" ht="28.8" x14ac:dyDescent="0.55000000000000004">
      <c r="A15" s="2" t="s">
        <v>35</v>
      </c>
      <c r="B15" t="s">
        <v>22</v>
      </c>
      <c r="C15" t="s">
        <v>16</v>
      </c>
      <c r="D15" t="s">
        <v>9</v>
      </c>
      <c r="E15" s="1" t="s">
        <v>42</v>
      </c>
      <c r="F15" s="2">
        <v>140</v>
      </c>
      <c r="G15" t="s">
        <v>11</v>
      </c>
      <c r="H15" s="2">
        <v>2021</v>
      </c>
      <c r="I15" s="2" t="s">
        <v>247</v>
      </c>
    </row>
    <row r="16" spans="1:9" ht="28.8" x14ac:dyDescent="0.55000000000000004">
      <c r="A16" s="2" t="s">
        <v>35</v>
      </c>
      <c r="B16" t="s">
        <v>43</v>
      </c>
      <c r="C16" t="s">
        <v>13</v>
      </c>
      <c r="D16" t="s">
        <v>9</v>
      </c>
      <c r="E16" s="1" t="s">
        <v>44</v>
      </c>
      <c r="F16" s="2">
        <v>116.27</v>
      </c>
      <c r="G16" t="s">
        <v>11</v>
      </c>
      <c r="H16" s="2">
        <v>2021</v>
      </c>
      <c r="I16" s="2" t="s">
        <v>248</v>
      </c>
    </row>
    <row r="17" spans="1:9" ht="28.8" x14ac:dyDescent="0.55000000000000004">
      <c r="A17" s="2" t="s">
        <v>35</v>
      </c>
      <c r="B17" t="s">
        <v>22</v>
      </c>
      <c r="C17" t="s">
        <v>45</v>
      </c>
      <c r="D17" t="s">
        <v>9</v>
      </c>
      <c r="E17" s="1" t="s">
        <v>46</v>
      </c>
      <c r="F17" s="2">
        <v>150</v>
      </c>
      <c r="G17" t="s">
        <v>11</v>
      </c>
      <c r="H17" s="2">
        <v>2021</v>
      </c>
      <c r="I17" s="2" t="s">
        <v>247</v>
      </c>
    </row>
    <row r="18" spans="1:9" ht="28.8" x14ac:dyDescent="0.55000000000000004">
      <c r="A18" s="2" t="s">
        <v>35</v>
      </c>
      <c r="B18" t="s">
        <v>22</v>
      </c>
      <c r="C18" t="s">
        <v>47</v>
      </c>
      <c r="D18" t="s">
        <v>9</v>
      </c>
      <c r="E18" s="1" t="s">
        <v>48</v>
      </c>
      <c r="F18" s="2">
        <v>230</v>
      </c>
      <c r="G18" t="s">
        <v>11</v>
      </c>
      <c r="H18" s="2">
        <v>2021</v>
      </c>
      <c r="I18" s="2" t="s">
        <v>247</v>
      </c>
    </row>
    <row r="19" spans="1:9" ht="28.8" x14ac:dyDescent="0.55000000000000004">
      <c r="A19" s="2">
        <v>2021</v>
      </c>
      <c r="B19" t="s">
        <v>49</v>
      </c>
      <c r="C19" t="s">
        <v>13</v>
      </c>
      <c r="D19" t="s">
        <v>9</v>
      </c>
      <c r="E19" s="1" t="s">
        <v>50</v>
      </c>
      <c r="F19" s="2">
        <v>21</v>
      </c>
      <c r="G19" t="s">
        <v>51</v>
      </c>
      <c r="H19" s="2">
        <v>2021</v>
      </c>
      <c r="I19" s="2" t="s">
        <v>248</v>
      </c>
    </row>
    <row r="20" spans="1:9" x14ac:dyDescent="0.55000000000000004">
      <c r="A20" s="2">
        <v>2021</v>
      </c>
      <c r="B20" t="s">
        <v>52</v>
      </c>
      <c r="C20" t="s">
        <v>16</v>
      </c>
      <c r="D20" t="s">
        <v>20</v>
      </c>
      <c r="E20" s="1" t="s">
        <v>53</v>
      </c>
      <c r="F20" s="2">
        <v>100</v>
      </c>
      <c r="G20" t="s">
        <v>51</v>
      </c>
      <c r="H20" s="2">
        <v>2021</v>
      </c>
      <c r="I20" s="2" t="s">
        <v>247</v>
      </c>
    </row>
    <row r="21" spans="1:9" ht="28.8" x14ac:dyDescent="0.55000000000000004">
      <c r="A21" s="2">
        <v>2021</v>
      </c>
      <c r="B21" t="s">
        <v>52</v>
      </c>
      <c r="C21" t="s">
        <v>45</v>
      </c>
      <c r="D21" t="s">
        <v>9</v>
      </c>
      <c r="E21" s="1" t="s">
        <v>54</v>
      </c>
      <c r="F21" s="2">
        <v>100</v>
      </c>
      <c r="G21" t="s">
        <v>51</v>
      </c>
      <c r="H21" s="2">
        <v>2021</v>
      </c>
      <c r="I21" s="2" t="s">
        <v>247</v>
      </c>
    </row>
    <row r="22" spans="1:9" ht="28.8" x14ac:dyDescent="0.55000000000000004">
      <c r="A22" s="2">
        <v>2021</v>
      </c>
      <c r="B22" t="s">
        <v>18</v>
      </c>
      <c r="C22" t="s">
        <v>19</v>
      </c>
      <c r="D22" t="s">
        <v>20</v>
      </c>
      <c r="E22" s="1" t="s">
        <v>55</v>
      </c>
      <c r="F22" s="2">
        <v>150</v>
      </c>
      <c r="G22" t="s">
        <v>51</v>
      </c>
      <c r="H22" s="2">
        <v>2021</v>
      </c>
      <c r="I22" s="2" t="s">
        <v>247</v>
      </c>
    </row>
    <row r="23" spans="1:9" x14ac:dyDescent="0.55000000000000004">
      <c r="A23" s="2">
        <v>2021</v>
      </c>
      <c r="B23" t="s">
        <v>56</v>
      </c>
      <c r="C23" t="s">
        <v>19</v>
      </c>
      <c r="D23" t="s">
        <v>20</v>
      </c>
      <c r="E23" s="1" t="s">
        <v>57</v>
      </c>
      <c r="F23" s="2">
        <v>80</v>
      </c>
      <c r="G23" t="s">
        <v>51</v>
      </c>
      <c r="H23" s="2">
        <v>2021</v>
      </c>
      <c r="I23" s="2" t="s">
        <v>247</v>
      </c>
    </row>
    <row r="24" spans="1:9" ht="28.8" x14ac:dyDescent="0.55000000000000004">
      <c r="A24" s="2">
        <v>2021</v>
      </c>
      <c r="B24" t="s">
        <v>22</v>
      </c>
      <c r="C24" t="s">
        <v>16</v>
      </c>
      <c r="D24" t="s">
        <v>20</v>
      </c>
      <c r="E24" s="1" t="s">
        <v>58</v>
      </c>
      <c r="F24" s="2">
        <v>75</v>
      </c>
      <c r="G24" t="s">
        <v>51</v>
      </c>
      <c r="H24" s="2">
        <v>2021</v>
      </c>
      <c r="I24" s="2" t="s">
        <v>247</v>
      </c>
    </row>
    <row r="25" spans="1:9" x14ac:dyDescent="0.55000000000000004">
      <c r="A25" s="2" t="s">
        <v>35</v>
      </c>
      <c r="B25" t="s">
        <v>22</v>
      </c>
      <c r="C25" t="s">
        <v>59</v>
      </c>
      <c r="D25" t="s">
        <v>9</v>
      </c>
      <c r="E25" s="1" t="s">
        <v>60</v>
      </c>
      <c r="F25" s="2">
        <v>125</v>
      </c>
      <c r="G25" t="s">
        <v>11</v>
      </c>
      <c r="H25" s="2">
        <v>2021</v>
      </c>
      <c r="I25" s="2" t="s">
        <v>247</v>
      </c>
    </row>
    <row r="26" spans="1:9" x14ac:dyDescent="0.55000000000000004">
      <c r="A26" s="2">
        <v>2021</v>
      </c>
      <c r="B26" t="s">
        <v>61</v>
      </c>
      <c r="C26" t="s">
        <v>37</v>
      </c>
      <c r="D26" t="s">
        <v>9</v>
      </c>
      <c r="E26" s="1" t="s">
        <v>62</v>
      </c>
      <c r="F26" s="2">
        <v>250</v>
      </c>
      <c r="G26" t="s">
        <v>51</v>
      </c>
      <c r="H26" s="2">
        <v>2021</v>
      </c>
      <c r="I26" s="2" t="s">
        <v>248</v>
      </c>
    </row>
    <row r="27" spans="1:9" x14ac:dyDescent="0.55000000000000004">
      <c r="A27" s="2">
        <v>2021</v>
      </c>
      <c r="B27" t="s">
        <v>63</v>
      </c>
      <c r="C27" t="s">
        <v>37</v>
      </c>
      <c r="D27" t="s">
        <v>20</v>
      </c>
      <c r="E27" s="1" t="s">
        <v>64</v>
      </c>
      <c r="F27" s="2">
        <v>100</v>
      </c>
      <c r="G27" t="s">
        <v>51</v>
      </c>
      <c r="H27" s="2">
        <v>2021</v>
      </c>
      <c r="I27" s="2" t="s">
        <v>248</v>
      </c>
    </row>
    <row r="28" spans="1:9" x14ac:dyDescent="0.55000000000000004">
      <c r="A28" s="2">
        <v>2021</v>
      </c>
      <c r="B28" t="s">
        <v>22</v>
      </c>
      <c r="C28" t="s">
        <v>45</v>
      </c>
      <c r="D28" t="s">
        <v>9</v>
      </c>
      <c r="E28" s="1" t="s">
        <v>65</v>
      </c>
      <c r="F28" s="2">
        <v>105</v>
      </c>
      <c r="G28" t="s">
        <v>51</v>
      </c>
      <c r="H28" s="2">
        <v>2021</v>
      </c>
      <c r="I28" s="2" t="s">
        <v>247</v>
      </c>
    </row>
    <row r="29" spans="1:9" x14ac:dyDescent="0.55000000000000004">
      <c r="A29" s="2">
        <v>2021</v>
      </c>
      <c r="B29" t="s">
        <v>22</v>
      </c>
      <c r="C29" t="s">
        <v>45</v>
      </c>
      <c r="D29" t="s">
        <v>9</v>
      </c>
      <c r="E29" s="1" t="s">
        <v>66</v>
      </c>
      <c r="F29" s="2">
        <v>105</v>
      </c>
      <c r="G29" t="s">
        <v>51</v>
      </c>
      <c r="H29" s="2">
        <v>2021</v>
      </c>
      <c r="I29" s="2" t="s">
        <v>247</v>
      </c>
    </row>
    <row r="30" spans="1:9" ht="28.8" x14ac:dyDescent="0.55000000000000004">
      <c r="A30" s="2">
        <v>2021</v>
      </c>
      <c r="B30" t="s">
        <v>18</v>
      </c>
      <c r="C30" t="s">
        <v>19</v>
      </c>
      <c r="D30" t="s">
        <v>20</v>
      </c>
      <c r="E30" s="1" t="s">
        <v>67</v>
      </c>
      <c r="F30" s="2">
        <v>90</v>
      </c>
      <c r="G30" t="s">
        <v>51</v>
      </c>
      <c r="H30" s="2">
        <v>2021</v>
      </c>
      <c r="I30" s="2" t="s">
        <v>247</v>
      </c>
    </row>
    <row r="31" spans="1:9" ht="43.2" x14ac:dyDescent="0.55000000000000004">
      <c r="A31" s="2">
        <v>2021</v>
      </c>
      <c r="B31" t="s">
        <v>68</v>
      </c>
      <c r="C31" t="s">
        <v>13</v>
      </c>
      <c r="D31" t="s">
        <v>9</v>
      </c>
      <c r="E31" s="1" t="s">
        <v>69</v>
      </c>
      <c r="F31" s="2">
        <v>300</v>
      </c>
      <c r="G31" t="s">
        <v>51</v>
      </c>
      <c r="H31" s="2">
        <v>2021</v>
      </c>
      <c r="I31" s="2" t="s">
        <v>248</v>
      </c>
    </row>
    <row r="32" spans="1:9" ht="28.8" x14ac:dyDescent="0.55000000000000004">
      <c r="A32" s="2">
        <v>2021</v>
      </c>
      <c r="B32" t="s">
        <v>70</v>
      </c>
      <c r="C32" t="s">
        <v>37</v>
      </c>
      <c r="D32" t="s">
        <v>9</v>
      </c>
      <c r="E32" s="1" t="s">
        <v>71</v>
      </c>
      <c r="F32" s="2">
        <v>180</v>
      </c>
      <c r="G32" t="s">
        <v>51</v>
      </c>
      <c r="H32" s="2">
        <v>2021</v>
      </c>
      <c r="I32" s="2" t="s">
        <v>248</v>
      </c>
    </row>
    <row r="33" spans="1:9" ht="28.8" x14ac:dyDescent="0.55000000000000004">
      <c r="A33" s="2">
        <v>2021</v>
      </c>
      <c r="B33" t="s">
        <v>72</v>
      </c>
      <c r="C33" t="s">
        <v>16</v>
      </c>
      <c r="D33" t="s">
        <v>9</v>
      </c>
      <c r="E33" s="1" t="s">
        <v>73</v>
      </c>
      <c r="F33" s="2">
        <v>20</v>
      </c>
      <c r="G33" t="s">
        <v>51</v>
      </c>
      <c r="H33" s="2">
        <v>2021</v>
      </c>
      <c r="I33" s="2" t="s">
        <v>247</v>
      </c>
    </row>
    <row r="34" spans="1:9" x14ac:dyDescent="0.55000000000000004">
      <c r="A34" s="2">
        <v>2021</v>
      </c>
      <c r="B34" t="s">
        <v>15</v>
      </c>
      <c r="C34" t="s">
        <v>31</v>
      </c>
      <c r="D34" t="s">
        <v>9</v>
      </c>
      <c r="E34" s="1" t="s">
        <v>74</v>
      </c>
      <c r="F34" s="2">
        <v>260</v>
      </c>
      <c r="G34" t="s">
        <v>51</v>
      </c>
      <c r="H34" s="2">
        <v>2021</v>
      </c>
      <c r="I34" s="2" t="s">
        <v>247</v>
      </c>
    </row>
    <row r="35" spans="1:9" ht="28.8" x14ac:dyDescent="0.55000000000000004">
      <c r="A35" s="2">
        <v>2021</v>
      </c>
      <c r="B35" t="s">
        <v>15</v>
      </c>
      <c r="C35" t="s">
        <v>37</v>
      </c>
      <c r="D35" t="s">
        <v>9</v>
      </c>
      <c r="E35" s="1" t="s">
        <v>75</v>
      </c>
      <c r="F35" s="2">
        <v>300</v>
      </c>
      <c r="G35" t="s">
        <v>51</v>
      </c>
      <c r="H35" s="2">
        <v>2021</v>
      </c>
      <c r="I35" s="2" t="s">
        <v>248</v>
      </c>
    </row>
    <row r="36" spans="1:9" ht="28.8" x14ac:dyDescent="0.55000000000000004">
      <c r="A36" s="2">
        <v>2021</v>
      </c>
      <c r="B36" t="s">
        <v>22</v>
      </c>
      <c r="C36" t="s">
        <v>16</v>
      </c>
      <c r="D36" t="s">
        <v>9</v>
      </c>
      <c r="E36" s="1" t="s">
        <v>76</v>
      </c>
      <c r="F36" s="2">
        <v>304</v>
      </c>
      <c r="G36" t="s">
        <v>51</v>
      </c>
      <c r="H36" s="2">
        <v>2021</v>
      </c>
      <c r="I36" s="2" t="s">
        <v>247</v>
      </c>
    </row>
    <row r="37" spans="1:9" ht="28.8" x14ac:dyDescent="0.55000000000000004">
      <c r="A37" s="2">
        <v>2021</v>
      </c>
      <c r="B37" t="s">
        <v>33</v>
      </c>
      <c r="C37" t="s">
        <v>16</v>
      </c>
      <c r="D37" t="s">
        <v>9</v>
      </c>
      <c r="E37" s="1" t="s">
        <v>77</v>
      </c>
      <c r="F37" s="2">
        <v>310</v>
      </c>
      <c r="G37" t="s">
        <v>51</v>
      </c>
      <c r="H37" s="2">
        <v>2021</v>
      </c>
      <c r="I37" s="2" t="s">
        <v>247</v>
      </c>
    </row>
    <row r="38" spans="1:9" ht="28.8" x14ac:dyDescent="0.55000000000000004">
      <c r="A38" s="2">
        <v>2021</v>
      </c>
      <c r="B38" t="s">
        <v>18</v>
      </c>
      <c r="C38" t="s">
        <v>19</v>
      </c>
      <c r="D38" t="s">
        <v>20</v>
      </c>
      <c r="E38" s="1" t="s">
        <v>78</v>
      </c>
      <c r="F38" s="2">
        <v>150</v>
      </c>
      <c r="G38" t="s">
        <v>51</v>
      </c>
      <c r="H38" s="2">
        <v>2021</v>
      </c>
      <c r="I38" s="2" t="s">
        <v>247</v>
      </c>
    </row>
    <row r="39" spans="1:9" ht="28.8" x14ac:dyDescent="0.55000000000000004">
      <c r="A39" s="2" t="s">
        <v>35</v>
      </c>
      <c r="B39" t="s">
        <v>70</v>
      </c>
      <c r="C39" t="s">
        <v>16</v>
      </c>
      <c r="D39" t="s">
        <v>9</v>
      </c>
      <c r="E39" s="1" t="s">
        <v>79</v>
      </c>
      <c r="F39" s="2">
        <v>52</v>
      </c>
      <c r="G39" t="s">
        <v>11</v>
      </c>
      <c r="H39" s="2">
        <v>2020</v>
      </c>
      <c r="I39" s="2" t="s">
        <v>247</v>
      </c>
    </row>
    <row r="40" spans="1:9" ht="28.8" x14ac:dyDescent="0.55000000000000004">
      <c r="A40" s="2" t="s">
        <v>35</v>
      </c>
      <c r="B40" t="s">
        <v>22</v>
      </c>
      <c r="C40" t="s">
        <v>31</v>
      </c>
      <c r="D40" t="s">
        <v>9</v>
      </c>
      <c r="E40" s="1" t="s">
        <v>80</v>
      </c>
      <c r="F40" s="2">
        <v>320</v>
      </c>
      <c r="G40" t="s">
        <v>11</v>
      </c>
      <c r="H40" s="2">
        <v>2020</v>
      </c>
      <c r="I40" s="2" t="s">
        <v>247</v>
      </c>
    </row>
    <row r="41" spans="1:9" ht="28.8" x14ac:dyDescent="0.55000000000000004">
      <c r="A41" s="2" t="s">
        <v>35</v>
      </c>
      <c r="B41" t="s">
        <v>81</v>
      </c>
      <c r="C41" t="s">
        <v>47</v>
      </c>
      <c r="D41" t="s">
        <v>9</v>
      </c>
      <c r="E41" s="1" t="s">
        <v>82</v>
      </c>
      <c r="F41" s="2">
        <v>240</v>
      </c>
      <c r="G41" t="s">
        <v>11</v>
      </c>
      <c r="H41" s="2">
        <v>2020</v>
      </c>
      <c r="I41" s="2" t="s">
        <v>247</v>
      </c>
    </row>
    <row r="42" spans="1:9" ht="28.8" x14ac:dyDescent="0.55000000000000004">
      <c r="A42" s="2" t="s">
        <v>35</v>
      </c>
      <c r="B42" t="s">
        <v>22</v>
      </c>
      <c r="C42" t="s">
        <v>47</v>
      </c>
      <c r="D42" t="s">
        <v>9</v>
      </c>
      <c r="E42" s="1" t="s">
        <v>83</v>
      </c>
      <c r="F42" s="2">
        <v>250</v>
      </c>
      <c r="G42" t="s">
        <v>11</v>
      </c>
      <c r="H42" s="2">
        <v>2020</v>
      </c>
      <c r="I42" s="2" t="s">
        <v>247</v>
      </c>
    </row>
    <row r="43" spans="1:9" ht="28.8" x14ac:dyDescent="0.55000000000000004">
      <c r="A43" s="2">
        <v>2020</v>
      </c>
      <c r="B43" t="s">
        <v>84</v>
      </c>
      <c r="C43" t="s">
        <v>8</v>
      </c>
      <c r="D43" t="s">
        <v>9</v>
      </c>
      <c r="E43" s="1" t="s">
        <v>85</v>
      </c>
      <c r="F43" s="2">
        <v>20</v>
      </c>
      <c r="G43" t="s">
        <v>51</v>
      </c>
      <c r="H43" s="2">
        <v>2020</v>
      </c>
      <c r="I43" s="2" t="s">
        <v>248</v>
      </c>
    </row>
    <row r="44" spans="1:9" ht="28.8" x14ac:dyDescent="0.55000000000000004">
      <c r="A44" s="2">
        <v>2020</v>
      </c>
      <c r="B44" t="s">
        <v>12</v>
      </c>
      <c r="C44" t="s">
        <v>8</v>
      </c>
      <c r="D44" t="s">
        <v>9</v>
      </c>
      <c r="E44" s="1" t="s">
        <v>86</v>
      </c>
      <c r="F44" s="2">
        <v>60</v>
      </c>
      <c r="G44" t="s">
        <v>51</v>
      </c>
      <c r="H44" s="2">
        <v>2020</v>
      </c>
      <c r="I44" s="2" t="s">
        <v>247</v>
      </c>
    </row>
    <row r="45" spans="1:9" x14ac:dyDescent="0.55000000000000004">
      <c r="A45" s="2">
        <v>2020</v>
      </c>
      <c r="B45" t="s">
        <v>22</v>
      </c>
      <c r="C45" t="s">
        <v>16</v>
      </c>
      <c r="D45" t="s">
        <v>20</v>
      </c>
      <c r="E45" s="1" t="s">
        <v>87</v>
      </c>
      <c r="F45" s="2">
        <v>35</v>
      </c>
      <c r="G45" t="s">
        <v>51</v>
      </c>
      <c r="H45" s="2">
        <v>2020</v>
      </c>
      <c r="I45" s="2" t="s">
        <v>247</v>
      </c>
    </row>
    <row r="46" spans="1:9" ht="28.8" x14ac:dyDescent="0.55000000000000004">
      <c r="A46" s="2" t="s">
        <v>35</v>
      </c>
      <c r="B46" t="s">
        <v>26</v>
      </c>
      <c r="C46" t="s">
        <v>31</v>
      </c>
      <c r="D46" t="s">
        <v>9</v>
      </c>
      <c r="E46" s="1" t="s">
        <v>88</v>
      </c>
      <c r="F46" s="2">
        <v>150</v>
      </c>
      <c r="G46" t="s">
        <v>11</v>
      </c>
      <c r="H46" s="2">
        <v>2020</v>
      </c>
      <c r="I46" s="2" t="s">
        <v>247</v>
      </c>
    </row>
    <row r="47" spans="1:9" ht="28.8" x14ac:dyDescent="0.55000000000000004">
      <c r="A47" s="2">
        <v>2020</v>
      </c>
      <c r="B47" t="s">
        <v>89</v>
      </c>
      <c r="C47" t="s">
        <v>37</v>
      </c>
      <c r="D47" t="s">
        <v>9</v>
      </c>
      <c r="E47" s="1" t="s">
        <v>90</v>
      </c>
      <c r="F47" s="2">
        <v>50</v>
      </c>
      <c r="G47" t="s">
        <v>51</v>
      </c>
      <c r="H47" s="2">
        <v>2020</v>
      </c>
      <c r="I47" s="2" t="s">
        <v>248</v>
      </c>
    </row>
    <row r="48" spans="1:9" ht="28.8" x14ac:dyDescent="0.55000000000000004">
      <c r="A48" s="2">
        <v>2020</v>
      </c>
      <c r="B48" t="s">
        <v>18</v>
      </c>
      <c r="C48" t="s">
        <v>19</v>
      </c>
      <c r="D48" t="s">
        <v>20</v>
      </c>
      <c r="E48" s="1" t="s">
        <v>91</v>
      </c>
      <c r="F48" s="2">
        <v>100</v>
      </c>
      <c r="G48" t="s">
        <v>51</v>
      </c>
      <c r="H48" s="2">
        <v>2020</v>
      </c>
      <c r="I48" s="2" t="s">
        <v>247</v>
      </c>
    </row>
    <row r="49" spans="1:9" x14ac:dyDescent="0.55000000000000004">
      <c r="A49" s="2">
        <v>2020</v>
      </c>
      <c r="B49" t="s">
        <v>61</v>
      </c>
      <c r="C49" t="s">
        <v>37</v>
      </c>
      <c r="D49" t="s">
        <v>20</v>
      </c>
      <c r="E49" s="1" t="s">
        <v>92</v>
      </c>
      <c r="F49" s="2">
        <v>100</v>
      </c>
      <c r="G49" t="s">
        <v>51</v>
      </c>
      <c r="H49" s="2">
        <v>2020</v>
      </c>
      <c r="I49" s="2" t="s">
        <v>248</v>
      </c>
    </row>
    <row r="50" spans="1:9" ht="43.2" x14ac:dyDescent="0.55000000000000004">
      <c r="A50" s="2">
        <v>2020</v>
      </c>
      <c r="B50" t="s">
        <v>52</v>
      </c>
      <c r="C50" t="s">
        <v>37</v>
      </c>
      <c r="D50" t="s">
        <v>9</v>
      </c>
      <c r="E50" s="1" t="s">
        <v>93</v>
      </c>
      <c r="F50" s="2">
        <v>200</v>
      </c>
      <c r="G50" t="s">
        <v>51</v>
      </c>
      <c r="H50" s="2">
        <v>2020</v>
      </c>
      <c r="I50" s="2" t="s">
        <v>248</v>
      </c>
    </row>
    <row r="51" spans="1:9" ht="28.8" x14ac:dyDescent="0.55000000000000004">
      <c r="A51" s="2" t="s">
        <v>35</v>
      </c>
      <c r="B51" t="s">
        <v>81</v>
      </c>
      <c r="C51" t="s">
        <v>45</v>
      </c>
      <c r="D51" t="s">
        <v>9</v>
      </c>
      <c r="E51" s="1" t="s">
        <v>94</v>
      </c>
      <c r="F51" s="2">
        <v>142</v>
      </c>
      <c r="G51" t="s">
        <v>11</v>
      </c>
      <c r="H51" s="2">
        <v>2020</v>
      </c>
      <c r="I51" s="2" t="s">
        <v>247</v>
      </c>
    </row>
    <row r="52" spans="1:9" ht="28.8" x14ac:dyDescent="0.55000000000000004">
      <c r="A52" s="2" t="s">
        <v>35</v>
      </c>
      <c r="B52" t="s">
        <v>26</v>
      </c>
      <c r="C52" t="s">
        <v>31</v>
      </c>
      <c r="D52" t="s">
        <v>9</v>
      </c>
      <c r="E52" s="1" t="s">
        <v>95</v>
      </c>
      <c r="F52" s="2">
        <v>300</v>
      </c>
      <c r="G52" t="s">
        <v>11</v>
      </c>
      <c r="H52" s="2">
        <v>2020</v>
      </c>
      <c r="I52" s="2" t="s">
        <v>247</v>
      </c>
    </row>
    <row r="53" spans="1:9" x14ac:dyDescent="0.55000000000000004">
      <c r="A53" s="2">
        <v>2020</v>
      </c>
      <c r="B53" t="s">
        <v>22</v>
      </c>
      <c r="C53" t="s">
        <v>31</v>
      </c>
      <c r="D53" t="s">
        <v>9</v>
      </c>
      <c r="E53" s="1" t="s">
        <v>96</v>
      </c>
      <c r="F53" s="2">
        <v>500</v>
      </c>
      <c r="G53" t="s">
        <v>51</v>
      </c>
      <c r="H53" s="2">
        <v>2020</v>
      </c>
      <c r="I53" s="2" t="s">
        <v>247</v>
      </c>
    </row>
    <row r="54" spans="1:9" ht="28.8" x14ac:dyDescent="0.55000000000000004">
      <c r="A54" s="2">
        <v>2020</v>
      </c>
      <c r="B54" t="s">
        <v>15</v>
      </c>
      <c r="C54" t="s">
        <v>47</v>
      </c>
      <c r="D54" t="s">
        <v>9</v>
      </c>
      <c r="E54" s="1" t="s">
        <v>97</v>
      </c>
      <c r="F54" s="2">
        <v>200</v>
      </c>
      <c r="G54" t="s">
        <v>51</v>
      </c>
      <c r="H54" s="2">
        <v>2020</v>
      </c>
      <c r="I54" s="2" t="s">
        <v>247</v>
      </c>
    </row>
    <row r="55" spans="1:9" ht="28.8" x14ac:dyDescent="0.55000000000000004">
      <c r="A55" s="2">
        <v>2020</v>
      </c>
      <c r="B55" t="s">
        <v>98</v>
      </c>
      <c r="C55" t="s">
        <v>37</v>
      </c>
      <c r="D55" t="s">
        <v>20</v>
      </c>
      <c r="E55" s="1" t="s">
        <v>99</v>
      </c>
      <c r="F55" s="2">
        <v>300</v>
      </c>
      <c r="G55" t="s">
        <v>51</v>
      </c>
      <c r="H55" s="2">
        <v>2020</v>
      </c>
      <c r="I55" s="2" t="s">
        <v>248</v>
      </c>
    </row>
    <row r="56" spans="1:9" x14ac:dyDescent="0.55000000000000004">
      <c r="A56" s="2">
        <v>2020</v>
      </c>
      <c r="B56" t="s">
        <v>18</v>
      </c>
      <c r="C56" t="s">
        <v>19</v>
      </c>
      <c r="D56" t="s">
        <v>20</v>
      </c>
      <c r="E56" s="1" t="s">
        <v>100</v>
      </c>
      <c r="F56" s="2">
        <v>30</v>
      </c>
      <c r="G56" t="s">
        <v>51</v>
      </c>
      <c r="H56" s="2">
        <v>2020</v>
      </c>
      <c r="I56" s="2" t="s">
        <v>247</v>
      </c>
    </row>
    <row r="57" spans="1:9" x14ac:dyDescent="0.55000000000000004">
      <c r="A57" s="2">
        <v>2020</v>
      </c>
      <c r="B57" t="s">
        <v>26</v>
      </c>
      <c r="C57" t="s">
        <v>27</v>
      </c>
      <c r="D57" t="s">
        <v>20</v>
      </c>
      <c r="E57" s="1" t="s">
        <v>101</v>
      </c>
      <c r="F57" s="2">
        <v>30</v>
      </c>
      <c r="G57" t="s">
        <v>51</v>
      </c>
      <c r="H57" s="2">
        <v>2020</v>
      </c>
      <c r="I57" s="2" t="s">
        <v>247</v>
      </c>
    </row>
    <row r="58" spans="1:9" ht="28.8" x14ac:dyDescent="0.55000000000000004">
      <c r="A58" s="2">
        <v>2020</v>
      </c>
      <c r="B58" t="s">
        <v>102</v>
      </c>
      <c r="C58" t="s">
        <v>31</v>
      </c>
      <c r="D58" t="s">
        <v>9</v>
      </c>
      <c r="E58" s="1" t="s">
        <v>103</v>
      </c>
      <c r="F58" s="2">
        <v>30</v>
      </c>
      <c r="G58" t="s">
        <v>51</v>
      </c>
      <c r="H58" s="2">
        <v>2020</v>
      </c>
      <c r="I58" s="2" t="s">
        <v>247</v>
      </c>
    </row>
    <row r="59" spans="1:9" x14ac:dyDescent="0.55000000000000004">
      <c r="A59" s="2">
        <v>2020</v>
      </c>
      <c r="B59" t="s">
        <v>33</v>
      </c>
      <c r="C59" t="s">
        <v>27</v>
      </c>
      <c r="D59" t="s">
        <v>20</v>
      </c>
      <c r="E59" s="1" t="s">
        <v>104</v>
      </c>
      <c r="F59" s="2">
        <v>150</v>
      </c>
      <c r="G59" t="s">
        <v>51</v>
      </c>
      <c r="H59" s="2">
        <v>2020</v>
      </c>
      <c r="I59" s="2" t="s">
        <v>247</v>
      </c>
    </row>
    <row r="60" spans="1:9" x14ac:dyDescent="0.55000000000000004">
      <c r="A60" s="2">
        <v>2020</v>
      </c>
      <c r="B60" t="s">
        <v>22</v>
      </c>
      <c r="C60" t="s">
        <v>19</v>
      </c>
      <c r="D60" t="s">
        <v>20</v>
      </c>
      <c r="E60" s="1" t="s">
        <v>105</v>
      </c>
      <c r="F60" s="2">
        <v>200</v>
      </c>
      <c r="G60" t="s">
        <v>51</v>
      </c>
      <c r="H60" s="2">
        <v>2020</v>
      </c>
      <c r="I60" s="2" t="s">
        <v>247</v>
      </c>
    </row>
    <row r="61" spans="1:9" x14ac:dyDescent="0.55000000000000004">
      <c r="A61" s="2">
        <v>2020</v>
      </c>
      <c r="B61" t="s">
        <v>72</v>
      </c>
      <c r="C61" t="s">
        <v>45</v>
      </c>
      <c r="D61" t="s">
        <v>9</v>
      </c>
      <c r="E61" s="1" t="s">
        <v>106</v>
      </c>
      <c r="F61" s="2">
        <v>40</v>
      </c>
      <c r="G61" t="s">
        <v>51</v>
      </c>
      <c r="H61" s="2">
        <v>2020</v>
      </c>
      <c r="I61" s="2" t="s">
        <v>247</v>
      </c>
    </row>
    <row r="62" spans="1:9" ht="28.8" x14ac:dyDescent="0.55000000000000004">
      <c r="A62" s="2">
        <v>2020</v>
      </c>
      <c r="B62" t="s">
        <v>15</v>
      </c>
      <c r="C62" t="s">
        <v>13</v>
      </c>
      <c r="D62" t="s">
        <v>9</v>
      </c>
      <c r="E62" s="1" t="s">
        <v>107</v>
      </c>
      <c r="F62" s="2">
        <v>100</v>
      </c>
      <c r="G62" t="s">
        <v>51</v>
      </c>
      <c r="H62" s="2">
        <v>2020</v>
      </c>
      <c r="I62" s="2" t="s">
        <v>248</v>
      </c>
    </row>
    <row r="63" spans="1:9" ht="28.8" x14ac:dyDescent="0.55000000000000004">
      <c r="A63" s="2">
        <v>2020</v>
      </c>
      <c r="B63" t="s">
        <v>61</v>
      </c>
      <c r="C63" t="s">
        <v>13</v>
      </c>
      <c r="D63" t="s">
        <v>9</v>
      </c>
      <c r="E63" s="1" t="s">
        <v>108</v>
      </c>
      <c r="F63" s="2">
        <v>82.6</v>
      </c>
      <c r="G63" t="s">
        <v>51</v>
      </c>
      <c r="H63" s="2">
        <v>2020</v>
      </c>
      <c r="I63" s="2" t="s">
        <v>248</v>
      </c>
    </row>
    <row r="64" spans="1:9" x14ac:dyDescent="0.55000000000000004">
      <c r="A64" s="2">
        <v>2020</v>
      </c>
      <c r="B64" t="s">
        <v>52</v>
      </c>
      <c r="C64" t="s">
        <v>13</v>
      </c>
      <c r="D64" t="s">
        <v>9</v>
      </c>
      <c r="E64" s="1" t="s">
        <v>109</v>
      </c>
      <c r="F64" s="2">
        <v>100</v>
      </c>
      <c r="G64" t="s">
        <v>51</v>
      </c>
      <c r="H64" s="2">
        <v>2020</v>
      </c>
      <c r="I64" s="2" t="s">
        <v>248</v>
      </c>
    </row>
    <row r="65" spans="1:9" ht="28.8" x14ac:dyDescent="0.55000000000000004">
      <c r="A65" s="2">
        <v>2020</v>
      </c>
      <c r="B65" t="s">
        <v>110</v>
      </c>
      <c r="C65" t="s">
        <v>37</v>
      </c>
      <c r="D65" t="s">
        <v>9</v>
      </c>
      <c r="E65" s="1" t="s">
        <v>111</v>
      </c>
      <c r="F65" s="2">
        <v>50</v>
      </c>
      <c r="G65" t="s">
        <v>51</v>
      </c>
      <c r="H65" s="2">
        <v>2020</v>
      </c>
      <c r="I65" s="2" t="s">
        <v>249</v>
      </c>
    </row>
    <row r="66" spans="1:9" ht="28.8" x14ac:dyDescent="0.55000000000000004">
      <c r="A66" s="2">
        <v>2020</v>
      </c>
      <c r="B66" t="s">
        <v>112</v>
      </c>
      <c r="C66" t="s">
        <v>8</v>
      </c>
      <c r="D66" t="s">
        <v>9</v>
      </c>
      <c r="E66" s="1" t="s">
        <v>113</v>
      </c>
      <c r="F66" s="2">
        <v>50</v>
      </c>
      <c r="G66" t="s">
        <v>51</v>
      </c>
      <c r="H66" s="2">
        <v>2020</v>
      </c>
      <c r="I66" s="2" t="s">
        <v>247</v>
      </c>
    </row>
    <row r="67" spans="1:9" x14ac:dyDescent="0.55000000000000004">
      <c r="A67" s="2">
        <v>2020</v>
      </c>
      <c r="B67" t="s">
        <v>114</v>
      </c>
      <c r="C67" t="s">
        <v>37</v>
      </c>
      <c r="D67" t="s">
        <v>20</v>
      </c>
      <c r="E67" s="1" t="s">
        <v>115</v>
      </c>
      <c r="F67" s="2">
        <v>100</v>
      </c>
      <c r="G67" t="s">
        <v>51</v>
      </c>
      <c r="H67" s="2">
        <v>2020</v>
      </c>
      <c r="I67" s="2" t="s">
        <v>248</v>
      </c>
    </row>
    <row r="68" spans="1:9" ht="28.8" x14ac:dyDescent="0.55000000000000004">
      <c r="A68" s="2">
        <v>2020</v>
      </c>
      <c r="B68" t="s">
        <v>63</v>
      </c>
      <c r="C68" t="s">
        <v>8</v>
      </c>
      <c r="D68" t="s">
        <v>9</v>
      </c>
      <c r="E68" s="1" t="s">
        <v>116</v>
      </c>
      <c r="F68" s="2">
        <v>50</v>
      </c>
      <c r="G68" t="s">
        <v>51</v>
      </c>
      <c r="H68" s="2">
        <v>2020</v>
      </c>
      <c r="I68" s="2" t="s">
        <v>248</v>
      </c>
    </row>
    <row r="69" spans="1:9" ht="28.8" x14ac:dyDescent="0.55000000000000004">
      <c r="A69" s="2">
        <v>2020</v>
      </c>
      <c r="B69" t="s">
        <v>61</v>
      </c>
      <c r="C69" t="s">
        <v>31</v>
      </c>
      <c r="D69" t="s">
        <v>20</v>
      </c>
      <c r="E69" s="1" t="s">
        <v>117</v>
      </c>
      <c r="F69" s="2">
        <v>56</v>
      </c>
      <c r="G69" t="s">
        <v>51</v>
      </c>
      <c r="H69" s="2">
        <v>2020</v>
      </c>
      <c r="I69" s="2" t="s">
        <v>247</v>
      </c>
    </row>
    <row r="70" spans="1:9" ht="28.8" x14ac:dyDescent="0.55000000000000004">
      <c r="A70" s="2">
        <v>2020</v>
      </c>
      <c r="B70" t="s">
        <v>81</v>
      </c>
      <c r="C70" t="s">
        <v>8</v>
      </c>
      <c r="D70" t="s">
        <v>9</v>
      </c>
      <c r="E70" s="1" t="s">
        <v>118</v>
      </c>
      <c r="F70" s="2">
        <v>250</v>
      </c>
      <c r="G70" t="s">
        <v>51</v>
      </c>
      <c r="H70" s="2">
        <v>2020</v>
      </c>
      <c r="I70" s="2" t="s">
        <v>247</v>
      </c>
    </row>
    <row r="71" spans="1:9" x14ac:dyDescent="0.55000000000000004">
      <c r="A71" s="2">
        <v>2020</v>
      </c>
      <c r="B71" t="s">
        <v>61</v>
      </c>
      <c r="C71" t="s">
        <v>37</v>
      </c>
      <c r="D71" t="s">
        <v>9</v>
      </c>
      <c r="E71" s="1" t="s">
        <v>119</v>
      </c>
      <c r="F71" s="2">
        <v>500</v>
      </c>
      <c r="G71" t="s">
        <v>51</v>
      </c>
      <c r="H71" s="2">
        <v>2020</v>
      </c>
      <c r="I71" s="2" t="s">
        <v>248</v>
      </c>
    </row>
    <row r="72" spans="1:9" ht="28.8" x14ac:dyDescent="0.55000000000000004">
      <c r="A72" s="2">
        <v>2020</v>
      </c>
      <c r="B72" t="s">
        <v>120</v>
      </c>
      <c r="C72" t="s">
        <v>8</v>
      </c>
      <c r="D72" t="s">
        <v>9</v>
      </c>
      <c r="E72" s="1" t="s">
        <v>121</v>
      </c>
      <c r="F72" s="2">
        <v>750</v>
      </c>
      <c r="G72" t="s">
        <v>51</v>
      </c>
      <c r="H72" s="2">
        <v>2020</v>
      </c>
      <c r="I72" s="2" t="s">
        <v>248</v>
      </c>
    </row>
    <row r="73" spans="1:9" ht="28.8" x14ac:dyDescent="0.55000000000000004">
      <c r="A73" s="2">
        <v>2020</v>
      </c>
      <c r="B73" t="s">
        <v>72</v>
      </c>
      <c r="C73" t="s">
        <v>13</v>
      </c>
      <c r="D73" t="s">
        <v>9</v>
      </c>
      <c r="E73" s="1" t="s">
        <v>122</v>
      </c>
      <c r="F73" s="2">
        <v>7.3</v>
      </c>
      <c r="G73" t="s">
        <v>51</v>
      </c>
      <c r="H73" s="2">
        <v>2020</v>
      </c>
      <c r="I73" s="2" t="s">
        <v>248</v>
      </c>
    </row>
    <row r="74" spans="1:9" x14ac:dyDescent="0.55000000000000004">
      <c r="A74" s="2">
        <v>2020</v>
      </c>
      <c r="B74" t="s">
        <v>33</v>
      </c>
      <c r="C74" t="s">
        <v>13</v>
      </c>
      <c r="D74" t="s">
        <v>9</v>
      </c>
      <c r="E74" s="1" t="s">
        <v>123</v>
      </c>
      <c r="F74" s="2">
        <v>250</v>
      </c>
      <c r="G74" t="s">
        <v>51</v>
      </c>
      <c r="H74" s="2">
        <v>2020</v>
      </c>
      <c r="I74" s="2" t="s">
        <v>248</v>
      </c>
    </row>
    <row r="75" spans="1:9" ht="28.8" x14ac:dyDescent="0.55000000000000004">
      <c r="A75" s="2">
        <v>2020</v>
      </c>
      <c r="B75" t="s">
        <v>52</v>
      </c>
      <c r="C75" t="s">
        <v>31</v>
      </c>
      <c r="D75" t="s">
        <v>9</v>
      </c>
      <c r="E75" s="1" t="s">
        <v>124</v>
      </c>
      <c r="F75" s="2">
        <v>165.5</v>
      </c>
      <c r="G75" t="s">
        <v>51</v>
      </c>
      <c r="H75" s="2">
        <v>2020</v>
      </c>
      <c r="I75" s="2" t="s">
        <v>247</v>
      </c>
    </row>
    <row r="76" spans="1:9" ht="28.8" x14ac:dyDescent="0.55000000000000004">
      <c r="A76" s="2">
        <v>2020</v>
      </c>
      <c r="B76" t="s">
        <v>81</v>
      </c>
      <c r="C76" t="s">
        <v>8</v>
      </c>
      <c r="D76" t="s">
        <v>9</v>
      </c>
      <c r="E76" s="1" t="s">
        <v>125</v>
      </c>
      <c r="F76" s="2">
        <v>500</v>
      </c>
      <c r="G76" t="s">
        <v>51</v>
      </c>
      <c r="H76" s="2">
        <v>2020</v>
      </c>
      <c r="I76" s="2" t="s">
        <v>248</v>
      </c>
    </row>
    <row r="77" spans="1:9" ht="28.8" x14ac:dyDescent="0.55000000000000004">
      <c r="A77" s="2">
        <v>2020</v>
      </c>
      <c r="B77" t="s">
        <v>22</v>
      </c>
      <c r="C77" t="s">
        <v>8</v>
      </c>
      <c r="D77" t="s">
        <v>9</v>
      </c>
      <c r="E77" s="1" t="s">
        <v>126</v>
      </c>
      <c r="F77" s="2">
        <v>750</v>
      </c>
      <c r="G77" t="s">
        <v>51</v>
      </c>
      <c r="H77" s="2">
        <v>2020</v>
      </c>
      <c r="I77" s="2" t="s">
        <v>248</v>
      </c>
    </row>
    <row r="78" spans="1:9" x14ac:dyDescent="0.55000000000000004">
      <c r="A78" s="2">
        <v>2020</v>
      </c>
      <c r="B78" t="s">
        <v>49</v>
      </c>
      <c r="C78" t="s">
        <v>8</v>
      </c>
      <c r="D78" t="s">
        <v>9</v>
      </c>
      <c r="E78" s="1" t="s">
        <v>127</v>
      </c>
      <c r="F78" s="2">
        <v>100</v>
      </c>
      <c r="G78" t="s">
        <v>51</v>
      </c>
      <c r="H78" s="2">
        <v>2020</v>
      </c>
      <c r="I78" s="2" t="s">
        <v>248</v>
      </c>
    </row>
    <row r="79" spans="1:9" ht="28.8" x14ac:dyDescent="0.55000000000000004">
      <c r="A79" s="2">
        <v>2020</v>
      </c>
      <c r="B79" t="s">
        <v>68</v>
      </c>
      <c r="C79" t="s">
        <v>8</v>
      </c>
      <c r="D79" t="s">
        <v>9</v>
      </c>
      <c r="E79" s="1" t="s">
        <v>128</v>
      </c>
      <c r="F79" s="2">
        <v>750</v>
      </c>
      <c r="G79" t="s">
        <v>51</v>
      </c>
      <c r="H79" s="2">
        <v>2020</v>
      </c>
      <c r="I79" s="2" t="s">
        <v>248</v>
      </c>
    </row>
    <row r="80" spans="1:9" x14ac:dyDescent="0.55000000000000004">
      <c r="A80" s="2">
        <v>2020</v>
      </c>
      <c r="B80" t="s">
        <v>63</v>
      </c>
      <c r="C80" t="s">
        <v>13</v>
      </c>
      <c r="D80" t="s">
        <v>9</v>
      </c>
      <c r="E80" s="1" t="s">
        <v>129</v>
      </c>
      <c r="F80" s="2">
        <v>100</v>
      </c>
      <c r="G80" t="s">
        <v>51</v>
      </c>
      <c r="H80" s="2">
        <v>2020</v>
      </c>
      <c r="I80" s="2" t="s">
        <v>248</v>
      </c>
    </row>
    <row r="81" spans="1:9" ht="28.8" x14ac:dyDescent="0.55000000000000004">
      <c r="A81" s="2">
        <v>2020</v>
      </c>
      <c r="B81" t="s">
        <v>15</v>
      </c>
      <c r="C81" t="s">
        <v>8</v>
      </c>
      <c r="D81" t="s">
        <v>9</v>
      </c>
      <c r="E81" s="1" t="s">
        <v>130</v>
      </c>
      <c r="F81" s="2">
        <v>250</v>
      </c>
      <c r="G81" t="s">
        <v>51</v>
      </c>
      <c r="H81" s="2">
        <v>2020</v>
      </c>
      <c r="I81" s="2" t="s">
        <v>248</v>
      </c>
    </row>
    <row r="82" spans="1:9" ht="28.8" x14ac:dyDescent="0.55000000000000004">
      <c r="A82" s="2">
        <v>2020</v>
      </c>
      <c r="B82" t="s">
        <v>33</v>
      </c>
      <c r="C82" t="s">
        <v>8</v>
      </c>
      <c r="D82" t="s">
        <v>9</v>
      </c>
      <c r="E82" s="1" t="s">
        <v>131</v>
      </c>
      <c r="F82" s="2">
        <v>750</v>
      </c>
      <c r="G82" t="s">
        <v>51</v>
      </c>
      <c r="H82" s="2">
        <v>2020</v>
      </c>
      <c r="I82" s="2" t="s">
        <v>248</v>
      </c>
    </row>
    <row r="83" spans="1:9" ht="28.8" x14ac:dyDescent="0.55000000000000004">
      <c r="A83" s="2">
        <v>2020</v>
      </c>
      <c r="B83" t="s">
        <v>22</v>
      </c>
      <c r="C83" t="s">
        <v>13</v>
      </c>
      <c r="D83" t="s">
        <v>9</v>
      </c>
      <c r="E83" s="1" t="s">
        <v>132</v>
      </c>
      <c r="F83" s="2">
        <v>500</v>
      </c>
      <c r="G83" t="s">
        <v>51</v>
      </c>
      <c r="H83" s="2">
        <v>2020</v>
      </c>
      <c r="I83" s="2" t="s">
        <v>248</v>
      </c>
    </row>
    <row r="84" spans="1:9" x14ac:dyDescent="0.55000000000000004">
      <c r="A84" s="2">
        <v>2020</v>
      </c>
      <c r="B84" t="s">
        <v>15</v>
      </c>
      <c r="C84" t="s">
        <v>47</v>
      </c>
      <c r="D84" t="s">
        <v>9</v>
      </c>
      <c r="E84" s="1" t="s">
        <v>133</v>
      </c>
      <c r="F84" s="2">
        <v>170</v>
      </c>
      <c r="G84" t="s">
        <v>51</v>
      </c>
      <c r="H84" s="2">
        <v>2020</v>
      </c>
      <c r="I84" s="2" t="s">
        <v>247</v>
      </c>
    </row>
    <row r="85" spans="1:9" x14ac:dyDescent="0.55000000000000004">
      <c r="A85" s="2">
        <v>2020</v>
      </c>
      <c r="B85" t="s">
        <v>18</v>
      </c>
      <c r="C85" t="s">
        <v>19</v>
      </c>
      <c r="D85" t="s">
        <v>20</v>
      </c>
      <c r="E85" s="1" t="s">
        <v>134</v>
      </c>
      <c r="F85" s="2">
        <v>150</v>
      </c>
      <c r="G85" t="s">
        <v>51</v>
      </c>
      <c r="H85" s="2">
        <v>2020</v>
      </c>
      <c r="I85" s="2" t="s">
        <v>247</v>
      </c>
    </row>
    <row r="86" spans="1:9" ht="28.8" x14ac:dyDescent="0.55000000000000004">
      <c r="A86" s="2">
        <v>2020</v>
      </c>
      <c r="B86" t="s">
        <v>26</v>
      </c>
      <c r="C86" t="s">
        <v>13</v>
      </c>
      <c r="D86" t="s">
        <v>9</v>
      </c>
      <c r="E86" s="1" t="s">
        <v>135</v>
      </c>
      <c r="F86" s="2">
        <v>355</v>
      </c>
      <c r="G86" t="s">
        <v>51</v>
      </c>
      <c r="H86" s="2">
        <v>2020</v>
      </c>
      <c r="I86" s="2" t="s">
        <v>248</v>
      </c>
    </row>
    <row r="87" spans="1:9" ht="28.8" x14ac:dyDescent="0.55000000000000004">
      <c r="A87" s="2">
        <v>2020</v>
      </c>
      <c r="B87" t="s">
        <v>52</v>
      </c>
      <c r="C87" t="s">
        <v>47</v>
      </c>
      <c r="D87" t="s">
        <v>9</v>
      </c>
      <c r="E87" s="1" t="s">
        <v>136</v>
      </c>
      <c r="F87" s="2">
        <v>385.1</v>
      </c>
      <c r="G87" t="s">
        <v>51</v>
      </c>
      <c r="H87" s="2">
        <v>2020</v>
      </c>
      <c r="I87" s="2" t="s">
        <v>247</v>
      </c>
    </row>
    <row r="88" spans="1:9" x14ac:dyDescent="0.55000000000000004">
      <c r="A88" s="2">
        <v>2020</v>
      </c>
      <c r="B88" t="s">
        <v>15</v>
      </c>
      <c r="C88" t="s">
        <v>31</v>
      </c>
      <c r="D88" t="s">
        <v>9</v>
      </c>
      <c r="E88" s="1" t="s">
        <v>137</v>
      </c>
      <c r="F88" s="2">
        <v>404</v>
      </c>
      <c r="G88" t="s">
        <v>51</v>
      </c>
      <c r="H88" s="2">
        <v>2020</v>
      </c>
      <c r="I88" s="2" t="s">
        <v>247</v>
      </c>
    </row>
    <row r="89" spans="1:9" ht="28.8" x14ac:dyDescent="0.55000000000000004">
      <c r="A89" s="2">
        <v>2020</v>
      </c>
      <c r="B89" t="s">
        <v>138</v>
      </c>
      <c r="C89" t="s">
        <v>16</v>
      </c>
      <c r="D89" t="s">
        <v>20</v>
      </c>
      <c r="E89" s="1" t="s">
        <v>139</v>
      </c>
      <c r="F89" s="2">
        <v>60</v>
      </c>
      <c r="G89" t="s">
        <v>51</v>
      </c>
      <c r="H89" s="2">
        <v>2020</v>
      </c>
      <c r="I89" s="2" t="s">
        <v>247</v>
      </c>
    </row>
    <row r="90" spans="1:9" ht="28.8" x14ac:dyDescent="0.55000000000000004">
      <c r="A90" s="2">
        <v>2020</v>
      </c>
      <c r="B90" t="s">
        <v>15</v>
      </c>
      <c r="C90" t="s">
        <v>16</v>
      </c>
      <c r="D90" t="s">
        <v>9</v>
      </c>
      <c r="E90" s="1" t="s">
        <v>140</v>
      </c>
      <c r="F90" s="2">
        <v>200</v>
      </c>
      <c r="G90" t="s">
        <v>51</v>
      </c>
      <c r="H90" s="2">
        <v>2020</v>
      </c>
      <c r="I90" s="2" t="s">
        <v>247</v>
      </c>
    </row>
    <row r="91" spans="1:9" x14ac:dyDescent="0.55000000000000004">
      <c r="A91" s="2" t="s">
        <v>35</v>
      </c>
      <c r="B91" t="s">
        <v>61</v>
      </c>
      <c r="C91" t="s">
        <v>31</v>
      </c>
      <c r="D91" t="s">
        <v>9</v>
      </c>
      <c r="E91" s="1" t="s">
        <v>141</v>
      </c>
      <c r="F91" s="2">
        <v>320</v>
      </c>
      <c r="G91" t="s">
        <v>11</v>
      </c>
      <c r="H91" s="2">
        <v>2019</v>
      </c>
      <c r="I91" s="2" t="s">
        <v>247</v>
      </c>
    </row>
    <row r="92" spans="1:9" ht="28.8" x14ac:dyDescent="0.55000000000000004">
      <c r="A92" s="2" t="s">
        <v>35</v>
      </c>
      <c r="B92" t="s">
        <v>52</v>
      </c>
      <c r="C92" t="s">
        <v>47</v>
      </c>
      <c r="D92" t="s">
        <v>9</v>
      </c>
      <c r="E92" s="1" t="s">
        <v>142</v>
      </c>
      <c r="F92" s="2">
        <v>430.1</v>
      </c>
      <c r="G92" t="s">
        <v>11</v>
      </c>
      <c r="H92" s="2">
        <v>2019</v>
      </c>
      <c r="I92" s="2" t="s">
        <v>247</v>
      </c>
    </row>
    <row r="93" spans="1:9" ht="28.8" x14ac:dyDescent="0.55000000000000004">
      <c r="A93" s="2" t="s">
        <v>35</v>
      </c>
      <c r="B93" t="s">
        <v>143</v>
      </c>
      <c r="C93" t="s">
        <v>8</v>
      </c>
      <c r="D93" t="s">
        <v>9</v>
      </c>
      <c r="E93" s="1" t="s">
        <v>144</v>
      </c>
      <c r="F93" s="2">
        <v>500</v>
      </c>
      <c r="G93" t="s">
        <v>11</v>
      </c>
      <c r="H93" s="2">
        <v>2019</v>
      </c>
      <c r="I93" s="2" t="s">
        <v>248</v>
      </c>
    </row>
    <row r="94" spans="1:9" x14ac:dyDescent="0.55000000000000004">
      <c r="A94" s="2" t="s">
        <v>35</v>
      </c>
      <c r="B94" t="s">
        <v>22</v>
      </c>
      <c r="C94" t="s">
        <v>31</v>
      </c>
      <c r="D94" t="s">
        <v>9</v>
      </c>
      <c r="E94" s="1" t="s">
        <v>145</v>
      </c>
      <c r="F94" s="2">
        <v>400</v>
      </c>
      <c r="G94" t="s">
        <v>11</v>
      </c>
      <c r="H94" s="2">
        <v>2019</v>
      </c>
      <c r="I94" s="2" t="s">
        <v>247</v>
      </c>
    </row>
    <row r="95" spans="1:9" ht="28.8" x14ac:dyDescent="0.55000000000000004">
      <c r="A95" s="2" t="s">
        <v>35</v>
      </c>
      <c r="B95" t="s">
        <v>22</v>
      </c>
      <c r="C95" t="s">
        <v>31</v>
      </c>
      <c r="D95" t="s">
        <v>9</v>
      </c>
      <c r="E95" s="1" t="s">
        <v>146</v>
      </c>
      <c r="F95" s="2">
        <v>359</v>
      </c>
      <c r="G95" t="s">
        <v>11</v>
      </c>
      <c r="H95" s="2">
        <v>2019</v>
      </c>
      <c r="I95" s="2" t="s">
        <v>247</v>
      </c>
    </row>
    <row r="96" spans="1:9" x14ac:dyDescent="0.55000000000000004">
      <c r="A96" s="2" t="s">
        <v>35</v>
      </c>
      <c r="B96" t="s">
        <v>81</v>
      </c>
      <c r="C96" t="s">
        <v>16</v>
      </c>
      <c r="D96" t="s">
        <v>9</v>
      </c>
      <c r="E96" s="1" t="s">
        <v>147</v>
      </c>
      <c r="F96" s="2">
        <v>280</v>
      </c>
      <c r="G96" t="s">
        <v>11</v>
      </c>
      <c r="H96" s="2">
        <v>2019</v>
      </c>
      <c r="I96" s="2" t="s">
        <v>247</v>
      </c>
    </row>
    <row r="97" spans="1:9" ht="28.8" x14ac:dyDescent="0.55000000000000004">
      <c r="A97" s="2" t="s">
        <v>35</v>
      </c>
      <c r="B97" t="s">
        <v>15</v>
      </c>
      <c r="C97" t="s">
        <v>31</v>
      </c>
      <c r="D97" t="s">
        <v>9</v>
      </c>
      <c r="E97" s="1" t="s">
        <v>148</v>
      </c>
      <c r="F97" s="2">
        <v>333.9</v>
      </c>
      <c r="G97" t="s">
        <v>11</v>
      </c>
      <c r="H97" s="2">
        <v>2019</v>
      </c>
      <c r="I97" s="2" t="s">
        <v>247</v>
      </c>
    </row>
    <row r="98" spans="1:9" ht="28.8" x14ac:dyDescent="0.55000000000000004">
      <c r="A98" s="2" t="s">
        <v>35</v>
      </c>
      <c r="B98" t="s">
        <v>22</v>
      </c>
      <c r="C98" t="s">
        <v>31</v>
      </c>
      <c r="D98" t="s">
        <v>9</v>
      </c>
      <c r="E98" s="1" t="s">
        <v>149</v>
      </c>
      <c r="F98" s="2">
        <v>438.75</v>
      </c>
      <c r="G98" t="s">
        <v>11</v>
      </c>
      <c r="H98" s="2">
        <v>2019</v>
      </c>
      <c r="I98" s="2" t="s">
        <v>247</v>
      </c>
    </row>
    <row r="99" spans="1:9" ht="28.8" x14ac:dyDescent="0.55000000000000004">
      <c r="A99" s="2" t="s">
        <v>35</v>
      </c>
      <c r="B99" t="s">
        <v>52</v>
      </c>
      <c r="C99" t="s">
        <v>31</v>
      </c>
      <c r="D99" t="s">
        <v>9</v>
      </c>
      <c r="E99" s="1" t="s">
        <v>150</v>
      </c>
      <c r="F99" s="2">
        <v>105</v>
      </c>
      <c r="G99" t="s">
        <v>11</v>
      </c>
      <c r="H99" s="2">
        <v>2019</v>
      </c>
      <c r="I99" s="2" t="s">
        <v>247</v>
      </c>
    </row>
    <row r="100" spans="1:9" x14ac:dyDescent="0.55000000000000004">
      <c r="A100" s="2" t="s">
        <v>35</v>
      </c>
      <c r="B100" t="s">
        <v>22</v>
      </c>
      <c r="C100" t="s">
        <v>31</v>
      </c>
      <c r="D100" t="s">
        <v>9</v>
      </c>
      <c r="E100" s="1" t="s">
        <v>151</v>
      </c>
      <c r="F100" s="2">
        <v>436</v>
      </c>
      <c r="G100" t="s">
        <v>11</v>
      </c>
      <c r="H100" s="2">
        <v>2019</v>
      </c>
      <c r="I100" s="2" t="s">
        <v>247</v>
      </c>
    </row>
    <row r="101" spans="1:9" x14ac:dyDescent="0.55000000000000004">
      <c r="A101" s="2" t="s">
        <v>35</v>
      </c>
      <c r="B101" t="s">
        <v>22</v>
      </c>
      <c r="C101" t="s">
        <v>31</v>
      </c>
      <c r="D101" t="s">
        <v>9</v>
      </c>
      <c r="E101" s="1" t="s">
        <v>152</v>
      </c>
      <c r="F101" s="2">
        <v>500</v>
      </c>
      <c r="G101" t="s">
        <v>11</v>
      </c>
      <c r="H101" s="2">
        <v>2019</v>
      </c>
      <c r="I101" s="2" t="s">
        <v>247</v>
      </c>
    </row>
    <row r="102" spans="1:9" x14ac:dyDescent="0.55000000000000004">
      <c r="A102" s="2" t="s">
        <v>35</v>
      </c>
      <c r="B102" t="s">
        <v>22</v>
      </c>
      <c r="C102" t="s">
        <v>31</v>
      </c>
      <c r="D102" t="s">
        <v>9</v>
      </c>
      <c r="E102" s="1" t="s">
        <v>153</v>
      </c>
      <c r="F102" s="2">
        <v>378</v>
      </c>
      <c r="G102" t="s">
        <v>11</v>
      </c>
      <c r="H102" s="2">
        <v>2019</v>
      </c>
      <c r="I102" s="2" t="s">
        <v>247</v>
      </c>
    </row>
    <row r="103" spans="1:9" x14ac:dyDescent="0.55000000000000004">
      <c r="A103" s="2" t="s">
        <v>35</v>
      </c>
      <c r="B103" t="s">
        <v>15</v>
      </c>
      <c r="C103" t="s">
        <v>19</v>
      </c>
      <c r="D103" t="s">
        <v>9</v>
      </c>
      <c r="E103" s="1" t="s">
        <v>154</v>
      </c>
      <c r="F103" s="2">
        <v>200</v>
      </c>
      <c r="G103" t="s">
        <v>11</v>
      </c>
      <c r="H103" s="2">
        <v>2019</v>
      </c>
      <c r="I103" s="2" t="s">
        <v>247</v>
      </c>
    </row>
    <row r="104" spans="1:9" ht="28.8" x14ac:dyDescent="0.55000000000000004">
      <c r="A104" s="2">
        <v>2019</v>
      </c>
      <c r="B104" t="s">
        <v>15</v>
      </c>
      <c r="C104" t="s">
        <v>47</v>
      </c>
      <c r="D104" t="s">
        <v>9</v>
      </c>
      <c r="E104" s="1" t="s">
        <v>155</v>
      </c>
      <c r="F104" s="2">
        <v>100</v>
      </c>
      <c r="G104" t="s">
        <v>51</v>
      </c>
      <c r="H104" s="2">
        <v>2019</v>
      </c>
      <c r="I104" s="2" t="s">
        <v>247</v>
      </c>
    </row>
    <row r="105" spans="1:9" x14ac:dyDescent="0.55000000000000004">
      <c r="A105" s="2">
        <v>2019</v>
      </c>
      <c r="B105" t="s">
        <v>15</v>
      </c>
      <c r="C105" t="s">
        <v>16</v>
      </c>
      <c r="D105" t="s">
        <v>9</v>
      </c>
      <c r="E105" s="1" t="s">
        <v>156</v>
      </c>
      <c r="F105" s="2">
        <v>120</v>
      </c>
      <c r="G105" t="s">
        <v>51</v>
      </c>
      <c r="H105" s="2">
        <v>2019</v>
      </c>
      <c r="I105" s="2" t="s">
        <v>247</v>
      </c>
    </row>
    <row r="106" spans="1:9" ht="28.8" x14ac:dyDescent="0.55000000000000004">
      <c r="A106" s="2">
        <v>2019</v>
      </c>
      <c r="B106" t="s">
        <v>12</v>
      </c>
      <c r="C106" t="s">
        <v>27</v>
      </c>
      <c r="D106" t="s">
        <v>20</v>
      </c>
      <c r="E106" s="1" t="s">
        <v>157</v>
      </c>
      <c r="F106" s="2">
        <v>75</v>
      </c>
      <c r="G106" t="s">
        <v>51</v>
      </c>
      <c r="H106" s="2">
        <v>2019</v>
      </c>
      <c r="I106" s="2" t="s">
        <v>247</v>
      </c>
    </row>
    <row r="107" spans="1:9" ht="28.8" x14ac:dyDescent="0.55000000000000004">
      <c r="A107" s="2">
        <v>2019</v>
      </c>
      <c r="B107" t="s">
        <v>26</v>
      </c>
      <c r="C107" t="s">
        <v>16</v>
      </c>
      <c r="D107" t="s">
        <v>9</v>
      </c>
      <c r="E107" s="1" t="s">
        <v>158</v>
      </c>
      <c r="F107" s="2">
        <v>500</v>
      </c>
      <c r="G107" t="s">
        <v>51</v>
      </c>
      <c r="H107" s="2">
        <v>2019</v>
      </c>
      <c r="I107" s="2" t="s">
        <v>247</v>
      </c>
    </row>
    <row r="108" spans="1:9" ht="28.8" x14ac:dyDescent="0.55000000000000004">
      <c r="A108" s="2">
        <v>2019</v>
      </c>
      <c r="B108" t="s">
        <v>24</v>
      </c>
      <c r="C108" t="s">
        <v>19</v>
      </c>
      <c r="D108" t="s">
        <v>20</v>
      </c>
      <c r="E108" s="1" t="s">
        <v>159</v>
      </c>
      <c r="F108" s="2">
        <v>150</v>
      </c>
      <c r="G108" t="s">
        <v>51</v>
      </c>
      <c r="H108" s="2">
        <v>2019</v>
      </c>
      <c r="I108" s="2" t="s">
        <v>247</v>
      </c>
    </row>
    <row r="109" spans="1:9" ht="28.8" x14ac:dyDescent="0.55000000000000004">
      <c r="A109" s="2">
        <v>2019</v>
      </c>
      <c r="B109" t="s">
        <v>22</v>
      </c>
      <c r="C109" t="s">
        <v>19</v>
      </c>
      <c r="D109" t="s">
        <v>20</v>
      </c>
      <c r="E109" s="1" t="s">
        <v>160</v>
      </c>
      <c r="F109" s="2">
        <v>100</v>
      </c>
      <c r="G109" t="s">
        <v>51</v>
      </c>
      <c r="H109" s="2">
        <v>2019</v>
      </c>
      <c r="I109" s="2" t="s">
        <v>247</v>
      </c>
    </row>
    <row r="110" spans="1:9" ht="28.8" x14ac:dyDescent="0.55000000000000004">
      <c r="A110" s="2">
        <v>2019</v>
      </c>
      <c r="B110" t="s">
        <v>22</v>
      </c>
      <c r="C110" t="s">
        <v>31</v>
      </c>
      <c r="D110" t="s">
        <v>9</v>
      </c>
      <c r="E110" s="1" t="s">
        <v>161</v>
      </c>
      <c r="F110" s="2">
        <v>500</v>
      </c>
      <c r="G110" t="s">
        <v>51</v>
      </c>
      <c r="H110" s="2">
        <v>2019</v>
      </c>
      <c r="I110" s="2" t="s">
        <v>247</v>
      </c>
    </row>
    <row r="111" spans="1:9" ht="28.8" x14ac:dyDescent="0.55000000000000004">
      <c r="A111" s="2">
        <v>2019</v>
      </c>
      <c r="B111" t="s">
        <v>22</v>
      </c>
      <c r="C111" t="s">
        <v>16</v>
      </c>
      <c r="D111" t="s">
        <v>20</v>
      </c>
      <c r="E111" s="1" t="s">
        <v>162</v>
      </c>
      <c r="F111" s="2">
        <v>65</v>
      </c>
      <c r="G111" t="s">
        <v>51</v>
      </c>
      <c r="H111" s="2">
        <v>2019</v>
      </c>
      <c r="I111" s="2" t="s">
        <v>247</v>
      </c>
    </row>
    <row r="112" spans="1:9" ht="28.8" x14ac:dyDescent="0.55000000000000004">
      <c r="A112" s="2">
        <v>2019</v>
      </c>
      <c r="B112" t="s">
        <v>22</v>
      </c>
      <c r="C112" t="s">
        <v>19</v>
      </c>
      <c r="D112" t="s">
        <v>20</v>
      </c>
      <c r="E112" s="1" t="s">
        <v>163</v>
      </c>
      <c r="F112" s="2">
        <v>75</v>
      </c>
      <c r="G112" t="s">
        <v>51</v>
      </c>
      <c r="H112" s="2">
        <v>2019</v>
      </c>
      <c r="I112" s="2" t="s">
        <v>247</v>
      </c>
    </row>
    <row r="113" spans="1:9" ht="28.8" x14ac:dyDescent="0.55000000000000004">
      <c r="A113" s="2">
        <v>2019</v>
      </c>
      <c r="B113" t="s">
        <v>22</v>
      </c>
      <c r="C113" t="s">
        <v>47</v>
      </c>
      <c r="D113" t="s">
        <v>9</v>
      </c>
      <c r="E113" s="1" t="s">
        <v>164</v>
      </c>
      <c r="F113" s="2">
        <v>145</v>
      </c>
      <c r="G113" t="s">
        <v>51</v>
      </c>
      <c r="H113" s="2">
        <v>2019</v>
      </c>
      <c r="I113" s="2" t="s">
        <v>247</v>
      </c>
    </row>
    <row r="114" spans="1:9" x14ac:dyDescent="0.55000000000000004">
      <c r="A114" s="2">
        <v>2019</v>
      </c>
      <c r="B114" t="s">
        <v>120</v>
      </c>
      <c r="C114" t="s">
        <v>16</v>
      </c>
      <c r="D114" t="s">
        <v>20</v>
      </c>
      <c r="E114" s="1" t="s">
        <v>165</v>
      </c>
      <c r="F114" s="2">
        <v>46.7</v>
      </c>
      <c r="G114" t="s">
        <v>51</v>
      </c>
      <c r="H114" s="2">
        <v>2019</v>
      </c>
      <c r="I114" s="2" t="s">
        <v>247</v>
      </c>
    </row>
    <row r="115" spans="1:9" ht="28.8" x14ac:dyDescent="0.55000000000000004">
      <c r="A115" s="2">
        <v>2019</v>
      </c>
      <c r="B115" t="s">
        <v>102</v>
      </c>
      <c r="C115" t="s">
        <v>31</v>
      </c>
      <c r="D115" t="s">
        <v>9</v>
      </c>
      <c r="E115" s="1" t="s">
        <v>166</v>
      </c>
      <c r="F115" s="2">
        <v>40</v>
      </c>
      <c r="G115" t="s">
        <v>51</v>
      </c>
      <c r="H115" s="2">
        <v>2019</v>
      </c>
      <c r="I115" s="2" t="s">
        <v>247</v>
      </c>
    </row>
    <row r="116" spans="1:9" x14ac:dyDescent="0.55000000000000004">
      <c r="A116" s="2">
        <v>2019</v>
      </c>
      <c r="B116" t="s">
        <v>18</v>
      </c>
      <c r="C116" t="s">
        <v>19</v>
      </c>
      <c r="D116" t="s">
        <v>20</v>
      </c>
      <c r="E116" s="1" t="s">
        <v>167</v>
      </c>
      <c r="F116" s="2">
        <v>500</v>
      </c>
      <c r="G116" t="s">
        <v>51</v>
      </c>
      <c r="H116" s="2">
        <v>2019</v>
      </c>
      <c r="I116" s="2" t="s">
        <v>247</v>
      </c>
    </row>
    <row r="117" spans="1:9" ht="28.8" x14ac:dyDescent="0.55000000000000004">
      <c r="A117" s="2">
        <v>2019</v>
      </c>
      <c r="B117" t="s">
        <v>18</v>
      </c>
      <c r="C117" t="s">
        <v>19</v>
      </c>
      <c r="D117" t="s">
        <v>20</v>
      </c>
      <c r="E117" s="1" t="s">
        <v>168</v>
      </c>
      <c r="F117" s="2">
        <v>75</v>
      </c>
      <c r="G117" t="s">
        <v>51</v>
      </c>
      <c r="H117" s="2">
        <v>2019</v>
      </c>
      <c r="I117" s="2" t="s">
        <v>247</v>
      </c>
    </row>
    <row r="118" spans="1:9" x14ac:dyDescent="0.55000000000000004">
      <c r="A118" s="2">
        <v>2019</v>
      </c>
      <c r="B118" t="s">
        <v>18</v>
      </c>
      <c r="C118" t="s">
        <v>19</v>
      </c>
      <c r="D118" t="s">
        <v>20</v>
      </c>
      <c r="E118" s="1" t="s">
        <v>169</v>
      </c>
      <c r="F118" s="2">
        <v>125</v>
      </c>
      <c r="G118" t="s">
        <v>51</v>
      </c>
      <c r="H118" s="2">
        <v>2019</v>
      </c>
      <c r="I118" s="2" t="s">
        <v>247</v>
      </c>
    </row>
    <row r="119" spans="1:9" x14ac:dyDescent="0.55000000000000004">
      <c r="A119" s="2">
        <v>2019</v>
      </c>
      <c r="B119" t="s">
        <v>18</v>
      </c>
      <c r="C119" t="s">
        <v>19</v>
      </c>
      <c r="D119" t="s">
        <v>20</v>
      </c>
      <c r="E119" s="1" t="s">
        <v>170</v>
      </c>
      <c r="F119" s="2">
        <v>100</v>
      </c>
      <c r="G119" t="s">
        <v>51</v>
      </c>
      <c r="H119" s="2">
        <v>2019</v>
      </c>
      <c r="I119" s="2" t="s">
        <v>247</v>
      </c>
    </row>
    <row r="120" spans="1:9" ht="28.8" x14ac:dyDescent="0.55000000000000004">
      <c r="A120" s="2">
        <v>2019</v>
      </c>
      <c r="B120" t="s">
        <v>171</v>
      </c>
      <c r="C120" t="s">
        <v>16</v>
      </c>
      <c r="D120" t="s">
        <v>9</v>
      </c>
      <c r="E120" s="1" t="s">
        <v>172</v>
      </c>
      <c r="F120" s="2">
        <v>112.3</v>
      </c>
      <c r="G120" t="s">
        <v>51</v>
      </c>
      <c r="H120" s="2">
        <v>2019</v>
      </c>
      <c r="I120" s="2" t="s">
        <v>247</v>
      </c>
    </row>
    <row r="121" spans="1:9" x14ac:dyDescent="0.55000000000000004">
      <c r="A121" s="2">
        <v>2019</v>
      </c>
      <c r="B121" t="s">
        <v>171</v>
      </c>
      <c r="C121" t="s">
        <v>16</v>
      </c>
      <c r="D121" t="s">
        <v>20</v>
      </c>
      <c r="E121" s="1" t="s">
        <v>173</v>
      </c>
      <c r="F121" s="2">
        <v>90</v>
      </c>
      <c r="G121" t="s">
        <v>51</v>
      </c>
      <c r="H121" s="2">
        <v>2019</v>
      </c>
      <c r="I121" s="2" t="s">
        <v>247</v>
      </c>
    </row>
    <row r="122" spans="1:9" x14ac:dyDescent="0.55000000000000004">
      <c r="A122" s="2">
        <v>2019</v>
      </c>
      <c r="B122" t="s">
        <v>81</v>
      </c>
      <c r="C122" t="s">
        <v>31</v>
      </c>
      <c r="D122" t="s">
        <v>9</v>
      </c>
      <c r="E122" s="1" t="s">
        <v>174</v>
      </c>
      <c r="F122" s="2">
        <v>71.81</v>
      </c>
      <c r="G122" t="s">
        <v>51</v>
      </c>
      <c r="H122" s="2">
        <v>2019</v>
      </c>
      <c r="I122" s="2" t="s">
        <v>247</v>
      </c>
    </row>
    <row r="123" spans="1:9" ht="28.8" x14ac:dyDescent="0.55000000000000004">
      <c r="A123" s="2">
        <v>2019</v>
      </c>
      <c r="B123" t="s">
        <v>81</v>
      </c>
      <c r="C123" t="s">
        <v>47</v>
      </c>
      <c r="D123" t="s">
        <v>9</v>
      </c>
      <c r="E123" s="1" t="s">
        <v>175</v>
      </c>
      <c r="F123" s="2">
        <v>40</v>
      </c>
      <c r="G123" t="s">
        <v>51</v>
      </c>
      <c r="H123" s="2">
        <v>2019</v>
      </c>
      <c r="I123" s="2" t="s">
        <v>247</v>
      </c>
    </row>
    <row r="124" spans="1:9" ht="43.2" x14ac:dyDescent="0.55000000000000004">
      <c r="A124" s="2">
        <v>2019</v>
      </c>
      <c r="B124" t="s">
        <v>98</v>
      </c>
      <c r="C124" t="s">
        <v>31</v>
      </c>
      <c r="D124" t="s">
        <v>9</v>
      </c>
      <c r="E124" s="1" t="s">
        <v>176</v>
      </c>
      <c r="F124" s="2">
        <v>500</v>
      </c>
      <c r="G124" t="s">
        <v>51</v>
      </c>
      <c r="H124" s="2">
        <v>2019</v>
      </c>
      <c r="I124" s="2" t="s">
        <v>247</v>
      </c>
    </row>
    <row r="125" spans="1:9" ht="28.8" x14ac:dyDescent="0.55000000000000004">
      <c r="A125" s="2">
        <v>2019</v>
      </c>
      <c r="B125" t="s">
        <v>56</v>
      </c>
      <c r="C125" t="s">
        <v>19</v>
      </c>
      <c r="D125" t="s">
        <v>20</v>
      </c>
      <c r="E125" s="1" t="s">
        <v>177</v>
      </c>
      <c r="F125" s="2">
        <v>54</v>
      </c>
      <c r="G125" t="s">
        <v>51</v>
      </c>
      <c r="H125" s="2">
        <v>2019</v>
      </c>
      <c r="I125" s="2" t="s">
        <v>247</v>
      </c>
    </row>
    <row r="126" spans="1:9" ht="28.8" x14ac:dyDescent="0.55000000000000004">
      <c r="A126" s="2">
        <v>2019</v>
      </c>
      <c r="B126" t="s">
        <v>70</v>
      </c>
      <c r="C126" t="s">
        <v>59</v>
      </c>
      <c r="D126" t="s">
        <v>9</v>
      </c>
      <c r="E126" s="1" t="s">
        <v>178</v>
      </c>
      <c r="F126" s="2">
        <v>80</v>
      </c>
      <c r="G126" t="s">
        <v>51</v>
      </c>
      <c r="H126" s="2">
        <v>2019</v>
      </c>
      <c r="I126" s="2" t="s">
        <v>247</v>
      </c>
    </row>
    <row r="127" spans="1:9" ht="28.8" x14ac:dyDescent="0.55000000000000004">
      <c r="A127" s="2">
        <v>2019</v>
      </c>
      <c r="B127" t="s">
        <v>70</v>
      </c>
      <c r="C127" t="s">
        <v>45</v>
      </c>
      <c r="D127" t="s">
        <v>9</v>
      </c>
      <c r="E127" s="1" t="s">
        <v>179</v>
      </c>
      <c r="F127" s="2">
        <v>200</v>
      </c>
      <c r="G127" t="s">
        <v>51</v>
      </c>
      <c r="H127" s="2">
        <v>2019</v>
      </c>
      <c r="I127" s="2" t="s">
        <v>247</v>
      </c>
    </row>
    <row r="128" spans="1:9" ht="28.8" x14ac:dyDescent="0.55000000000000004">
      <c r="A128" s="2">
        <v>2019</v>
      </c>
      <c r="B128" t="s">
        <v>61</v>
      </c>
      <c r="C128" t="s">
        <v>16</v>
      </c>
      <c r="D128" t="s">
        <v>20</v>
      </c>
      <c r="E128" s="1" t="s">
        <v>180</v>
      </c>
      <c r="F128" s="2">
        <v>100</v>
      </c>
      <c r="G128" t="s">
        <v>51</v>
      </c>
      <c r="H128" s="2">
        <v>2019</v>
      </c>
      <c r="I128" s="2" t="s">
        <v>247</v>
      </c>
    </row>
    <row r="129" spans="1:9" ht="28.8" x14ac:dyDescent="0.55000000000000004">
      <c r="A129" s="2">
        <v>2019</v>
      </c>
      <c r="B129" t="s">
        <v>61</v>
      </c>
      <c r="C129" t="s">
        <v>45</v>
      </c>
      <c r="D129" t="s">
        <v>9</v>
      </c>
      <c r="E129" s="1" t="s">
        <v>181</v>
      </c>
      <c r="F129" s="2">
        <v>300</v>
      </c>
      <c r="G129" t="s">
        <v>51</v>
      </c>
      <c r="H129" s="2">
        <v>2019</v>
      </c>
      <c r="I129" s="2" t="s">
        <v>247</v>
      </c>
    </row>
    <row r="130" spans="1:9" ht="28.8" x14ac:dyDescent="0.55000000000000004">
      <c r="A130" s="2">
        <v>2019</v>
      </c>
      <c r="B130" t="s">
        <v>61</v>
      </c>
      <c r="C130" t="s">
        <v>19</v>
      </c>
      <c r="D130" t="s">
        <v>9</v>
      </c>
      <c r="E130" s="1" t="s">
        <v>182</v>
      </c>
      <c r="F130" s="2">
        <v>200</v>
      </c>
      <c r="G130" t="s">
        <v>51</v>
      </c>
      <c r="H130" s="2">
        <v>2019</v>
      </c>
      <c r="I130" s="2" t="s">
        <v>247</v>
      </c>
    </row>
    <row r="131" spans="1:9" ht="28.8" x14ac:dyDescent="0.55000000000000004">
      <c r="A131" s="2">
        <v>2019</v>
      </c>
      <c r="B131" t="s">
        <v>52</v>
      </c>
      <c r="C131" s="1" t="s">
        <v>183</v>
      </c>
      <c r="D131" t="s">
        <v>9</v>
      </c>
      <c r="E131" s="1" t="s">
        <v>184</v>
      </c>
      <c r="F131" s="2">
        <v>82</v>
      </c>
      <c r="G131" t="s">
        <v>51</v>
      </c>
      <c r="H131" s="2">
        <v>2019</v>
      </c>
      <c r="I131" s="2" t="s">
        <v>247</v>
      </c>
    </row>
    <row r="132" spans="1:9" ht="43.2" x14ac:dyDescent="0.55000000000000004">
      <c r="A132" s="2" t="s">
        <v>35</v>
      </c>
      <c r="B132" t="s">
        <v>15</v>
      </c>
      <c r="C132" t="s">
        <v>16</v>
      </c>
      <c r="D132" t="s">
        <v>9</v>
      </c>
      <c r="E132" s="1" t="s">
        <v>185</v>
      </c>
      <c r="F132" s="2">
        <v>470</v>
      </c>
      <c r="G132" t="s">
        <v>11</v>
      </c>
      <c r="H132" s="2">
        <v>2018</v>
      </c>
      <c r="I132" s="2" t="s">
        <v>247</v>
      </c>
    </row>
    <row r="133" spans="1:9" ht="28.8" x14ac:dyDescent="0.55000000000000004">
      <c r="A133" s="2" t="s">
        <v>35</v>
      </c>
      <c r="B133" t="s">
        <v>43</v>
      </c>
      <c r="C133" t="s">
        <v>31</v>
      </c>
      <c r="D133" t="s">
        <v>9</v>
      </c>
      <c r="E133" s="1" t="s">
        <v>186</v>
      </c>
      <c r="F133" s="2">
        <v>84.4</v>
      </c>
      <c r="G133" t="s">
        <v>11</v>
      </c>
      <c r="H133" s="2">
        <v>2018</v>
      </c>
      <c r="I133" s="2" t="s">
        <v>247</v>
      </c>
    </row>
    <row r="134" spans="1:9" ht="28.8" x14ac:dyDescent="0.55000000000000004">
      <c r="A134" s="2" t="s">
        <v>35</v>
      </c>
      <c r="B134" t="s">
        <v>22</v>
      </c>
      <c r="C134" t="s">
        <v>16</v>
      </c>
      <c r="D134" t="s">
        <v>9</v>
      </c>
      <c r="E134" s="1" t="s">
        <v>187</v>
      </c>
      <c r="F134" s="2">
        <v>386</v>
      </c>
      <c r="G134" t="s">
        <v>11</v>
      </c>
      <c r="H134" s="2">
        <v>2018</v>
      </c>
      <c r="I134" s="2" t="s">
        <v>247</v>
      </c>
    </row>
    <row r="135" spans="1:9" x14ac:dyDescent="0.55000000000000004">
      <c r="A135" s="2" t="s">
        <v>35</v>
      </c>
      <c r="B135" t="s">
        <v>22</v>
      </c>
      <c r="C135" t="s">
        <v>31</v>
      </c>
      <c r="D135" t="s">
        <v>9</v>
      </c>
      <c r="E135" s="1" t="s">
        <v>188</v>
      </c>
      <c r="F135" s="2">
        <v>356.65</v>
      </c>
      <c r="G135" t="s">
        <v>11</v>
      </c>
      <c r="H135" s="2">
        <v>2018</v>
      </c>
      <c r="I135" s="2" t="s">
        <v>247</v>
      </c>
    </row>
    <row r="136" spans="1:9" x14ac:dyDescent="0.55000000000000004">
      <c r="A136" s="2" t="s">
        <v>35</v>
      </c>
      <c r="B136" t="s">
        <v>22</v>
      </c>
      <c r="C136" t="s">
        <v>47</v>
      </c>
      <c r="D136" t="s">
        <v>9</v>
      </c>
      <c r="E136" s="1" t="s">
        <v>189</v>
      </c>
      <c r="F136" s="2">
        <v>400</v>
      </c>
      <c r="G136" t="s">
        <v>11</v>
      </c>
      <c r="H136" s="2">
        <v>2018</v>
      </c>
      <c r="I136" s="2" t="s">
        <v>247</v>
      </c>
    </row>
    <row r="137" spans="1:9" ht="28.8" x14ac:dyDescent="0.55000000000000004">
      <c r="A137" s="2" t="s">
        <v>35</v>
      </c>
      <c r="B137" t="s">
        <v>22</v>
      </c>
      <c r="C137" t="s">
        <v>31</v>
      </c>
      <c r="D137" t="s">
        <v>9</v>
      </c>
      <c r="E137" s="1" t="s">
        <v>190</v>
      </c>
      <c r="F137" s="2">
        <v>70.099999999999994</v>
      </c>
      <c r="G137" t="s">
        <v>11</v>
      </c>
      <c r="H137" s="2">
        <v>2018</v>
      </c>
      <c r="I137" s="2" t="s">
        <v>247</v>
      </c>
    </row>
    <row r="138" spans="1:9" ht="28.8" x14ac:dyDescent="0.55000000000000004">
      <c r="A138" s="2" t="s">
        <v>35</v>
      </c>
      <c r="B138" t="s">
        <v>171</v>
      </c>
      <c r="C138" t="s">
        <v>45</v>
      </c>
      <c r="D138" t="s">
        <v>9</v>
      </c>
      <c r="E138" s="1" t="s">
        <v>191</v>
      </c>
      <c r="F138" s="2">
        <v>150</v>
      </c>
      <c r="G138" t="s">
        <v>11</v>
      </c>
      <c r="H138" s="2">
        <v>2018</v>
      </c>
      <c r="I138" s="2" t="s">
        <v>247</v>
      </c>
    </row>
    <row r="139" spans="1:9" ht="28.8" x14ac:dyDescent="0.55000000000000004">
      <c r="A139" s="2" t="s">
        <v>35</v>
      </c>
      <c r="B139" t="s">
        <v>192</v>
      </c>
      <c r="C139" t="s">
        <v>31</v>
      </c>
      <c r="D139" t="s">
        <v>9</v>
      </c>
      <c r="E139" s="1" t="s">
        <v>193</v>
      </c>
      <c r="F139" s="2">
        <v>55</v>
      </c>
      <c r="G139" t="s">
        <v>11</v>
      </c>
      <c r="H139" s="2">
        <v>2018</v>
      </c>
      <c r="I139" s="2" t="s">
        <v>247</v>
      </c>
    </row>
    <row r="140" spans="1:9" ht="28.8" x14ac:dyDescent="0.55000000000000004">
      <c r="A140" s="2" t="s">
        <v>35</v>
      </c>
      <c r="B140" t="s">
        <v>52</v>
      </c>
      <c r="C140" t="s">
        <v>47</v>
      </c>
      <c r="D140" t="s">
        <v>9</v>
      </c>
      <c r="E140" s="1" t="s">
        <v>194</v>
      </c>
      <c r="F140" s="2">
        <v>266.2</v>
      </c>
      <c r="G140" t="s">
        <v>11</v>
      </c>
      <c r="H140" s="2">
        <v>2018</v>
      </c>
      <c r="I140" s="2" t="s">
        <v>247</v>
      </c>
    </row>
    <row r="141" spans="1:9" x14ac:dyDescent="0.55000000000000004">
      <c r="A141" s="2">
        <v>2018</v>
      </c>
      <c r="B141" t="s">
        <v>15</v>
      </c>
      <c r="C141" t="s">
        <v>16</v>
      </c>
      <c r="D141" t="s">
        <v>20</v>
      </c>
      <c r="E141" s="1" t="s">
        <v>195</v>
      </c>
      <c r="F141" s="2">
        <v>60</v>
      </c>
      <c r="G141" t="s">
        <v>51</v>
      </c>
      <c r="H141" s="2">
        <v>2018</v>
      </c>
      <c r="I141" s="2" t="s">
        <v>247</v>
      </c>
    </row>
    <row r="142" spans="1:9" ht="28.8" x14ac:dyDescent="0.55000000000000004">
      <c r="A142" s="2">
        <v>2018</v>
      </c>
      <c r="B142" t="s">
        <v>24</v>
      </c>
      <c r="C142" t="s">
        <v>47</v>
      </c>
      <c r="D142" t="s">
        <v>9</v>
      </c>
      <c r="E142" s="1" t="s">
        <v>196</v>
      </c>
      <c r="F142" s="2">
        <v>300</v>
      </c>
      <c r="G142" t="s">
        <v>51</v>
      </c>
      <c r="H142" s="2">
        <v>2018</v>
      </c>
      <c r="I142" s="2" t="s">
        <v>247</v>
      </c>
    </row>
    <row r="143" spans="1:9" x14ac:dyDescent="0.55000000000000004">
      <c r="A143" s="2">
        <v>2018</v>
      </c>
      <c r="B143" t="s">
        <v>22</v>
      </c>
      <c r="C143" t="s">
        <v>31</v>
      </c>
      <c r="D143" t="s">
        <v>9</v>
      </c>
      <c r="E143" s="1" t="s">
        <v>197</v>
      </c>
      <c r="F143" s="2">
        <v>455</v>
      </c>
      <c r="G143" t="s">
        <v>51</v>
      </c>
      <c r="H143" s="2">
        <v>2018</v>
      </c>
      <c r="I143" s="2" t="s">
        <v>247</v>
      </c>
    </row>
    <row r="144" spans="1:9" ht="28.8" x14ac:dyDescent="0.55000000000000004">
      <c r="A144" s="2">
        <v>2018</v>
      </c>
      <c r="B144" t="s">
        <v>22</v>
      </c>
      <c r="C144" t="s">
        <v>47</v>
      </c>
      <c r="D144" t="s">
        <v>9</v>
      </c>
      <c r="E144" s="1" t="s">
        <v>198</v>
      </c>
      <c r="F144" s="2">
        <v>400</v>
      </c>
      <c r="G144" t="s">
        <v>51</v>
      </c>
      <c r="H144" s="2">
        <v>2018</v>
      </c>
      <c r="I144" s="2" t="s">
        <v>247</v>
      </c>
    </row>
    <row r="145" spans="1:9" x14ac:dyDescent="0.55000000000000004">
      <c r="A145" s="2">
        <v>2018</v>
      </c>
      <c r="B145" t="s">
        <v>22</v>
      </c>
      <c r="C145" t="s">
        <v>31</v>
      </c>
      <c r="D145" t="s">
        <v>9</v>
      </c>
      <c r="E145" s="1" t="s">
        <v>199</v>
      </c>
      <c r="F145" s="2">
        <v>140</v>
      </c>
      <c r="G145" t="s">
        <v>51</v>
      </c>
      <c r="H145" s="2">
        <v>2018</v>
      </c>
      <c r="I145" s="2" t="s">
        <v>247</v>
      </c>
    </row>
    <row r="146" spans="1:9" ht="28.8" x14ac:dyDescent="0.55000000000000004">
      <c r="A146" s="2">
        <v>2018</v>
      </c>
      <c r="B146" t="s">
        <v>22</v>
      </c>
      <c r="C146" t="s">
        <v>19</v>
      </c>
      <c r="D146" t="s">
        <v>20</v>
      </c>
      <c r="E146" s="1" t="s">
        <v>200</v>
      </c>
      <c r="F146" s="2">
        <v>100</v>
      </c>
      <c r="G146" t="s">
        <v>51</v>
      </c>
      <c r="H146" s="2">
        <v>2018</v>
      </c>
      <c r="I146" s="2" t="s">
        <v>247</v>
      </c>
    </row>
    <row r="147" spans="1:9" ht="28.8" x14ac:dyDescent="0.55000000000000004">
      <c r="A147" s="2">
        <v>2018</v>
      </c>
      <c r="B147" t="s">
        <v>33</v>
      </c>
      <c r="C147" t="s">
        <v>45</v>
      </c>
      <c r="D147" t="s">
        <v>9</v>
      </c>
      <c r="E147" s="1" t="s">
        <v>201</v>
      </c>
      <c r="F147" s="2">
        <v>248.4</v>
      </c>
      <c r="G147" t="s">
        <v>51</v>
      </c>
      <c r="H147" s="2">
        <v>2018</v>
      </c>
      <c r="I147" s="2" t="s">
        <v>247</v>
      </c>
    </row>
    <row r="148" spans="1:9" ht="28.8" x14ac:dyDescent="0.55000000000000004">
      <c r="A148" s="2">
        <v>2018</v>
      </c>
      <c r="B148" t="s">
        <v>33</v>
      </c>
      <c r="C148" t="s">
        <v>47</v>
      </c>
      <c r="D148" t="s">
        <v>9</v>
      </c>
      <c r="E148" s="1" t="s">
        <v>202</v>
      </c>
      <c r="F148" s="2">
        <v>250</v>
      </c>
      <c r="G148" t="s">
        <v>51</v>
      </c>
      <c r="H148" s="2">
        <v>2018</v>
      </c>
      <c r="I148" s="2" t="s">
        <v>247</v>
      </c>
    </row>
    <row r="149" spans="1:9" ht="28.8" x14ac:dyDescent="0.55000000000000004">
      <c r="A149" s="2">
        <v>2018</v>
      </c>
      <c r="B149" t="s">
        <v>18</v>
      </c>
      <c r="C149" t="s">
        <v>19</v>
      </c>
      <c r="D149" t="s">
        <v>20</v>
      </c>
      <c r="E149" s="1" t="s">
        <v>203</v>
      </c>
      <c r="F149" s="2">
        <v>500</v>
      </c>
      <c r="G149" t="s">
        <v>51</v>
      </c>
      <c r="H149" s="2">
        <v>2018</v>
      </c>
      <c r="I149" s="2" t="s">
        <v>247</v>
      </c>
    </row>
    <row r="150" spans="1:9" ht="28.8" x14ac:dyDescent="0.55000000000000004">
      <c r="A150" s="2">
        <v>2018</v>
      </c>
      <c r="B150" t="s">
        <v>61</v>
      </c>
      <c r="C150" t="s">
        <v>19</v>
      </c>
      <c r="D150" t="s">
        <v>9</v>
      </c>
      <c r="E150" s="1" t="s">
        <v>204</v>
      </c>
      <c r="F150" s="2">
        <v>200</v>
      </c>
      <c r="G150" t="s">
        <v>51</v>
      </c>
      <c r="H150" s="2">
        <v>2018</v>
      </c>
      <c r="I150" s="2" t="s">
        <v>247</v>
      </c>
    </row>
    <row r="151" spans="1:9" ht="28.8" x14ac:dyDescent="0.55000000000000004">
      <c r="A151" s="2">
        <v>2018</v>
      </c>
      <c r="B151" t="s">
        <v>61</v>
      </c>
      <c r="C151" t="s">
        <v>16</v>
      </c>
      <c r="D151" t="s">
        <v>9</v>
      </c>
      <c r="E151" s="1" t="s">
        <v>205</v>
      </c>
      <c r="F151" s="2">
        <v>600</v>
      </c>
      <c r="G151" t="s">
        <v>51</v>
      </c>
      <c r="H151" s="2">
        <v>2018</v>
      </c>
      <c r="I151" s="2" t="s">
        <v>247</v>
      </c>
    </row>
    <row r="152" spans="1:9" x14ac:dyDescent="0.55000000000000004">
      <c r="A152" s="2">
        <v>2018</v>
      </c>
      <c r="B152" t="s">
        <v>22</v>
      </c>
      <c r="C152" t="s">
        <v>31</v>
      </c>
      <c r="D152" t="s">
        <v>20</v>
      </c>
      <c r="E152" s="1" t="s">
        <v>206</v>
      </c>
      <c r="F152" s="2">
        <v>50</v>
      </c>
      <c r="G152" t="s">
        <v>51</v>
      </c>
      <c r="H152" s="2">
        <v>2018</v>
      </c>
      <c r="I152" s="2" t="s">
        <v>247</v>
      </c>
    </row>
    <row r="153" spans="1:9" x14ac:dyDescent="0.55000000000000004">
      <c r="A153" s="2" t="s">
        <v>35</v>
      </c>
      <c r="B153" t="s">
        <v>171</v>
      </c>
      <c r="C153" t="s">
        <v>16</v>
      </c>
      <c r="D153" t="s">
        <v>9</v>
      </c>
      <c r="E153" s="1" t="s">
        <v>207</v>
      </c>
      <c r="F153" s="2">
        <v>112</v>
      </c>
      <c r="G153" t="s">
        <v>11</v>
      </c>
      <c r="H153" s="2">
        <v>2017</v>
      </c>
      <c r="I153" s="2" t="s">
        <v>247</v>
      </c>
    </row>
    <row r="154" spans="1:9" x14ac:dyDescent="0.55000000000000004">
      <c r="A154" s="2" t="s">
        <v>35</v>
      </c>
      <c r="B154" t="s">
        <v>81</v>
      </c>
      <c r="C154" t="s">
        <v>47</v>
      </c>
      <c r="D154" t="s">
        <v>9</v>
      </c>
      <c r="E154" s="1" t="s">
        <v>208</v>
      </c>
      <c r="F154" s="2">
        <v>235</v>
      </c>
      <c r="G154" t="s">
        <v>11</v>
      </c>
      <c r="H154" s="2">
        <v>2017</v>
      </c>
      <c r="I154" s="2" t="s">
        <v>247</v>
      </c>
    </row>
    <row r="155" spans="1:9" x14ac:dyDescent="0.55000000000000004">
      <c r="A155" s="2" t="s">
        <v>35</v>
      </c>
      <c r="B155" t="s">
        <v>70</v>
      </c>
      <c r="C155" t="s">
        <v>47</v>
      </c>
      <c r="D155" t="s">
        <v>9</v>
      </c>
      <c r="E155" s="1" t="s">
        <v>209</v>
      </c>
      <c r="F155" s="2">
        <v>50</v>
      </c>
      <c r="G155" t="s">
        <v>11</v>
      </c>
      <c r="H155" s="2">
        <v>2017</v>
      </c>
      <c r="I155" s="2" t="s">
        <v>247</v>
      </c>
    </row>
    <row r="156" spans="1:9" ht="28.8" x14ac:dyDescent="0.55000000000000004">
      <c r="A156" s="2">
        <v>2017</v>
      </c>
      <c r="B156" t="s">
        <v>15</v>
      </c>
      <c r="C156" t="s">
        <v>16</v>
      </c>
      <c r="D156" t="s">
        <v>9</v>
      </c>
      <c r="E156" s="1" t="s">
        <v>210</v>
      </c>
      <c r="F156" s="2">
        <v>60</v>
      </c>
      <c r="G156" t="s">
        <v>51</v>
      </c>
      <c r="H156" s="2">
        <v>2017</v>
      </c>
      <c r="I156" s="2" t="s">
        <v>247</v>
      </c>
    </row>
    <row r="157" spans="1:9" ht="28.8" x14ac:dyDescent="0.55000000000000004">
      <c r="A157" s="2">
        <v>2017</v>
      </c>
      <c r="B157" t="s">
        <v>26</v>
      </c>
      <c r="C157" t="s">
        <v>16</v>
      </c>
      <c r="D157" t="s">
        <v>20</v>
      </c>
      <c r="E157" s="1" t="s">
        <v>211</v>
      </c>
      <c r="F157" s="2">
        <v>250</v>
      </c>
      <c r="G157" t="s">
        <v>51</v>
      </c>
      <c r="H157" s="2">
        <v>2017</v>
      </c>
      <c r="I157" s="2" t="s">
        <v>247</v>
      </c>
    </row>
    <row r="158" spans="1:9" x14ac:dyDescent="0.55000000000000004">
      <c r="A158" s="2">
        <v>2017</v>
      </c>
      <c r="B158" t="s">
        <v>24</v>
      </c>
      <c r="C158" t="s">
        <v>16</v>
      </c>
      <c r="D158" t="s">
        <v>20</v>
      </c>
      <c r="E158" s="1" t="s">
        <v>212</v>
      </c>
      <c r="F158" s="2">
        <v>210</v>
      </c>
      <c r="G158" t="s">
        <v>51</v>
      </c>
      <c r="H158" s="2">
        <v>2017</v>
      </c>
      <c r="I158" s="2" t="s">
        <v>247</v>
      </c>
    </row>
    <row r="159" spans="1:9" x14ac:dyDescent="0.55000000000000004">
      <c r="A159" s="2">
        <v>2017</v>
      </c>
      <c r="B159" t="s">
        <v>63</v>
      </c>
      <c r="C159" t="s">
        <v>31</v>
      </c>
      <c r="D159" t="s">
        <v>9</v>
      </c>
      <c r="E159" s="1" t="s">
        <v>213</v>
      </c>
      <c r="F159" s="2">
        <v>114</v>
      </c>
      <c r="G159" t="s">
        <v>51</v>
      </c>
      <c r="H159" s="2">
        <v>2017</v>
      </c>
      <c r="I159" s="2" t="s">
        <v>247</v>
      </c>
    </row>
    <row r="160" spans="1:9" x14ac:dyDescent="0.55000000000000004">
      <c r="A160" s="2">
        <v>2017</v>
      </c>
      <c r="B160" t="s">
        <v>22</v>
      </c>
      <c r="C160" t="s">
        <v>16</v>
      </c>
      <c r="D160" t="s">
        <v>9</v>
      </c>
      <c r="E160" s="1" t="s">
        <v>214</v>
      </c>
      <c r="F160" s="2">
        <v>160</v>
      </c>
      <c r="G160" t="s">
        <v>51</v>
      </c>
      <c r="H160" s="2">
        <v>2017</v>
      </c>
      <c r="I160" s="2" t="s">
        <v>247</v>
      </c>
    </row>
    <row r="161" spans="1:9" x14ac:dyDescent="0.55000000000000004">
      <c r="A161" s="2">
        <v>2017</v>
      </c>
      <c r="B161" t="s">
        <v>22</v>
      </c>
      <c r="C161" t="s">
        <v>31</v>
      </c>
      <c r="D161" t="s">
        <v>9</v>
      </c>
      <c r="E161" s="1" t="s">
        <v>215</v>
      </c>
      <c r="F161" s="2">
        <v>335</v>
      </c>
      <c r="G161" t="s">
        <v>51</v>
      </c>
      <c r="H161" s="2">
        <v>2017</v>
      </c>
      <c r="I161" s="2" t="s">
        <v>247</v>
      </c>
    </row>
    <row r="162" spans="1:9" x14ac:dyDescent="0.55000000000000004">
      <c r="A162" s="2">
        <v>2017</v>
      </c>
      <c r="B162" t="s">
        <v>22</v>
      </c>
      <c r="C162" t="s">
        <v>31</v>
      </c>
      <c r="D162" t="s">
        <v>9</v>
      </c>
      <c r="E162" s="1" t="s">
        <v>216</v>
      </c>
      <c r="F162" s="2">
        <v>329</v>
      </c>
      <c r="G162" t="s">
        <v>51</v>
      </c>
      <c r="H162" s="2">
        <v>2017</v>
      </c>
      <c r="I162" s="2" t="s">
        <v>247</v>
      </c>
    </row>
    <row r="163" spans="1:9" ht="28.8" x14ac:dyDescent="0.55000000000000004">
      <c r="A163" s="2">
        <v>2017</v>
      </c>
      <c r="B163" t="s">
        <v>22</v>
      </c>
      <c r="C163" t="s">
        <v>16</v>
      </c>
      <c r="D163" t="s">
        <v>9</v>
      </c>
      <c r="E163" s="1" t="s">
        <v>217</v>
      </c>
      <c r="F163" s="2">
        <v>100</v>
      </c>
      <c r="G163" t="s">
        <v>51</v>
      </c>
      <c r="H163" s="2">
        <v>2017</v>
      </c>
      <c r="I163" s="2" t="s">
        <v>247</v>
      </c>
    </row>
    <row r="164" spans="1:9" ht="28.8" x14ac:dyDescent="0.55000000000000004">
      <c r="A164" s="2">
        <v>2017</v>
      </c>
      <c r="B164" t="s">
        <v>33</v>
      </c>
      <c r="C164" t="s">
        <v>47</v>
      </c>
      <c r="D164" t="s">
        <v>9</v>
      </c>
      <c r="E164" s="1" t="s">
        <v>218</v>
      </c>
      <c r="F164" s="2">
        <v>125</v>
      </c>
      <c r="G164" t="s">
        <v>51</v>
      </c>
      <c r="H164" s="2">
        <v>2017</v>
      </c>
      <c r="I164" s="2" t="s">
        <v>247</v>
      </c>
    </row>
    <row r="165" spans="1:9" x14ac:dyDescent="0.55000000000000004">
      <c r="A165" s="2">
        <v>2017</v>
      </c>
      <c r="B165" t="s">
        <v>33</v>
      </c>
      <c r="C165" t="s">
        <v>45</v>
      </c>
      <c r="D165" t="s">
        <v>9</v>
      </c>
      <c r="E165" s="1" t="s">
        <v>219</v>
      </c>
      <c r="F165" s="2">
        <v>100</v>
      </c>
      <c r="G165" t="s">
        <v>51</v>
      </c>
      <c r="H165" s="2">
        <v>2017</v>
      </c>
      <c r="I165" s="2" t="s">
        <v>247</v>
      </c>
    </row>
    <row r="166" spans="1:9" ht="28.8" x14ac:dyDescent="0.55000000000000004">
      <c r="A166" s="2">
        <v>2017</v>
      </c>
      <c r="B166" t="s">
        <v>18</v>
      </c>
      <c r="C166" t="s">
        <v>19</v>
      </c>
      <c r="D166" t="s">
        <v>20</v>
      </c>
      <c r="E166" s="1" t="s">
        <v>220</v>
      </c>
      <c r="F166" s="2">
        <v>150</v>
      </c>
      <c r="G166" t="s">
        <v>51</v>
      </c>
      <c r="H166" s="2">
        <v>2017</v>
      </c>
      <c r="I166" s="2" t="s">
        <v>247</v>
      </c>
    </row>
    <row r="167" spans="1:9" x14ac:dyDescent="0.55000000000000004">
      <c r="A167" s="2">
        <v>2017</v>
      </c>
      <c r="B167" t="s">
        <v>138</v>
      </c>
      <c r="C167" t="s">
        <v>27</v>
      </c>
      <c r="D167" t="s">
        <v>20</v>
      </c>
      <c r="E167" s="1" t="s">
        <v>221</v>
      </c>
      <c r="F167" s="2">
        <v>152.1</v>
      </c>
      <c r="G167" t="s">
        <v>51</v>
      </c>
      <c r="H167" s="2">
        <v>2017</v>
      </c>
      <c r="I167" s="2" t="s">
        <v>247</v>
      </c>
    </row>
    <row r="168" spans="1:9" x14ac:dyDescent="0.55000000000000004">
      <c r="A168" s="2">
        <v>2017</v>
      </c>
      <c r="B168" t="s">
        <v>68</v>
      </c>
      <c r="C168" t="s">
        <v>47</v>
      </c>
      <c r="D168" t="s">
        <v>9</v>
      </c>
      <c r="E168" s="1" t="s">
        <v>222</v>
      </c>
      <c r="F168" s="2">
        <v>207.6</v>
      </c>
      <c r="G168" t="s">
        <v>51</v>
      </c>
      <c r="H168" s="2">
        <v>2017</v>
      </c>
      <c r="I168" s="2" t="s">
        <v>247</v>
      </c>
    </row>
    <row r="169" spans="1:9" x14ac:dyDescent="0.55000000000000004">
      <c r="A169" s="2">
        <v>2017</v>
      </c>
      <c r="B169" t="s">
        <v>192</v>
      </c>
      <c r="C169" t="s">
        <v>16</v>
      </c>
      <c r="D169" t="s">
        <v>9</v>
      </c>
      <c r="E169" s="1" t="s">
        <v>223</v>
      </c>
      <c r="F169" s="2">
        <v>60</v>
      </c>
      <c r="G169" t="s">
        <v>51</v>
      </c>
      <c r="H169" s="2">
        <v>2017</v>
      </c>
      <c r="I169" s="2" t="s">
        <v>247</v>
      </c>
    </row>
    <row r="170" spans="1:9" ht="28.8" x14ac:dyDescent="0.55000000000000004">
      <c r="A170" s="2">
        <v>2017</v>
      </c>
      <c r="B170" t="s">
        <v>22</v>
      </c>
      <c r="C170" t="s">
        <v>19</v>
      </c>
      <c r="D170" t="s">
        <v>20</v>
      </c>
      <c r="E170" s="1" t="s">
        <v>224</v>
      </c>
      <c r="F170" s="2">
        <v>150</v>
      </c>
      <c r="G170" t="s">
        <v>51</v>
      </c>
      <c r="H170" s="2">
        <v>2017</v>
      </c>
      <c r="I170" s="2" t="s">
        <v>247</v>
      </c>
    </row>
    <row r="171" spans="1:9" x14ac:dyDescent="0.55000000000000004">
      <c r="A171" s="2" t="s">
        <v>35</v>
      </c>
      <c r="B171" t="s">
        <v>63</v>
      </c>
      <c r="C171" t="s">
        <v>16</v>
      </c>
      <c r="D171" t="s">
        <v>20</v>
      </c>
      <c r="E171" s="1" t="s">
        <v>225</v>
      </c>
      <c r="F171" s="2">
        <v>100</v>
      </c>
      <c r="G171" t="s">
        <v>11</v>
      </c>
      <c r="H171" s="2">
        <v>2016</v>
      </c>
      <c r="I171" s="2" t="s">
        <v>247</v>
      </c>
    </row>
    <row r="172" spans="1:9" x14ac:dyDescent="0.55000000000000004">
      <c r="A172" s="2" t="s">
        <v>35</v>
      </c>
      <c r="B172" t="s">
        <v>171</v>
      </c>
      <c r="C172" t="s">
        <v>45</v>
      </c>
      <c r="D172" t="s">
        <v>9</v>
      </c>
      <c r="E172" s="1" t="s">
        <v>226</v>
      </c>
      <c r="F172" s="2">
        <v>100</v>
      </c>
      <c r="G172" t="s">
        <v>11</v>
      </c>
      <c r="H172" s="2">
        <v>2016</v>
      </c>
      <c r="I172" s="2" t="s">
        <v>247</v>
      </c>
    </row>
    <row r="173" spans="1:9" ht="28.8" x14ac:dyDescent="0.55000000000000004">
      <c r="A173" s="2">
        <v>2016</v>
      </c>
      <c r="B173" t="s">
        <v>29</v>
      </c>
      <c r="C173" t="s">
        <v>16</v>
      </c>
      <c r="D173" t="s">
        <v>9</v>
      </c>
      <c r="E173" s="1" t="s">
        <v>227</v>
      </c>
      <c r="F173" s="2">
        <v>600</v>
      </c>
      <c r="G173" t="s">
        <v>51</v>
      </c>
      <c r="H173" s="2">
        <v>2016</v>
      </c>
      <c r="I173" s="2" t="s">
        <v>247</v>
      </c>
    </row>
    <row r="174" spans="1:9" ht="28.8" x14ac:dyDescent="0.55000000000000004">
      <c r="A174" s="2">
        <v>2016</v>
      </c>
      <c r="B174" t="s">
        <v>15</v>
      </c>
      <c r="C174" t="s">
        <v>16</v>
      </c>
      <c r="D174" t="s">
        <v>9</v>
      </c>
      <c r="E174" s="1" t="s">
        <v>228</v>
      </c>
      <c r="F174" s="2">
        <v>165</v>
      </c>
      <c r="G174" t="s">
        <v>51</v>
      </c>
      <c r="H174" s="2">
        <v>2016</v>
      </c>
      <c r="I174" s="2" t="s">
        <v>247</v>
      </c>
    </row>
    <row r="175" spans="1:9" x14ac:dyDescent="0.55000000000000004">
      <c r="A175" s="2">
        <v>2016</v>
      </c>
      <c r="B175" t="s">
        <v>33</v>
      </c>
      <c r="C175" t="s">
        <v>45</v>
      </c>
      <c r="D175" t="s">
        <v>9</v>
      </c>
      <c r="E175" s="1" t="s">
        <v>229</v>
      </c>
      <c r="F175" s="2">
        <v>216.5</v>
      </c>
      <c r="G175" t="s">
        <v>51</v>
      </c>
      <c r="H175" s="2">
        <v>2016</v>
      </c>
      <c r="I175" s="2" t="s">
        <v>247</v>
      </c>
    </row>
    <row r="176" spans="1:9" ht="28.8" x14ac:dyDescent="0.55000000000000004">
      <c r="A176" s="2">
        <v>2016</v>
      </c>
      <c r="B176" t="s">
        <v>230</v>
      </c>
      <c r="C176" t="s">
        <v>16</v>
      </c>
      <c r="D176" t="s">
        <v>20</v>
      </c>
      <c r="E176" s="1" t="s">
        <v>231</v>
      </c>
      <c r="F176" s="2">
        <v>20</v>
      </c>
      <c r="G176" t="s">
        <v>51</v>
      </c>
      <c r="H176" s="2">
        <v>2016</v>
      </c>
      <c r="I176" s="2" t="s">
        <v>247</v>
      </c>
    </row>
    <row r="177" spans="1:9" ht="28.8" x14ac:dyDescent="0.55000000000000004">
      <c r="A177" s="2">
        <v>2016</v>
      </c>
      <c r="B177" t="s">
        <v>138</v>
      </c>
      <c r="C177" t="s">
        <v>31</v>
      </c>
      <c r="D177" t="s">
        <v>9</v>
      </c>
      <c r="E177" s="1" t="s">
        <v>232</v>
      </c>
      <c r="F177" s="2">
        <v>265</v>
      </c>
      <c r="G177" t="s">
        <v>51</v>
      </c>
      <c r="H177" s="2">
        <v>2016</v>
      </c>
      <c r="I177" s="2" t="s">
        <v>247</v>
      </c>
    </row>
    <row r="178" spans="1:9" ht="28.8" x14ac:dyDescent="0.55000000000000004">
      <c r="A178" s="2">
        <v>2016</v>
      </c>
      <c r="B178" t="s">
        <v>81</v>
      </c>
      <c r="C178" t="s">
        <v>31</v>
      </c>
      <c r="D178" t="s">
        <v>9</v>
      </c>
      <c r="E178" s="1" t="s">
        <v>233</v>
      </c>
      <c r="F178" s="2">
        <v>100</v>
      </c>
      <c r="G178" t="s">
        <v>51</v>
      </c>
      <c r="H178" s="2">
        <v>2016</v>
      </c>
      <c r="I178" s="2" t="s">
        <v>247</v>
      </c>
    </row>
    <row r="179" spans="1:9" x14ac:dyDescent="0.55000000000000004">
      <c r="A179" s="2">
        <v>2016</v>
      </c>
      <c r="B179" t="s">
        <v>81</v>
      </c>
      <c r="C179" t="s">
        <v>16</v>
      </c>
      <c r="D179" t="s">
        <v>9</v>
      </c>
      <c r="E179" s="1" t="s">
        <v>234</v>
      </c>
      <c r="F179" s="2">
        <v>300</v>
      </c>
      <c r="G179" t="s">
        <v>51</v>
      </c>
      <c r="H179" s="2">
        <v>2016</v>
      </c>
      <c r="I179" s="2" t="s">
        <v>247</v>
      </c>
    </row>
    <row r="180" spans="1:9" ht="28.8" x14ac:dyDescent="0.55000000000000004">
      <c r="A180" s="2">
        <v>2016</v>
      </c>
      <c r="B180" t="s">
        <v>192</v>
      </c>
      <c r="C180" t="s">
        <v>31</v>
      </c>
      <c r="D180" t="s">
        <v>9</v>
      </c>
      <c r="E180" s="1" t="s">
        <v>235</v>
      </c>
      <c r="F180" s="2">
        <v>27.5</v>
      </c>
      <c r="G180" t="s">
        <v>51</v>
      </c>
      <c r="H180" s="2">
        <v>2016</v>
      </c>
      <c r="I180" s="2" t="s">
        <v>247</v>
      </c>
    </row>
    <row r="183" spans="1:9" x14ac:dyDescent="0.55000000000000004">
      <c r="F183" s="6" t="s">
        <v>254</v>
      </c>
      <c r="G183" s="6"/>
      <c r="H183" s="6"/>
    </row>
    <row r="184" spans="1:9" x14ac:dyDescent="0.55000000000000004">
      <c r="B184" s="2" t="s">
        <v>236</v>
      </c>
      <c r="D184" s="2" t="s">
        <v>239</v>
      </c>
      <c r="E184" s="2" t="s">
        <v>241</v>
      </c>
      <c r="F184" s="2" t="s">
        <v>255</v>
      </c>
      <c r="G184" s="2">
        <v>2020</v>
      </c>
      <c r="H184" s="2">
        <v>2021</v>
      </c>
    </row>
    <row r="185" spans="1:9" x14ac:dyDescent="0.55000000000000004">
      <c r="B185" s="2">
        <f ca="1">SUM(F:F)</f>
        <v>39036.28</v>
      </c>
      <c r="D185" s="2">
        <f ca="1">SUMIF(C:C,"=Public Health",F:F)</f>
        <v>2482.17</v>
      </c>
      <c r="E185" s="2">
        <f ca="1">COUNTIF(G:G,"=Approved")</f>
        <v>127</v>
      </c>
      <c r="F185" s="2" t="s">
        <v>259</v>
      </c>
      <c r="G185" s="2">
        <f ca="1">SUMIF(H:H,"=2020",F:F)</f>
        <v>11434.500000000002</v>
      </c>
      <c r="H185" s="2">
        <f ca="1">SUMIF(H:H,"=2021",F:F)</f>
        <v>5966.77</v>
      </c>
    </row>
    <row r="186" spans="1:9" x14ac:dyDescent="0.55000000000000004">
      <c r="B186" s="2"/>
      <c r="D186" s="2" t="s">
        <v>250</v>
      </c>
      <c r="E186" s="2" t="s">
        <v>242</v>
      </c>
      <c r="F186" s="2" t="s">
        <v>254</v>
      </c>
      <c r="G186" s="2">
        <f ca="1">SUMIFS(F:F,H:H,"=2020",I:I,"=Yes")</f>
        <v>6664.9</v>
      </c>
      <c r="H186" s="2">
        <f ca="1">SUMIFS(F:F,H:H,"=2021",I:I,"=Yes")</f>
        <v>2017.27</v>
      </c>
    </row>
    <row r="187" spans="1:9" x14ac:dyDescent="0.55000000000000004">
      <c r="B187" s="2" t="s">
        <v>237</v>
      </c>
      <c r="D187" s="2">
        <f>SUMIF(I:I,"=Yes",F:F)</f>
        <v>9182.17</v>
      </c>
      <c r="E187" s="2">
        <f ca="1">COUNTIF(G:G,"=Proposed")</f>
        <v>52</v>
      </c>
      <c r="F187" s="2" t="s">
        <v>256</v>
      </c>
      <c r="G187" s="2">
        <f>COUNTIFS(I:I,"=Yes",H:H,"=2020")</f>
        <v>23</v>
      </c>
      <c r="H187" s="2">
        <f>COUNTIFS(I:I,"=Yes",H:H,"=2021")</f>
        <v>11</v>
      </c>
    </row>
    <row r="188" spans="1:9" x14ac:dyDescent="0.55000000000000004">
      <c r="B188" s="2">
        <f ca="1">SUMIF(G:G,"=Approved",F:F)</f>
        <v>25027.41</v>
      </c>
      <c r="D188" t="s">
        <v>251</v>
      </c>
      <c r="F188" s="2" t="s">
        <v>258</v>
      </c>
      <c r="G188" s="2">
        <f ca="1">F196</f>
        <v>52</v>
      </c>
      <c r="H188" s="2">
        <f ca="1">G196</f>
        <v>38</v>
      </c>
    </row>
    <row r="189" spans="1:9" x14ac:dyDescent="0.55000000000000004">
      <c r="B189" s="2"/>
      <c r="D189" s="2">
        <f>SUMIFS(F:F,I:I,"=Yes",G:G,"=Approved")</f>
        <v>7815.9</v>
      </c>
      <c r="E189" s="3" t="s">
        <v>253</v>
      </c>
      <c r="F189" s="2" t="s">
        <v>260</v>
      </c>
      <c r="G189" s="7">
        <f ca="1">G187/G188</f>
        <v>0.44230769230769229</v>
      </c>
      <c r="H189" s="7">
        <f ca="1">H187/H188</f>
        <v>0.28947368421052633</v>
      </c>
    </row>
    <row r="190" spans="1:9" x14ac:dyDescent="0.55000000000000004">
      <c r="B190" s="2" t="s">
        <v>238</v>
      </c>
      <c r="D190" t="s">
        <v>252</v>
      </c>
      <c r="E190" s="3">
        <f ca="1">E185+E187</f>
        <v>179</v>
      </c>
      <c r="F190" s="2" t="s">
        <v>261</v>
      </c>
      <c r="G190" s="7">
        <f ca="1">G186/G185</f>
        <v>0.58287638287638277</v>
      </c>
      <c r="H190" s="7">
        <f ca="1">H186/H185</f>
        <v>0.3380840890465025</v>
      </c>
    </row>
    <row r="191" spans="1:9" x14ac:dyDescent="0.55000000000000004">
      <c r="B191" s="2">
        <f ca="1">B185-B188</f>
        <v>14008.869999999999</v>
      </c>
      <c r="D191" s="2">
        <f>D187-D189</f>
        <v>1366.2700000000004</v>
      </c>
      <c r="G191" s="2"/>
    </row>
    <row r="192" spans="1:9" x14ac:dyDescent="0.55000000000000004">
      <c r="G192" s="2"/>
    </row>
    <row r="193" spans="1:7" x14ac:dyDescent="0.55000000000000004">
      <c r="G193" s="2"/>
    </row>
    <row r="194" spans="1:7" x14ac:dyDescent="0.55000000000000004">
      <c r="G194" s="2"/>
    </row>
    <row r="195" spans="1:7" x14ac:dyDescent="0.55000000000000004">
      <c r="A195" s="2" t="s">
        <v>255</v>
      </c>
      <c r="B195">
        <v>2016</v>
      </c>
      <c r="C195">
        <v>2017</v>
      </c>
      <c r="D195">
        <v>2018</v>
      </c>
      <c r="E195">
        <v>2019</v>
      </c>
      <c r="F195">
        <v>2020</v>
      </c>
      <c r="G195">
        <v>2021</v>
      </c>
    </row>
    <row r="196" spans="1:7" x14ac:dyDescent="0.55000000000000004">
      <c r="A196" s="2" t="s">
        <v>257</v>
      </c>
      <c r="B196">
        <f ca="1">COUNTIF(H:H,B195)</f>
        <v>10</v>
      </c>
      <c r="C196">
        <f ca="1">COUNTIF(H:H,C195)</f>
        <v>18</v>
      </c>
      <c r="D196">
        <f ca="1">COUNTIF(H:H,D195)</f>
        <v>21</v>
      </c>
      <c r="E196">
        <f ca="1">COUNTIF(H:H,E195)</f>
        <v>41</v>
      </c>
      <c r="F196">
        <f ca="1">COUNTIF(H:H,F195)</f>
        <v>52</v>
      </c>
      <c r="G196">
        <f ca="1">COUNTIF(H:H,G195)</f>
        <v>38</v>
      </c>
    </row>
  </sheetData>
  <mergeCells count="1">
    <mergeCell ref="F183:H18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0"/>
  <sheetViews>
    <sheetView tabSelected="1" topLeftCell="A145" workbookViewId="0">
      <selection activeCell="I166" sqref="I166"/>
    </sheetView>
  </sheetViews>
  <sheetFormatPr defaultRowHeight="14.4" x14ac:dyDescent="0.55000000000000004"/>
  <cols>
    <col min="1" max="1" width="17.9453125" style="2" customWidth="1"/>
    <col min="2" max="2" width="15.578125" style="2" bestFit="1" customWidth="1"/>
    <col min="3" max="3" width="39.89453125" style="2" bestFit="1" customWidth="1"/>
    <col min="4" max="4" width="14" style="2" bestFit="1" customWidth="1"/>
    <col min="5" max="5" width="38.15625" style="1" customWidth="1"/>
    <col min="6" max="6" width="17.7890625" style="2" bestFit="1" customWidth="1"/>
    <col min="7" max="7" width="8.3671875" style="2" bestFit="1" customWidth="1"/>
    <col min="9" max="9" width="14.89453125" customWidth="1"/>
    <col min="10" max="10" width="18.89453125" customWidth="1"/>
    <col min="11" max="11" width="10.9453125" bestFit="1" customWidth="1"/>
    <col min="21" max="21" width="10.47265625" bestFit="1" customWidth="1"/>
    <col min="24" max="24" width="15.578125" bestFit="1" customWidth="1"/>
    <col min="27" max="27" width="13" bestFit="1" customWidth="1"/>
  </cols>
  <sheetData>
    <row r="1" spans="1:36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I1" s="2" t="s">
        <v>49</v>
      </c>
      <c r="J1" s="2" t="s">
        <v>52</v>
      </c>
      <c r="K1" s="2" t="s">
        <v>18</v>
      </c>
      <c r="L1" s="2" t="s">
        <v>56</v>
      </c>
      <c r="M1" s="2" t="s">
        <v>22</v>
      </c>
      <c r="N1" s="2" t="s">
        <v>61</v>
      </c>
      <c r="O1" s="2" t="s">
        <v>63</v>
      </c>
      <c r="P1" s="2" t="s">
        <v>68</v>
      </c>
      <c r="Q1" s="2" t="s">
        <v>70</v>
      </c>
      <c r="R1" s="2" t="s">
        <v>72</v>
      </c>
      <c r="S1" s="2" t="s">
        <v>15</v>
      </c>
      <c r="T1" s="2" t="s">
        <v>33</v>
      </c>
      <c r="U1" s="2" t="s">
        <v>84</v>
      </c>
      <c r="V1" s="2" t="s">
        <v>12</v>
      </c>
      <c r="W1" s="2" t="s">
        <v>89</v>
      </c>
      <c r="X1" s="2" t="s">
        <v>98</v>
      </c>
      <c r="Y1" s="2" t="s">
        <v>26</v>
      </c>
      <c r="Z1" s="2" t="s">
        <v>102</v>
      </c>
      <c r="AA1" s="2" t="s">
        <v>110</v>
      </c>
      <c r="AB1" s="2" t="s">
        <v>114</v>
      </c>
      <c r="AC1" s="2" t="s">
        <v>112</v>
      </c>
      <c r="AD1" s="2" t="s">
        <v>81</v>
      </c>
      <c r="AE1" s="2" t="s">
        <v>120</v>
      </c>
      <c r="AF1" s="2" t="s">
        <v>138</v>
      </c>
      <c r="AG1" s="2" t="s">
        <v>24</v>
      </c>
      <c r="AH1" s="2" t="s">
        <v>171</v>
      </c>
      <c r="AI1" s="2" t="s">
        <v>192</v>
      </c>
      <c r="AJ1" s="2" t="s">
        <v>29</v>
      </c>
    </row>
    <row r="2" spans="1:36" ht="43.2" x14ac:dyDescent="0.55000000000000004">
      <c r="A2" s="2">
        <v>2021</v>
      </c>
      <c r="B2" s="2" t="s">
        <v>49</v>
      </c>
      <c r="C2" s="2" t="s">
        <v>13</v>
      </c>
      <c r="D2" s="2" t="s">
        <v>9</v>
      </c>
      <c r="E2" s="1" t="s">
        <v>50</v>
      </c>
      <c r="F2" s="2">
        <v>21</v>
      </c>
      <c r="G2" s="2" t="s">
        <v>51</v>
      </c>
      <c r="I2">
        <f>SUMIF(B:B,"=Mongolia",F:F)</f>
        <v>121</v>
      </c>
      <c r="J2">
        <f>SUMIF(B:B,"=Uzbekistan",F:F)</f>
        <v>1132.5999999999999</v>
      </c>
      <c r="K2">
        <f>SUMIF(B:B,"=Multicountry",F:F)</f>
        <v>2120</v>
      </c>
      <c r="L2">
        <f>SUMIF(B:B,"=Singapore",F:F)</f>
        <v>134</v>
      </c>
      <c r="M2">
        <f>SUMIF(B:B,"=India",F:F)</f>
        <v>5678</v>
      </c>
      <c r="N2">
        <f>SUMIF(B:B,"=Turkey",F:F)</f>
        <v>2388.6</v>
      </c>
      <c r="O2">
        <f>SUMIF(B:B,"=Georgia",F:F)</f>
        <v>364</v>
      </c>
      <c r="P2">
        <f>SUMIF(B:B,"=Philippines",F:F)</f>
        <v>1257.5999999999999</v>
      </c>
      <c r="Q2">
        <f>SUMIF(B:B,"=Sri Lanka",F:F)</f>
        <v>460</v>
      </c>
      <c r="R2">
        <f>SUMIF(B:B,"=Maldives",F:F)</f>
        <v>67.3</v>
      </c>
      <c r="S2">
        <f>SUMIF(B:B,"=Bangladesh",F:F)</f>
        <v>2389</v>
      </c>
      <c r="T2">
        <f>SUMIF(B:B,"=Indonesia",F:F)</f>
        <v>2399.9</v>
      </c>
      <c r="U2">
        <f>SUMIF(B:B,"=Cook Islands",F:F)</f>
        <v>20</v>
      </c>
      <c r="V2">
        <f>SUMIF(B:B,"=Cambodia",F:F)</f>
        <v>135</v>
      </c>
      <c r="W2">
        <f>SUMIF(B:B,"=Ecuador",F:F)</f>
        <v>50</v>
      </c>
      <c r="X2">
        <f>SUMIF(B:B,"=Russian Federation",F:F)</f>
        <v>800</v>
      </c>
      <c r="Y2">
        <f>SUMIF(B:B,"=China",F:F)</f>
        <v>1135</v>
      </c>
      <c r="Z2">
        <f>SUMIF(B:B,"=Lao PDR",F:F)</f>
        <v>70</v>
      </c>
      <c r="AA2">
        <f>SUMIF(B:B,"=Kyrgyz Republic",F:F)</f>
        <v>50</v>
      </c>
      <c r="AB2">
        <f>SUMIF(B:B,"=viet nam",F:F)</f>
        <v>100</v>
      </c>
      <c r="AC2">
        <f>SUMIF(B:B,"=Fiji",F:F)</f>
        <v>50</v>
      </c>
      <c r="AD2">
        <f>SUMIF(B:B,"=Pakistan",F:F)</f>
        <v>1261.81</v>
      </c>
      <c r="AE2">
        <f>SUMIF(B:B,"=Kazakhstan",F:F)</f>
        <v>796.7</v>
      </c>
      <c r="AF2">
        <f>SUMIF(B:B,"=Oman",F:F)</f>
        <v>477.1</v>
      </c>
      <c r="AG2">
        <f>SUMIF(B:B,"=Egypt",F:F)</f>
        <v>660</v>
      </c>
      <c r="AH2">
        <f>SUMIF(B:B,"=Nepal",F:F)</f>
        <v>202.3</v>
      </c>
      <c r="AI2">
        <f>SUMIF(B:B,"=Tajikistan",F:F)</f>
        <v>87.5</v>
      </c>
      <c r="AJ2">
        <f>SUMIF(B:B,"=Azerbaijan",F:F)</f>
        <v>600</v>
      </c>
    </row>
    <row r="3" spans="1:36" ht="28.8" x14ac:dyDescent="0.55000000000000004">
      <c r="A3" s="2">
        <v>2021</v>
      </c>
      <c r="B3" s="2" t="s">
        <v>52</v>
      </c>
      <c r="C3" s="2" t="s">
        <v>16</v>
      </c>
      <c r="D3" s="2" t="s">
        <v>20</v>
      </c>
      <c r="E3" s="1" t="s">
        <v>53</v>
      </c>
      <c r="F3" s="2">
        <v>100</v>
      </c>
      <c r="G3" s="2" t="s">
        <v>51</v>
      </c>
    </row>
    <row r="4" spans="1:36" ht="28.8" x14ac:dyDescent="0.55000000000000004">
      <c r="A4" s="2">
        <v>2021</v>
      </c>
      <c r="B4" s="2" t="s">
        <v>52</v>
      </c>
      <c r="C4" s="2" t="s">
        <v>45</v>
      </c>
      <c r="D4" s="2" t="s">
        <v>9</v>
      </c>
      <c r="E4" s="1" t="s">
        <v>54</v>
      </c>
      <c r="F4" s="2">
        <v>100</v>
      </c>
      <c r="G4" s="2" t="s">
        <v>51</v>
      </c>
    </row>
    <row r="5" spans="1:36" ht="43.2" x14ac:dyDescent="0.55000000000000004">
      <c r="A5" s="2">
        <v>2021</v>
      </c>
      <c r="B5" s="2" t="s">
        <v>18</v>
      </c>
      <c r="C5" s="2" t="s">
        <v>19</v>
      </c>
      <c r="D5" s="2" t="s">
        <v>20</v>
      </c>
      <c r="E5" s="1" t="s">
        <v>55</v>
      </c>
      <c r="F5" s="2">
        <v>150</v>
      </c>
      <c r="G5" s="2" t="s">
        <v>51</v>
      </c>
    </row>
    <row r="6" spans="1:36" ht="28.8" x14ac:dyDescent="0.55000000000000004">
      <c r="A6" s="2">
        <v>2021</v>
      </c>
      <c r="B6" s="2" t="s">
        <v>56</v>
      </c>
      <c r="C6" s="2" t="s">
        <v>19</v>
      </c>
      <c r="D6" s="2" t="s">
        <v>20</v>
      </c>
      <c r="E6" s="1" t="s">
        <v>57</v>
      </c>
      <c r="F6" s="2">
        <v>80</v>
      </c>
      <c r="G6" s="2" t="s">
        <v>51</v>
      </c>
    </row>
    <row r="7" spans="1:36" ht="28.8" x14ac:dyDescent="0.55000000000000004">
      <c r="A7" s="2">
        <v>2021</v>
      </c>
      <c r="B7" s="2" t="s">
        <v>22</v>
      </c>
      <c r="C7" s="2" t="s">
        <v>16</v>
      </c>
      <c r="D7" s="2" t="s">
        <v>20</v>
      </c>
      <c r="E7" s="1" t="s">
        <v>58</v>
      </c>
      <c r="F7" s="2">
        <v>75</v>
      </c>
      <c r="G7" s="2" t="s">
        <v>51</v>
      </c>
    </row>
    <row r="8" spans="1:36" x14ac:dyDescent="0.55000000000000004">
      <c r="A8" s="2">
        <v>2021</v>
      </c>
      <c r="B8" s="2" t="s">
        <v>61</v>
      </c>
      <c r="C8" s="2" t="s">
        <v>37</v>
      </c>
      <c r="D8" s="2" t="s">
        <v>9</v>
      </c>
      <c r="E8" s="1" t="s">
        <v>62</v>
      </c>
      <c r="F8" s="2">
        <v>250</v>
      </c>
      <c r="G8" s="2" t="s">
        <v>51</v>
      </c>
    </row>
    <row r="9" spans="1:36" ht="28.8" x14ac:dyDescent="0.55000000000000004">
      <c r="A9" s="2">
        <v>2021</v>
      </c>
      <c r="B9" s="2" t="s">
        <v>63</v>
      </c>
      <c r="C9" s="2" t="s">
        <v>37</v>
      </c>
      <c r="D9" s="2" t="s">
        <v>20</v>
      </c>
      <c r="E9" s="1" t="s">
        <v>64</v>
      </c>
      <c r="F9" s="2">
        <v>100</v>
      </c>
      <c r="G9" s="2" t="s">
        <v>51</v>
      </c>
    </row>
    <row r="10" spans="1:36" ht="28.8" x14ac:dyDescent="0.55000000000000004">
      <c r="A10" s="2">
        <v>2021</v>
      </c>
      <c r="B10" s="2" t="s">
        <v>22</v>
      </c>
      <c r="C10" s="2" t="s">
        <v>45</v>
      </c>
      <c r="D10" s="2" t="s">
        <v>9</v>
      </c>
      <c r="E10" s="1" t="s">
        <v>65</v>
      </c>
      <c r="F10" s="2">
        <v>105</v>
      </c>
      <c r="G10" s="2" t="s">
        <v>51</v>
      </c>
    </row>
    <row r="11" spans="1:36" x14ac:dyDescent="0.55000000000000004">
      <c r="A11" s="2">
        <v>2021</v>
      </c>
      <c r="B11" s="2" t="s">
        <v>22</v>
      </c>
      <c r="C11" s="2" t="s">
        <v>45</v>
      </c>
      <c r="D11" s="2" t="s">
        <v>9</v>
      </c>
      <c r="E11" s="1" t="s">
        <v>66</v>
      </c>
      <c r="F11" s="2">
        <v>105</v>
      </c>
      <c r="G11" s="2" t="s">
        <v>51</v>
      </c>
    </row>
    <row r="12" spans="1:36" ht="28.8" x14ac:dyDescent="0.55000000000000004">
      <c r="A12" s="2">
        <v>2021</v>
      </c>
      <c r="B12" s="2" t="s">
        <v>18</v>
      </c>
      <c r="C12" s="2" t="s">
        <v>19</v>
      </c>
      <c r="D12" s="2" t="s">
        <v>20</v>
      </c>
      <c r="E12" s="1" t="s">
        <v>67</v>
      </c>
      <c r="F12" s="2">
        <v>90</v>
      </c>
      <c r="G12" s="2" t="s">
        <v>51</v>
      </c>
    </row>
    <row r="13" spans="1:36" ht="57.6" x14ac:dyDescent="0.55000000000000004">
      <c r="A13" s="2">
        <v>2021</v>
      </c>
      <c r="B13" s="2" t="s">
        <v>68</v>
      </c>
      <c r="C13" s="2" t="s">
        <v>13</v>
      </c>
      <c r="D13" s="2" t="s">
        <v>9</v>
      </c>
      <c r="E13" s="1" t="s">
        <v>69</v>
      </c>
      <c r="F13" s="2">
        <v>300</v>
      </c>
      <c r="G13" s="2" t="s">
        <v>51</v>
      </c>
    </row>
    <row r="14" spans="1:36" ht="28.8" x14ac:dyDescent="0.55000000000000004">
      <c r="A14" s="2">
        <v>2021</v>
      </c>
      <c r="B14" s="2" t="s">
        <v>70</v>
      </c>
      <c r="C14" s="2" t="s">
        <v>37</v>
      </c>
      <c r="D14" s="2" t="s">
        <v>9</v>
      </c>
      <c r="E14" s="1" t="s">
        <v>71</v>
      </c>
      <c r="F14" s="2">
        <v>180</v>
      </c>
      <c r="G14" s="2" t="s">
        <v>51</v>
      </c>
    </row>
    <row r="15" spans="1:36" ht="28.8" x14ac:dyDescent="0.55000000000000004">
      <c r="A15" s="2">
        <v>2021</v>
      </c>
      <c r="B15" s="2" t="s">
        <v>72</v>
      </c>
      <c r="C15" s="2" t="s">
        <v>16</v>
      </c>
      <c r="D15" s="2" t="s">
        <v>9</v>
      </c>
      <c r="E15" s="1" t="s">
        <v>73</v>
      </c>
      <c r="F15" s="2">
        <v>20</v>
      </c>
      <c r="G15" s="2" t="s">
        <v>51</v>
      </c>
    </row>
    <row r="16" spans="1:36" ht="28.8" x14ac:dyDescent="0.55000000000000004">
      <c r="A16" s="2">
        <v>2021</v>
      </c>
      <c r="B16" s="2" t="s">
        <v>15</v>
      </c>
      <c r="C16" s="2" t="s">
        <v>31</v>
      </c>
      <c r="D16" s="2" t="s">
        <v>9</v>
      </c>
      <c r="E16" s="1" t="s">
        <v>74</v>
      </c>
      <c r="F16" s="2">
        <v>260</v>
      </c>
      <c r="G16" s="2" t="s">
        <v>51</v>
      </c>
    </row>
    <row r="17" spans="1:7" ht="28.8" x14ac:dyDescent="0.55000000000000004">
      <c r="A17" s="2">
        <v>2021</v>
      </c>
      <c r="B17" s="2" t="s">
        <v>15</v>
      </c>
      <c r="C17" s="2" t="s">
        <v>37</v>
      </c>
      <c r="D17" s="2" t="s">
        <v>9</v>
      </c>
      <c r="E17" s="1" t="s">
        <v>75</v>
      </c>
      <c r="F17" s="2">
        <v>300</v>
      </c>
      <c r="G17" s="2" t="s">
        <v>51</v>
      </c>
    </row>
    <row r="18" spans="1:7" ht="28.8" x14ac:dyDescent="0.55000000000000004">
      <c r="A18" s="2">
        <v>2021</v>
      </c>
      <c r="B18" s="2" t="s">
        <v>22</v>
      </c>
      <c r="C18" s="2" t="s">
        <v>16</v>
      </c>
      <c r="D18" s="2" t="s">
        <v>9</v>
      </c>
      <c r="E18" s="1" t="s">
        <v>76</v>
      </c>
      <c r="F18" s="2">
        <v>304</v>
      </c>
      <c r="G18" s="2" t="s">
        <v>51</v>
      </c>
    </row>
    <row r="19" spans="1:7" ht="28.8" x14ac:dyDescent="0.55000000000000004">
      <c r="A19" s="2">
        <v>2021</v>
      </c>
      <c r="B19" s="2" t="s">
        <v>33</v>
      </c>
      <c r="C19" s="2" t="s">
        <v>16</v>
      </c>
      <c r="D19" s="2" t="s">
        <v>9</v>
      </c>
      <c r="E19" s="1" t="s">
        <v>77</v>
      </c>
      <c r="F19" s="2">
        <v>310</v>
      </c>
      <c r="G19" s="2" t="s">
        <v>51</v>
      </c>
    </row>
    <row r="20" spans="1:7" ht="28.8" x14ac:dyDescent="0.55000000000000004">
      <c r="A20" s="2">
        <v>2021</v>
      </c>
      <c r="B20" s="2" t="s">
        <v>18</v>
      </c>
      <c r="C20" s="2" t="s">
        <v>19</v>
      </c>
      <c r="D20" s="2" t="s">
        <v>20</v>
      </c>
      <c r="E20" s="1" t="s">
        <v>78</v>
      </c>
      <c r="F20" s="2">
        <v>150</v>
      </c>
      <c r="G20" s="2" t="s">
        <v>51</v>
      </c>
    </row>
    <row r="21" spans="1:7" ht="28.8" x14ac:dyDescent="0.55000000000000004">
      <c r="A21" s="2">
        <v>2020</v>
      </c>
      <c r="B21" s="2" t="s">
        <v>84</v>
      </c>
      <c r="C21" s="2" t="s">
        <v>8</v>
      </c>
      <c r="D21" s="2" t="s">
        <v>9</v>
      </c>
      <c r="E21" s="1" t="s">
        <v>85</v>
      </c>
      <c r="F21" s="2">
        <v>20</v>
      </c>
      <c r="G21" s="2" t="s">
        <v>51</v>
      </c>
    </row>
    <row r="22" spans="1:7" ht="28.8" x14ac:dyDescent="0.55000000000000004">
      <c r="A22" s="2">
        <v>2020</v>
      </c>
      <c r="B22" s="2" t="s">
        <v>12</v>
      </c>
      <c r="C22" s="2" t="s">
        <v>8</v>
      </c>
      <c r="D22" s="2" t="s">
        <v>9</v>
      </c>
      <c r="E22" s="1" t="s">
        <v>86</v>
      </c>
      <c r="F22" s="2">
        <v>60</v>
      </c>
      <c r="G22" s="2" t="s">
        <v>51</v>
      </c>
    </row>
    <row r="23" spans="1:7" x14ac:dyDescent="0.55000000000000004">
      <c r="A23" s="2">
        <v>2020</v>
      </c>
      <c r="B23" s="2" t="s">
        <v>22</v>
      </c>
      <c r="C23" s="2" t="s">
        <v>16</v>
      </c>
      <c r="D23" s="2" t="s">
        <v>20</v>
      </c>
      <c r="E23" s="1" t="s">
        <v>87</v>
      </c>
      <c r="F23" s="2">
        <v>35</v>
      </c>
      <c r="G23" s="2" t="s">
        <v>51</v>
      </c>
    </row>
    <row r="24" spans="1:7" ht="28.8" x14ac:dyDescent="0.55000000000000004">
      <c r="A24" s="2">
        <v>2020</v>
      </c>
      <c r="B24" s="2" t="s">
        <v>89</v>
      </c>
      <c r="C24" s="2" t="s">
        <v>37</v>
      </c>
      <c r="D24" s="2" t="s">
        <v>9</v>
      </c>
      <c r="E24" s="1" t="s">
        <v>90</v>
      </c>
      <c r="F24" s="2">
        <v>50</v>
      </c>
      <c r="G24" s="2" t="s">
        <v>51</v>
      </c>
    </row>
    <row r="25" spans="1:7" ht="28.8" x14ac:dyDescent="0.55000000000000004">
      <c r="A25" s="2">
        <v>2020</v>
      </c>
      <c r="B25" s="2" t="s">
        <v>18</v>
      </c>
      <c r="C25" s="2" t="s">
        <v>19</v>
      </c>
      <c r="D25" s="2" t="s">
        <v>20</v>
      </c>
      <c r="E25" s="1" t="s">
        <v>91</v>
      </c>
      <c r="F25" s="2">
        <v>100</v>
      </c>
      <c r="G25" s="2" t="s">
        <v>51</v>
      </c>
    </row>
    <row r="26" spans="1:7" ht="28.8" x14ac:dyDescent="0.55000000000000004">
      <c r="A26" s="2">
        <v>2020</v>
      </c>
      <c r="B26" s="2" t="s">
        <v>61</v>
      </c>
      <c r="C26" s="2" t="s">
        <v>37</v>
      </c>
      <c r="D26" s="2" t="s">
        <v>20</v>
      </c>
      <c r="E26" s="1" t="s">
        <v>92</v>
      </c>
      <c r="F26" s="2">
        <v>100</v>
      </c>
      <c r="G26" s="2" t="s">
        <v>51</v>
      </c>
    </row>
    <row r="27" spans="1:7" ht="43.2" x14ac:dyDescent="0.55000000000000004">
      <c r="A27" s="2">
        <v>2020</v>
      </c>
      <c r="B27" s="2" t="s">
        <v>52</v>
      </c>
      <c r="C27" s="2" t="s">
        <v>37</v>
      </c>
      <c r="D27" s="2" t="s">
        <v>9</v>
      </c>
      <c r="E27" s="1" t="s">
        <v>93</v>
      </c>
      <c r="F27" s="2">
        <v>200</v>
      </c>
      <c r="G27" s="2" t="s">
        <v>51</v>
      </c>
    </row>
    <row r="28" spans="1:7" ht="28.8" x14ac:dyDescent="0.55000000000000004">
      <c r="A28" s="2">
        <v>2020</v>
      </c>
      <c r="B28" s="2" t="s">
        <v>22</v>
      </c>
      <c r="C28" s="2" t="s">
        <v>31</v>
      </c>
      <c r="D28" s="2" t="s">
        <v>9</v>
      </c>
      <c r="E28" s="1" t="s">
        <v>96</v>
      </c>
      <c r="F28" s="2">
        <v>500</v>
      </c>
      <c r="G28" s="2" t="s">
        <v>51</v>
      </c>
    </row>
    <row r="29" spans="1:7" ht="43.2" x14ac:dyDescent="0.55000000000000004">
      <c r="A29" s="2">
        <v>2020</v>
      </c>
      <c r="B29" s="2" t="s">
        <v>15</v>
      </c>
      <c r="C29" s="2" t="s">
        <v>47</v>
      </c>
      <c r="D29" s="2" t="s">
        <v>9</v>
      </c>
      <c r="E29" s="1" t="s">
        <v>97</v>
      </c>
      <c r="F29" s="2">
        <v>200</v>
      </c>
      <c r="G29" s="2" t="s">
        <v>51</v>
      </c>
    </row>
    <row r="30" spans="1:7" ht="28.8" x14ac:dyDescent="0.55000000000000004">
      <c r="A30" s="2">
        <v>2020</v>
      </c>
      <c r="B30" s="2" t="s">
        <v>98</v>
      </c>
      <c r="C30" s="2" t="s">
        <v>37</v>
      </c>
      <c r="D30" s="2" t="s">
        <v>20</v>
      </c>
      <c r="E30" s="1" t="s">
        <v>99</v>
      </c>
      <c r="F30" s="2">
        <v>300</v>
      </c>
      <c r="G30" s="2" t="s">
        <v>51</v>
      </c>
    </row>
    <row r="31" spans="1:7" ht="28.8" x14ac:dyDescent="0.55000000000000004">
      <c r="A31" s="2">
        <v>2020</v>
      </c>
      <c r="B31" s="2" t="s">
        <v>18</v>
      </c>
      <c r="C31" s="2" t="s">
        <v>19</v>
      </c>
      <c r="D31" s="2" t="s">
        <v>20</v>
      </c>
      <c r="E31" s="1" t="s">
        <v>100</v>
      </c>
      <c r="F31" s="2">
        <v>30</v>
      </c>
      <c r="G31" s="2" t="s">
        <v>51</v>
      </c>
    </row>
    <row r="32" spans="1:7" ht="28.8" x14ac:dyDescent="0.55000000000000004">
      <c r="A32" s="2">
        <v>2020</v>
      </c>
      <c r="B32" s="2" t="s">
        <v>26</v>
      </c>
      <c r="C32" s="2" t="s">
        <v>27</v>
      </c>
      <c r="D32" s="2" t="s">
        <v>20</v>
      </c>
      <c r="E32" s="1" t="s">
        <v>101</v>
      </c>
      <c r="F32" s="2">
        <v>30</v>
      </c>
      <c r="G32" s="2" t="s">
        <v>51</v>
      </c>
    </row>
    <row r="33" spans="1:7" ht="28.8" x14ac:dyDescent="0.55000000000000004">
      <c r="A33" s="2">
        <v>2020</v>
      </c>
      <c r="B33" s="2" t="s">
        <v>102</v>
      </c>
      <c r="C33" s="2" t="s">
        <v>31</v>
      </c>
      <c r="D33" s="2" t="s">
        <v>9</v>
      </c>
      <c r="E33" s="1" t="s">
        <v>103</v>
      </c>
      <c r="F33" s="2">
        <v>30</v>
      </c>
      <c r="G33" s="2" t="s">
        <v>51</v>
      </c>
    </row>
    <row r="34" spans="1:7" x14ac:dyDescent="0.55000000000000004">
      <c r="A34" s="2">
        <v>2020</v>
      </c>
      <c r="B34" s="2" t="s">
        <v>33</v>
      </c>
      <c r="C34" s="2" t="s">
        <v>27</v>
      </c>
      <c r="D34" s="2" t="s">
        <v>20</v>
      </c>
      <c r="E34" s="1" t="s">
        <v>104</v>
      </c>
      <c r="F34" s="2">
        <v>150</v>
      </c>
      <c r="G34" s="2" t="s">
        <v>51</v>
      </c>
    </row>
    <row r="35" spans="1:7" ht="28.8" x14ac:dyDescent="0.55000000000000004">
      <c r="A35" s="2">
        <v>2020</v>
      </c>
      <c r="B35" s="2" t="s">
        <v>22</v>
      </c>
      <c r="C35" s="2" t="s">
        <v>19</v>
      </c>
      <c r="D35" s="2" t="s">
        <v>20</v>
      </c>
      <c r="E35" s="1" t="s">
        <v>105</v>
      </c>
      <c r="F35" s="2">
        <v>200</v>
      </c>
      <c r="G35" s="2" t="s">
        <v>51</v>
      </c>
    </row>
    <row r="36" spans="1:7" ht="28.8" x14ac:dyDescent="0.55000000000000004">
      <c r="A36" s="2">
        <v>2020</v>
      </c>
      <c r="B36" s="2" t="s">
        <v>72</v>
      </c>
      <c r="C36" s="2" t="s">
        <v>45</v>
      </c>
      <c r="D36" s="2" t="s">
        <v>9</v>
      </c>
      <c r="E36" s="1" t="s">
        <v>106</v>
      </c>
      <c r="F36" s="2">
        <v>40</v>
      </c>
      <c r="G36" s="2" t="s">
        <v>51</v>
      </c>
    </row>
    <row r="37" spans="1:7" ht="28.8" x14ac:dyDescent="0.55000000000000004">
      <c r="A37" s="2">
        <v>2020</v>
      </c>
      <c r="B37" s="2" t="s">
        <v>15</v>
      </c>
      <c r="C37" s="2" t="s">
        <v>13</v>
      </c>
      <c r="D37" s="2" t="s">
        <v>9</v>
      </c>
      <c r="E37" s="1" t="s">
        <v>107</v>
      </c>
      <c r="F37" s="2">
        <v>100</v>
      </c>
      <c r="G37" s="2" t="s">
        <v>51</v>
      </c>
    </row>
    <row r="38" spans="1:7" ht="28.8" x14ac:dyDescent="0.55000000000000004">
      <c r="A38" s="2">
        <v>2020</v>
      </c>
      <c r="B38" s="2" t="s">
        <v>61</v>
      </c>
      <c r="C38" s="2" t="s">
        <v>13</v>
      </c>
      <c r="D38" s="2" t="s">
        <v>9</v>
      </c>
      <c r="E38" s="1" t="s">
        <v>108</v>
      </c>
      <c r="F38" s="2">
        <v>82.6</v>
      </c>
      <c r="G38" s="2" t="s">
        <v>51</v>
      </c>
    </row>
    <row r="39" spans="1:7" ht="28.8" x14ac:dyDescent="0.55000000000000004">
      <c r="A39" s="2">
        <v>2020</v>
      </c>
      <c r="B39" s="2" t="s">
        <v>52</v>
      </c>
      <c r="C39" s="2" t="s">
        <v>13</v>
      </c>
      <c r="D39" s="2" t="s">
        <v>9</v>
      </c>
      <c r="E39" s="1" t="s">
        <v>109</v>
      </c>
      <c r="F39" s="2">
        <v>100</v>
      </c>
      <c r="G39" s="2" t="s">
        <v>51</v>
      </c>
    </row>
    <row r="40" spans="1:7" ht="28.8" x14ac:dyDescent="0.55000000000000004">
      <c r="A40" s="2">
        <v>2020</v>
      </c>
      <c r="B40" s="2" t="s">
        <v>110</v>
      </c>
      <c r="C40" s="2" t="s">
        <v>37</v>
      </c>
      <c r="D40" s="2" t="s">
        <v>9</v>
      </c>
      <c r="E40" s="1" t="s">
        <v>111</v>
      </c>
      <c r="F40" s="2">
        <v>50</v>
      </c>
      <c r="G40" s="2" t="s">
        <v>51</v>
      </c>
    </row>
    <row r="41" spans="1:7" ht="28.8" x14ac:dyDescent="0.55000000000000004">
      <c r="A41" s="2">
        <v>2020</v>
      </c>
      <c r="B41" s="2" t="s">
        <v>112</v>
      </c>
      <c r="C41" s="2" t="s">
        <v>8</v>
      </c>
      <c r="D41" s="2" t="s">
        <v>9</v>
      </c>
      <c r="E41" s="1" t="s">
        <v>113</v>
      </c>
      <c r="F41" s="2">
        <v>50</v>
      </c>
      <c r="G41" s="2" t="s">
        <v>51</v>
      </c>
    </row>
    <row r="42" spans="1:7" x14ac:dyDescent="0.55000000000000004">
      <c r="A42" s="2">
        <v>2020</v>
      </c>
      <c r="B42" s="2" t="s">
        <v>114</v>
      </c>
      <c r="C42" s="2" t="s">
        <v>37</v>
      </c>
      <c r="D42" s="2" t="s">
        <v>20</v>
      </c>
      <c r="E42" s="1" t="s">
        <v>115</v>
      </c>
      <c r="F42" s="2">
        <v>100</v>
      </c>
      <c r="G42" s="2" t="s">
        <v>51</v>
      </c>
    </row>
    <row r="43" spans="1:7" ht="43.2" x14ac:dyDescent="0.55000000000000004">
      <c r="A43" s="2">
        <v>2020</v>
      </c>
      <c r="B43" s="2" t="s">
        <v>63</v>
      </c>
      <c r="C43" s="2" t="s">
        <v>8</v>
      </c>
      <c r="D43" s="2" t="s">
        <v>9</v>
      </c>
      <c r="E43" s="1" t="s">
        <v>116</v>
      </c>
      <c r="F43" s="2">
        <v>50</v>
      </c>
      <c r="G43" s="2" t="s">
        <v>51</v>
      </c>
    </row>
    <row r="44" spans="1:7" ht="28.8" x14ac:dyDescent="0.55000000000000004">
      <c r="A44" s="2">
        <v>2020</v>
      </c>
      <c r="B44" s="2" t="s">
        <v>61</v>
      </c>
      <c r="C44" s="2" t="s">
        <v>31</v>
      </c>
      <c r="D44" s="2" t="s">
        <v>20</v>
      </c>
      <c r="E44" s="1" t="s">
        <v>117</v>
      </c>
      <c r="F44" s="2">
        <v>56</v>
      </c>
      <c r="G44" s="2" t="s">
        <v>51</v>
      </c>
    </row>
    <row r="45" spans="1:7" ht="28.8" x14ac:dyDescent="0.55000000000000004">
      <c r="A45" s="2">
        <v>2020</v>
      </c>
      <c r="B45" s="2" t="s">
        <v>81</v>
      </c>
      <c r="C45" s="2" t="s">
        <v>8</v>
      </c>
      <c r="D45" s="2" t="s">
        <v>9</v>
      </c>
      <c r="E45" s="1" t="s">
        <v>118</v>
      </c>
      <c r="F45" s="2">
        <v>250</v>
      </c>
      <c r="G45" s="2" t="s">
        <v>51</v>
      </c>
    </row>
    <row r="46" spans="1:7" x14ac:dyDescent="0.55000000000000004">
      <c r="A46" s="2">
        <v>2020</v>
      </c>
      <c r="B46" s="2" t="s">
        <v>61</v>
      </c>
      <c r="C46" s="2" t="s">
        <v>37</v>
      </c>
      <c r="D46" s="2" t="s">
        <v>9</v>
      </c>
      <c r="E46" s="1" t="s">
        <v>119</v>
      </c>
      <c r="F46" s="2">
        <v>500</v>
      </c>
      <c r="G46" s="2" t="s">
        <v>51</v>
      </c>
    </row>
    <row r="47" spans="1:7" ht="28.8" x14ac:dyDescent="0.55000000000000004">
      <c r="A47" s="2">
        <v>2020</v>
      </c>
      <c r="B47" s="2" t="s">
        <v>120</v>
      </c>
      <c r="C47" s="2" t="s">
        <v>8</v>
      </c>
      <c r="D47" s="2" t="s">
        <v>9</v>
      </c>
      <c r="E47" s="1" t="s">
        <v>121</v>
      </c>
      <c r="F47" s="2">
        <v>750</v>
      </c>
      <c r="G47" s="2" t="s">
        <v>51</v>
      </c>
    </row>
    <row r="48" spans="1:7" ht="28.8" x14ac:dyDescent="0.55000000000000004">
      <c r="A48" s="2">
        <v>2020</v>
      </c>
      <c r="B48" s="2" t="s">
        <v>72</v>
      </c>
      <c r="C48" s="2" t="s">
        <v>13</v>
      </c>
      <c r="D48" s="2" t="s">
        <v>9</v>
      </c>
      <c r="E48" s="1" t="s">
        <v>122</v>
      </c>
      <c r="F48" s="2">
        <v>7.3</v>
      </c>
      <c r="G48" s="2" t="s">
        <v>51</v>
      </c>
    </row>
    <row r="49" spans="1:7" ht="28.8" x14ac:dyDescent="0.55000000000000004">
      <c r="A49" s="2">
        <v>2020</v>
      </c>
      <c r="B49" s="2" t="s">
        <v>33</v>
      </c>
      <c r="C49" s="2" t="s">
        <v>13</v>
      </c>
      <c r="D49" s="2" t="s">
        <v>9</v>
      </c>
      <c r="E49" s="1" t="s">
        <v>123</v>
      </c>
      <c r="F49" s="2">
        <v>250</v>
      </c>
      <c r="G49" s="2" t="s">
        <v>51</v>
      </c>
    </row>
    <row r="50" spans="1:7" ht="28.8" x14ac:dyDescent="0.55000000000000004">
      <c r="A50" s="2">
        <v>2020</v>
      </c>
      <c r="B50" s="2" t="s">
        <v>52</v>
      </c>
      <c r="C50" s="2" t="s">
        <v>31</v>
      </c>
      <c r="D50" s="2" t="s">
        <v>9</v>
      </c>
      <c r="E50" s="1" t="s">
        <v>124</v>
      </c>
      <c r="F50" s="2">
        <v>165.5</v>
      </c>
      <c r="G50" s="2" t="s">
        <v>51</v>
      </c>
    </row>
    <row r="51" spans="1:7" ht="28.8" x14ac:dyDescent="0.55000000000000004">
      <c r="A51" s="2">
        <v>2020</v>
      </c>
      <c r="B51" s="2" t="s">
        <v>81</v>
      </c>
      <c r="C51" s="2" t="s">
        <v>8</v>
      </c>
      <c r="D51" s="2" t="s">
        <v>9</v>
      </c>
      <c r="E51" s="1" t="s">
        <v>125</v>
      </c>
      <c r="F51" s="2">
        <v>500</v>
      </c>
      <c r="G51" s="2" t="s">
        <v>51</v>
      </c>
    </row>
    <row r="52" spans="1:7" ht="28.8" x14ac:dyDescent="0.55000000000000004">
      <c r="A52" s="2">
        <v>2020</v>
      </c>
      <c r="B52" s="2" t="s">
        <v>22</v>
      </c>
      <c r="C52" s="2" t="s">
        <v>8</v>
      </c>
      <c r="D52" s="2" t="s">
        <v>9</v>
      </c>
      <c r="E52" s="1" t="s">
        <v>126</v>
      </c>
      <c r="F52" s="2">
        <v>750</v>
      </c>
      <c r="G52" s="2" t="s">
        <v>51</v>
      </c>
    </row>
    <row r="53" spans="1:7" x14ac:dyDescent="0.55000000000000004">
      <c r="A53" s="2">
        <v>2020</v>
      </c>
      <c r="B53" s="2" t="s">
        <v>49</v>
      </c>
      <c r="C53" s="2" t="s">
        <v>8</v>
      </c>
      <c r="D53" s="2" t="s">
        <v>9</v>
      </c>
      <c r="E53" s="1" t="s">
        <v>127</v>
      </c>
      <c r="F53" s="2">
        <v>100</v>
      </c>
      <c r="G53" s="2" t="s">
        <v>51</v>
      </c>
    </row>
    <row r="54" spans="1:7" ht="28.8" x14ac:dyDescent="0.55000000000000004">
      <c r="A54" s="2">
        <v>2020</v>
      </c>
      <c r="B54" s="2" t="s">
        <v>68</v>
      </c>
      <c r="C54" s="2" t="s">
        <v>8</v>
      </c>
      <c r="D54" s="2" t="s">
        <v>9</v>
      </c>
      <c r="E54" s="1" t="s">
        <v>128</v>
      </c>
      <c r="F54" s="2">
        <v>750</v>
      </c>
      <c r="G54" s="2" t="s">
        <v>51</v>
      </c>
    </row>
    <row r="55" spans="1:7" ht="28.8" x14ac:dyDescent="0.55000000000000004">
      <c r="A55" s="2">
        <v>2020</v>
      </c>
      <c r="B55" s="2" t="s">
        <v>63</v>
      </c>
      <c r="C55" s="2" t="s">
        <v>13</v>
      </c>
      <c r="D55" s="2" t="s">
        <v>9</v>
      </c>
      <c r="E55" s="1" t="s">
        <v>129</v>
      </c>
      <c r="F55" s="2">
        <v>100</v>
      </c>
      <c r="G55" s="2" t="s">
        <v>51</v>
      </c>
    </row>
    <row r="56" spans="1:7" ht="28.8" x14ac:dyDescent="0.55000000000000004">
      <c r="A56" s="2">
        <v>2020</v>
      </c>
      <c r="B56" s="2" t="s">
        <v>15</v>
      </c>
      <c r="C56" s="2" t="s">
        <v>8</v>
      </c>
      <c r="D56" s="2" t="s">
        <v>9</v>
      </c>
      <c r="E56" s="1" t="s">
        <v>130</v>
      </c>
      <c r="F56" s="2">
        <v>250</v>
      </c>
      <c r="G56" s="2" t="s">
        <v>51</v>
      </c>
    </row>
    <row r="57" spans="1:7" ht="28.8" x14ac:dyDescent="0.55000000000000004">
      <c r="A57" s="2">
        <v>2020</v>
      </c>
      <c r="B57" s="2" t="s">
        <v>33</v>
      </c>
      <c r="C57" s="2" t="s">
        <v>8</v>
      </c>
      <c r="D57" s="2" t="s">
        <v>9</v>
      </c>
      <c r="E57" s="1" t="s">
        <v>131</v>
      </c>
      <c r="F57" s="2">
        <v>750</v>
      </c>
      <c r="G57" s="2" t="s">
        <v>51</v>
      </c>
    </row>
    <row r="58" spans="1:7" ht="28.8" x14ac:dyDescent="0.55000000000000004">
      <c r="A58" s="2">
        <v>2020</v>
      </c>
      <c r="B58" s="2" t="s">
        <v>22</v>
      </c>
      <c r="C58" s="2" t="s">
        <v>13</v>
      </c>
      <c r="D58" s="2" t="s">
        <v>9</v>
      </c>
      <c r="E58" s="1" t="s">
        <v>132</v>
      </c>
      <c r="F58" s="2">
        <v>500</v>
      </c>
      <c r="G58" s="2" t="s">
        <v>51</v>
      </c>
    </row>
    <row r="59" spans="1:7" x14ac:dyDescent="0.55000000000000004">
      <c r="A59" s="2">
        <v>2020</v>
      </c>
      <c r="B59" s="2" t="s">
        <v>15</v>
      </c>
      <c r="C59" s="2" t="s">
        <v>47</v>
      </c>
      <c r="D59" s="2" t="s">
        <v>9</v>
      </c>
      <c r="E59" s="1" t="s">
        <v>133</v>
      </c>
      <c r="F59" s="2">
        <v>170</v>
      </c>
      <c r="G59" s="2" t="s">
        <v>51</v>
      </c>
    </row>
    <row r="60" spans="1:7" x14ac:dyDescent="0.55000000000000004">
      <c r="A60" s="2">
        <v>2020</v>
      </c>
      <c r="B60" s="2" t="s">
        <v>18</v>
      </c>
      <c r="C60" s="2" t="s">
        <v>19</v>
      </c>
      <c r="D60" s="2" t="s">
        <v>20</v>
      </c>
      <c r="E60" s="1" t="s">
        <v>134</v>
      </c>
      <c r="F60" s="2">
        <v>150</v>
      </c>
      <c r="G60" s="2" t="s">
        <v>51</v>
      </c>
    </row>
    <row r="61" spans="1:7" ht="28.8" x14ac:dyDescent="0.55000000000000004">
      <c r="A61" s="2">
        <v>2020</v>
      </c>
      <c r="B61" s="2" t="s">
        <v>26</v>
      </c>
      <c r="C61" s="2" t="s">
        <v>13</v>
      </c>
      <c r="D61" s="2" t="s">
        <v>9</v>
      </c>
      <c r="E61" s="1" t="s">
        <v>135</v>
      </c>
      <c r="F61" s="2">
        <v>355</v>
      </c>
      <c r="G61" s="2" t="s">
        <v>51</v>
      </c>
    </row>
    <row r="62" spans="1:7" ht="28.8" x14ac:dyDescent="0.55000000000000004">
      <c r="A62" s="2">
        <v>2020</v>
      </c>
      <c r="B62" s="2" t="s">
        <v>52</v>
      </c>
      <c r="C62" s="2" t="s">
        <v>47</v>
      </c>
      <c r="D62" s="2" t="s">
        <v>9</v>
      </c>
      <c r="E62" s="1" t="s">
        <v>136</v>
      </c>
      <c r="F62" s="2">
        <v>385.1</v>
      </c>
      <c r="G62" s="2" t="s">
        <v>51</v>
      </c>
    </row>
    <row r="63" spans="1:7" ht="28.8" x14ac:dyDescent="0.55000000000000004">
      <c r="A63" s="2">
        <v>2020</v>
      </c>
      <c r="B63" s="2" t="s">
        <v>15</v>
      </c>
      <c r="C63" s="2" t="s">
        <v>31</v>
      </c>
      <c r="D63" s="2" t="s">
        <v>9</v>
      </c>
      <c r="E63" s="1" t="s">
        <v>137</v>
      </c>
      <c r="F63" s="2">
        <v>404</v>
      </c>
      <c r="G63" s="2" t="s">
        <v>51</v>
      </c>
    </row>
    <row r="64" spans="1:7" ht="28.8" x14ac:dyDescent="0.55000000000000004">
      <c r="A64" s="2">
        <v>2020</v>
      </c>
      <c r="B64" s="2" t="s">
        <v>138</v>
      </c>
      <c r="C64" s="2" t="s">
        <v>16</v>
      </c>
      <c r="D64" s="2" t="s">
        <v>20</v>
      </c>
      <c r="E64" s="1" t="s">
        <v>139</v>
      </c>
      <c r="F64" s="2">
        <v>60</v>
      </c>
      <c r="G64" s="2" t="s">
        <v>51</v>
      </c>
    </row>
    <row r="65" spans="1:7" ht="28.8" x14ac:dyDescent="0.55000000000000004">
      <c r="A65" s="2">
        <v>2020</v>
      </c>
      <c r="B65" s="2" t="s">
        <v>15</v>
      </c>
      <c r="C65" s="2" t="s">
        <v>16</v>
      </c>
      <c r="D65" s="2" t="s">
        <v>9</v>
      </c>
      <c r="E65" s="1" t="s">
        <v>140</v>
      </c>
      <c r="F65" s="2">
        <v>200</v>
      </c>
      <c r="G65" s="2" t="s">
        <v>51</v>
      </c>
    </row>
    <row r="66" spans="1:7" ht="28.8" x14ac:dyDescent="0.55000000000000004">
      <c r="A66" s="2">
        <v>2019</v>
      </c>
      <c r="B66" s="2" t="s">
        <v>15</v>
      </c>
      <c r="C66" s="2" t="s">
        <v>47</v>
      </c>
      <c r="D66" s="2" t="s">
        <v>9</v>
      </c>
      <c r="E66" s="1" t="s">
        <v>155</v>
      </c>
      <c r="F66" s="2">
        <v>100</v>
      </c>
      <c r="G66" s="2" t="s">
        <v>51</v>
      </c>
    </row>
    <row r="67" spans="1:7" ht="28.8" x14ac:dyDescent="0.55000000000000004">
      <c r="A67" s="2">
        <v>2019</v>
      </c>
      <c r="B67" s="2" t="s">
        <v>15</v>
      </c>
      <c r="C67" s="2" t="s">
        <v>16</v>
      </c>
      <c r="D67" s="2" t="s">
        <v>9</v>
      </c>
      <c r="E67" s="1" t="s">
        <v>156</v>
      </c>
      <c r="F67" s="2">
        <v>120</v>
      </c>
      <c r="G67" s="2" t="s">
        <v>51</v>
      </c>
    </row>
    <row r="68" spans="1:7" ht="28.8" x14ac:dyDescent="0.55000000000000004">
      <c r="A68" s="2">
        <v>2019</v>
      </c>
      <c r="B68" s="2" t="s">
        <v>12</v>
      </c>
      <c r="C68" s="2" t="s">
        <v>27</v>
      </c>
      <c r="D68" s="2" t="s">
        <v>20</v>
      </c>
      <c r="E68" s="1" t="s">
        <v>157</v>
      </c>
      <c r="F68" s="2">
        <v>75</v>
      </c>
      <c r="G68" s="2" t="s">
        <v>51</v>
      </c>
    </row>
    <row r="69" spans="1:7" ht="43.2" x14ac:dyDescent="0.55000000000000004">
      <c r="A69" s="2">
        <v>2019</v>
      </c>
      <c r="B69" s="2" t="s">
        <v>26</v>
      </c>
      <c r="C69" s="2" t="s">
        <v>16</v>
      </c>
      <c r="D69" s="2" t="s">
        <v>9</v>
      </c>
      <c r="E69" s="1" t="s">
        <v>158</v>
      </c>
      <c r="F69" s="2">
        <v>500</v>
      </c>
      <c r="G69" s="2" t="s">
        <v>51</v>
      </c>
    </row>
    <row r="70" spans="1:7" ht="28.8" x14ac:dyDescent="0.55000000000000004">
      <c r="A70" s="2">
        <v>2019</v>
      </c>
      <c r="B70" s="2" t="s">
        <v>24</v>
      </c>
      <c r="C70" s="2" t="s">
        <v>19</v>
      </c>
      <c r="D70" s="2" t="s">
        <v>20</v>
      </c>
      <c r="E70" s="1" t="s">
        <v>159</v>
      </c>
      <c r="F70" s="2">
        <v>150</v>
      </c>
      <c r="G70" s="2" t="s">
        <v>51</v>
      </c>
    </row>
    <row r="71" spans="1:7" ht="28.8" x14ac:dyDescent="0.55000000000000004">
      <c r="A71" s="2">
        <v>2019</v>
      </c>
      <c r="B71" s="2" t="s">
        <v>22</v>
      </c>
      <c r="C71" s="2" t="s">
        <v>19</v>
      </c>
      <c r="D71" s="2" t="s">
        <v>20</v>
      </c>
      <c r="E71" s="1" t="s">
        <v>160</v>
      </c>
      <c r="F71" s="2">
        <v>100</v>
      </c>
      <c r="G71" s="2" t="s">
        <v>51</v>
      </c>
    </row>
    <row r="72" spans="1:7" ht="28.8" x14ac:dyDescent="0.55000000000000004">
      <c r="A72" s="2">
        <v>2019</v>
      </c>
      <c r="B72" s="2" t="s">
        <v>22</v>
      </c>
      <c r="C72" s="2" t="s">
        <v>31</v>
      </c>
      <c r="D72" s="2" t="s">
        <v>9</v>
      </c>
      <c r="E72" s="1" t="s">
        <v>161</v>
      </c>
      <c r="F72" s="2">
        <v>500</v>
      </c>
      <c r="G72" s="2" t="s">
        <v>51</v>
      </c>
    </row>
    <row r="73" spans="1:7" ht="28.8" x14ac:dyDescent="0.55000000000000004">
      <c r="A73" s="2">
        <v>2019</v>
      </c>
      <c r="B73" s="2" t="s">
        <v>22</v>
      </c>
      <c r="C73" s="2" t="s">
        <v>16</v>
      </c>
      <c r="D73" s="2" t="s">
        <v>20</v>
      </c>
      <c r="E73" s="1" t="s">
        <v>162</v>
      </c>
      <c r="F73" s="2">
        <v>65</v>
      </c>
      <c r="G73" s="2" t="s">
        <v>51</v>
      </c>
    </row>
    <row r="74" spans="1:7" ht="28.8" x14ac:dyDescent="0.55000000000000004">
      <c r="A74" s="2">
        <v>2019</v>
      </c>
      <c r="B74" s="2" t="s">
        <v>22</v>
      </c>
      <c r="C74" s="2" t="s">
        <v>19</v>
      </c>
      <c r="D74" s="2" t="s">
        <v>20</v>
      </c>
      <c r="E74" s="1" t="s">
        <v>163</v>
      </c>
      <c r="F74" s="2">
        <v>75</v>
      </c>
      <c r="G74" s="2" t="s">
        <v>51</v>
      </c>
    </row>
    <row r="75" spans="1:7" ht="28.8" x14ac:dyDescent="0.55000000000000004">
      <c r="A75" s="2">
        <v>2019</v>
      </c>
      <c r="B75" s="2" t="s">
        <v>22</v>
      </c>
      <c r="C75" s="2" t="s">
        <v>47</v>
      </c>
      <c r="D75" s="2" t="s">
        <v>9</v>
      </c>
      <c r="E75" s="1" t="s">
        <v>164</v>
      </c>
      <c r="F75" s="2">
        <v>145</v>
      </c>
      <c r="G75" s="2" t="s">
        <v>51</v>
      </c>
    </row>
    <row r="76" spans="1:7" ht="28.8" x14ac:dyDescent="0.55000000000000004">
      <c r="A76" s="2">
        <v>2019</v>
      </c>
      <c r="B76" s="2" t="s">
        <v>120</v>
      </c>
      <c r="C76" s="2" t="s">
        <v>16</v>
      </c>
      <c r="D76" s="2" t="s">
        <v>20</v>
      </c>
      <c r="E76" s="1" t="s">
        <v>165</v>
      </c>
      <c r="F76" s="2">
        <v>46.7</v>
      </c>
      <c r="G76" s="2" t="s">
        <v>51</v>
      </c>
    </row>
    <row r="77" spans="1:7" ht="43.2" x14ac:dyDescent="0.55000000000000004">
      <c r="A77" s="2">
        <v>2019</v>
      </c>
      <c r="B77" s="2" t="s">
        <v>102</v>
      </c>
      <c r="C77" s="2" t="s">
        <v>31</v>
      </c>
      <c r="D77" s="2" t="s">
        <v>9</v>
      </c>
      <c r="E77" s="1" t="s">
        <v>166</v>
      </c>
      <c r="F77" s="2">
        <v>40</v>
      </c>
      <c r="G77" s="2" t="s">
        <v>51</v>
      </c>
    </row>
    <row r="78" spans="1:7" x14ac:dyDescent="0.55000000000000004">
      <c r="A78" s="2">
        <v>2019</v>
      </c>
      <c r="B78" s="2" t="s">
        <v>18</v>
      </c>
      <c r="C78" s="2" t="s">
        <v>19</v>
      </c>
      <c r="D78" s="2" t="s">
        <v>20</v>
      </c>
      <c r="E78" s="1" t="s">
        <v>167</v>
      </c>
      <c r="F78" s="2">
        <v>500</v>
      </c>
      <c r="G78" s="2" t="s">
        <v>51</v>
      </c>
    </row>
    <row r="79" spans="1:7" ht="43.2" x14ac:dyDescent="0.55000000000000004">
      <c r="A79" s="2">
        <v>2019</v>
      </c>
      <c r="B79" s="2" t="s">
        <v>18</v>
      </c>
      <c r="C79" s="2" t="s">
        <v>19</v>
      </c>
      <c r="D79" s="2" t="s">
        <v>20</v>
      </c>
      <c r="E79" s="1" t="s">
        <v>168</v>
      </c>
      <c r="F79" s="2">
        <v>75</v>
      </c>
      <c r="G79" s="2" t="s">
        <v>51</v>
      </c>
    </row>
    <row r="80" spans="1:7" x14ac:dyDescent="0.55000000000000004">
      <c r="A80" s="2">
        <v>2019</v>
      </c>
      <c r="B80" s="2" t="s">
        <v>18</v>
      </c>
      <c r="C80" s="2" t="s">
        <v>19</v>
      </c>
      <c r="D80" s="2" t="s">
        <v>20</v>
      </c>
      <c r="E80" s="1" t="s">
        <v>169</v>
      </c>
      <c r="F80" s="2">
        <v>125</v>
      </c>
      <c r="G80" s="2" t="s">
        <v>51</v>
      </c>
    </row>
    <row r="81" spans="1:7" x14ac:dyDescent="0.55000000000000004">
      <c r="A81" s="2">
        <v>2019</v>
      </c>
      <c r="B81" s="2" t="s">
        <v>18</v>
      </c>
      <c r="C81" s="2" t="s">
        <v>19</v>
      </c>
      <c r="D81" s="2" t="s">
        <v>20</v>
      </c>
      <c r="E81" s="1" t="s">
        <v>170</v>
      </c>
      <c r="F81" s="2">
        <v>100</v>
      </c>
      <c r="G81" s="2" t="s">
        <v>51</v>
      </c>
    </row>
    <row r="82" spans="1:7" ht="28.8" x14ac:dyDescent="0.55000000000000004">
      <c r="A82" s="2">
        <v>2019</v>
      </c>
      <c r="B82" s="2" t="s">
        <v>171</v>
      </c>
      <c r="C82" s="2" t="s">
        <v>16</v>
      </c>
      <c r="D82" s="2" t="s">
        <v>9</v>
      </c>
      <c r="E82" s="1" t="s">
        <v>172</v>
      </c>
      <c r="F82" s="2">
        <v>112.3</v>
      </c>
      <c r="G82" s="2" t="s">
        <v>51</v>
      </c>
    </row>
    <row r="83" spans="1:7" x14ac:dyDescent="0.55000000000000004">
      <c r="A83" s="2">
        <v>2019</v>
      </c>
      <c r="B83" s="2" t="s">
        <v>171</v>
      </c>
      <c r="C83" s="2" t="s">
        <v>16</v>
      </c>
      <c r="D83" s="2" t="s">
        <v>20</v>
      </c>
      <c r="E83" s="1" t="s">
        <v>173</v>
      </c>
      <c r="F83" s="2">
        <v>90</v>
      </c>
      <c r="G83" s="2" t="s">
        <v>51</v>
      </c>
    </row>
    <row r="84" spans="1:7" x14ac:dyDescent="0.55000000000000004">
      <c r="A84" s="2">
        <v>2019</v>
      </c>
      <c r="B84" s="2" t="s">
        <v>81</v>
      </c>
      <c r="C84" s="2" t="s">
        <v>31</v>
      </c>
      <c r="D84" s="2" t="s">
        <v>9</v>
      </c>
      <c r="E84" s="1" t="s">
        <v>174</v>
      </c>
      <c r="F84" s="2">
        <v>71.81</v>
      </c>
      <c r="G84" s="2" t="s">
        <v>51</v>
      </c>
    </row>
    <row r="85" spans="1:7" ht="28.8" x14ac:dyDescent="0.55000000000000004">
      <c r="A85" s="2">
        <v>2019</v>
      </c>
      <c r="B85" s="2" t="s">
        <v>81</v>
      </c>
      <c r="C85" s="2" t="s">
        <v>47</v>
      </c>
      <c r="D85" s="2" t="s">
        <v>9</v>
      </c>
      <c r="E85" s="1" t="s">
        <v>175</v>
      </c>
      <c r="F85" s="2">
        <v>40</v>
      </c>
      <c r="G85" s="2" t="s">
        <v>51</v>
      </c>
    </row>
    <row r="86" spans="1:7" ht="43.2" x14ac:dyDescent="0.55000000000000004">
      <c r="A86" s="2">
        <v>2019</v>
      </c>
      <c r="B86" s="2" t="s">
        <v>98</v>
      </c>
      <c r="C86" s="2" t="s">
        <v>31</v>
      </c>
      <c r="D86" s="2" t="s">
        <v>9</v>
      </c>
      <c r="E86" s="1" t="s">
        <v>176</v>
      </c>
      <c r="F86" s="2">
        <v>500</v>
      </c>
      <c r="G86" s="2" t="s">
        <v>51</v>
      </c>
    </row>
    <row r="87" spans="1:7" ht="28.8" x14ac:dyDescent="0.55000000000000004">
      <c r="A87" s="2">
        <v>2019</v>
      </c>
      <c r="B87" s="2" t="s">
        <v>56</v>
      </c>
      <c r="C87" s="2" t="s">
        <v>19</v>
      </c>
      <c r="D87" s="2" t="s">
        <v>20</v>
      </c>
      <c r="E87" s="1" t="s">
        <v>177</v>
      </c>
      <c r="F87" s="2">
        <v>54</v>
      </c>
      <c r="G87" s="2" t="s">
        <v>51</v>
      </c>
    </row>
    <row r="88" spans="1:7" ht="28.8" x14ac:dyDescent="0.55000000000000004">
      <c r="A88" s="2">
        <v>2019</v>
      </c>
      <c r="B88" s="2" t="s">
        <v>70</v>
      </c>
      <c r="C88" s="2" t="s">
        <v>59</v>
      </c>
      <c r="D88" s="2" t="s">
        <v>9</v>
      </c>
      <c r="E88" s="1" t="s">
        <v>178</v>
      </c>
      <c r="F88" s="2">
        <v>80</v>
      </c>
      <c r="G88" s="2" t="s">
        <v>51</v>
      </c>
    </row>
    <row r="89" spans="1:7" ht="28.8" x14ac:dyDescent="0.55000000000000004">
      <c r="A89" s="2">
        <v>2019</v>
      </c>
      <c r="B89" s="2" t="s">
        <v>70</v>
      </c>
      <c r="C89" s="2" t="s">
        <v>45</v>
      </c>
      <c r="D89" s="2" t="s">
        <v>9</v>
      </c>
      <c r="E89" s="1" t="s">
        <v>179</v>
      </c>
      <c r="F89" s="2">
        <v>200</v>
      </c>
      <c r="G89" s="2" t="s">
        <v>51</v>
      </c>
    </row>
    <row r="90" spans="1:7" ht="28.8" x14ac:dyDescent="0.55000000000000004">
      <c r="A90" s="2">
        <v>2019</v>
      </c>
      <c r="B90" s="2" t="s">
        <v>61</v>
      </c>
      <c r="C90" s="2" t="s">
        <v>16</v>
      </c>
      <c r="D90" s="2" t="s">
        <v>20</v>
      </c>
      <c r="E90" s="1" t="s">
        <v>180</v>
      </c>
      <c r="F90" s="2">
        <v>100</v>
      </c>
      <c r="G90" s="2" t="s">
        <v>51</v>
      </c>
    </row>
    <row r="91" spans="1:7" ht="28.8" x14ac:dyDescent="0.55000000000000004">
      <c r="A91" s="2">
        <v>2019</v>
      </c>
      <c r="B91" s="2" t="s">
        <v>61</v>
      </c>
      <c r="C91" s="2" t="s">
        <v>45</v>
      </c>
      <c r="D91" s="2" t="s">
        <v>9</v>
      </c>
      <c r="E91" s="1" t="s">
        <v>181</v>
      </c>
      <c r="F91" s="2">
        <v>300</v>
      </c>
      <c r="G91" s="2" t="s">
        <v>51</v>
      </c>
    </row>
    <row r="92" spans="1:7" ht="28.8" x14ac:dyDescent="0.55000000000000004">
      <c r="A92" s="2">
        <v>2019</v>
      </c>
      <c r="B92" s="2" t="s">
        <v>61</v>
      </c>
      <c r="C92" s="2" t="s">
        <v>19</v>
      </c>
      <c r="D92" s="2" t="s">
        <v>9</v>
      </c>
      <c r="E92" s="1" t="s">
        <v>182</v>
      </c>
      <c r="F92" s="2">
        <v>200</v>
      </c>
      <c r="G92" s="2" t="s">
        <v>51</v>
      </c>
    </row>
    <row r="93" spans="1:7" ht="43.2" x14ac:dyDescent="0.55000000000000004">
      <c r="A93" s="2">
        <v>2019</v>
      </c>
      <c r="B93" s="2" t="s">
        <v>52</v>
      </c>
      <c r="C93" s="2" t="s">
        <v>183</v>
      </c>
      <c r="D93" s="2" t="s">
        <v>9</v>
      </c>
      <c r="E93" s="1" t="s">
        <v>184</v>
      </c>
      <c r="F93" s="2">
        <v>82</v>
      </c>
      <c r="G93" s="2" t="s">
        <v>51</v>
      </c>
    </row>
    <row r="94" spans="1:7" x14ac:dyDescent="0.55000000000000004">
      <c r="A94" s="2">
        <v>2018</v>
      </c>
      <c r="B94" s="2" t="s">
        <v>15</v>
      </c>
      <c r="C94" s="2" t="s">
        <v>16</v>
      </c>
      <c r="D94" s="2" t="s">
        <v>20</v>
      </c>
      <c r="E94" s="1" t="s">
        <v>195</v>
      </c>
      <c r="F94" s="2">
        <v>60</v>
      </c>
      <c r="G94" s="2" t="s">
        <v>51</v>
      </c>
    </row>
    <row r="95" spans="1:7" ht="28.8" x14ac:dyDescent="0.55000000000000004">
      <c r="A95" s="2">
        <v>2018</v>
      </c>
      <c r="B95" s="2" t="s">
        <v>24</v>
      </c>
      <c r="C95" s="2" t="s">
        <v>47</v>
      </c>
      <c r="D95" s="2" t="s">
        <v>9</v>
      </c>
      <c r="E95" s="1" t="s">
        <v>196</v>
      </c>
      <c r="F95" s="2">
        <v>300</v>
      </c>
      <c r="G95" s="2" t="s">
        <v>51</v>
      </c>
    </row>
    <row r="96" spans="1:7" x14ac:dyDescent="0.55000000000000004">
      <c r="A96" s="2">
        <v>2018</v>
      </c>
      <c r="B96" s="2" t="s">
        <v>22</v>
      </c>
      <c r="C96" s="2" t="s">
        <v>31</v>
      </c>
      <c r="D96" s="2" t="s">
        <v>9</v>
      </c>
      <c r="E96" s="1" t="s">
        <v>197</v>
      </c>
      <c r="F96" s="2">
        <v>455</v>
      </c>
      <c r="G96" s="2" t="s">
        <v>51</v>
      </c>
    </row>
    <row r="97" spans="1:7" ht="28.8" x14ac:dyDescent="0.55000000000000004">
      <c r="A97" s="2">
        <v>2018</v>
      </c>
      <c r="B97" s="2" t="s">
        <v>22</v>
      </c>
      <c r="C97" s="2" t="s">
        <v>47</v>
      </c>
      <c r="D97" s="2" t="s">
        <v>9</v>
      </c>
      <c r="E97" s="1" t="s">
        <v>198</v>
      </c>
      <c r="F97" s="2">
        <v>400</v>
      </c>
      <c r="G97" s="2" t="s">
        <v>51</v>
      </c>
    </row>
    <row r="98" spans="1:7" x14ac:dyDescent="0.55000000000000004">
      <c r="A98" s="2">
        <v>2018</v>
      </c>
      <c r="B98" s="2" t="s">
        <v>22</v>
      </c>
      <c r="C98" s="2" t="s">
        <v>31</v>
      </c>
      <c r="D98" s="2" t="s">
        <v>9</v>
      </c>
      <c r="E98" s="1" t="s">
        <v>199</v>
      </c>
      <c r="F98" s="2">
        <v>140</v>
      </c>
      <c r="G98" s="2" t="s">
        <v>51</v>
      </c>
    </row>
    <row r="99" spans="1:7" ht="28.8" x14ac:dyDescent="0.55000000000000004">
      <c r="A99" s="2">
        <v>2018</v>
      </c>
      <c r="B99" s="2" t="s">
        <v>22</v>
      </c>
      <c r="C99" s="2" t="s">
        <v>19</v>
      </c>
      <c r="D99" s="2" t="s">
        <v>20</v>
      </c>
      <c r="E99" s="1" t="s">
        <v>200</v>
      </c>
      <c r="F99" s="2">
        <v>100</v>
      </c>
      <c r="G99" s="2" t="s">
        <v>51</v>
      </c>
    </row>
    <row r="100" spans="1:7" ht="28.8" x14ac:dyDescent="0.55000000000000004">
      <c r="A100" s="2">
        <v>2018</v>
      </c>
      <c r="B100" s="2" t="s">
        <v>33</v>
      </c>
      <c r="C100" s="2" t="s">
        <v>45</v>
      </c>
      <c r="D100" s="2" t="s">
        <v>9</v>
      </c>
      <c r="E100" s="1" t="s">
        <v>201</v>
      </c>
      <c r="F100" s="2">
        <v>248.4</v>
      </c>
      <c r="G100" s="2" t="s">
        <v>51</v>
      </c>
    </row>
    <row r="101" spans="1:7" ht="28.8" x14ac:dyDescent="0.55000000000000004">
      <c r="A101" s="2">
        <v>2018</v>
      </c>
      <c r="B101" s="2" t="s">
        <v>33</v>
      </c>
      <c r="C101" s="2" t="s">
        <v>47</v>
      </c>
      <c r="D101" s="2" t="s">
        <v>9</v>
      </c>
      <c r="E101" s="1" t="s">
        <v>202</v>
      </c>
      <c r="F101" s="2">
        <v>250</v>
      </c>
      <c r="G101" s="2" t="s">
        <v>51</v>
      </c>
    </row>
    <row r="102" spans="1:7" ht="28.8" x14ac:dyDescent="0.55000000000000004">
      <c r="A102" s="2">
        <v>2018</v>
      </c>
      <c r="B102" s="2" t="s">
        <v>18</v>
      </c>
      <c r="C102" s="2" t="s">
        <v>19</v>
      </c>
      <c r="D102" s="2" t="s">
        <v>20</v>
      </c>
      <c r="E102" s="1" t="s">
        <v>203</v>
      </c>
      <c r="F102" s="2">
        <v>500</v>
      </c>
      <c r="G102" s="2" t="s">
        <v>51</v>
      </c>
    </row>
    <row r="103" spans="1:7" ht="28.8" x14ac:dyDescent="0.55000000000000004">
      <c r="A103" s="2">
        <v>2018</v>
      </c>
      <c r="B103" s="2" t="s">
        <v>61</v>
      </c>
      <c r="C103" s="2" t="s">
        <v>19</v>
      </c>
      <c r="D103" s="2" t="s">
        <v>9</v>
      </c>
      <c r="E103" s="1" t="s">
        <v>204</v>
      </c>
      <c r="F103" s="2">
        <v>200</v>
      </c>
      <c r="G103" s="2" t="s">
        <v>51</v>
      </c>
    </row>
    <row r="104" spans="1:7" ht="28.8" x14ac:dyDescent="0.55000000000000004">
      <c r="A104" s="2">
        <v>2018</v>
      </c>
      <c r="B104" s="2" t="s">
        <v>61</v>
      </c>
      <c r="C104" s="2" t="s">
        <v>16</v>
      </c>
      <c r="D104" s="2" t="s">
        <v>9</v>
      </c>
      <c r="E104" s="1" t="s">
        <v>205</v>
      </c>
      <c r="F104" s="2">
        <v>600</v>
      </c>
      <c r="G104" s="2" t="s">
        <v>51</v>
      </c>
    </row>
    <row r="105" spans="1:7" x14ac:dyDescent="0.55000000000000004">
      <c r="A105" s="2">
        <v>2018</v>
      </c>
      <c r="B105" s="2" t="s">
        <v>22</v>
      </c>
      <c r="C105" s="2" t="s">
        <v>31</v>
      </c>
      <c r="D105" s="2" t="s">
        <v>20</v>
      </c>
      <c r="E105" s="1" t="s">
        <v>206</v>
      </c>
      <c r="F105" s="2">
        <v>50</v>
      </c>
      <c r="G105" s="2" t="s">
        <v>51</v>
      </c>
    </row>
    <row r="106" spans="1:7" ht="28.8" x14ac:dyDescent="0.55000000000000004">
      <c r="A106" s="2">
        <v>2017</v>
      </c>
      <c r="B106" s="2" t="s">
        <v>15</v>
      </c>
      <c r="C106" s="2" t="s">
        <v>16</v>
      </c>
      <c r="D106" s="2" t="s">
        <v>9</v>
      </c>
      <c r="E106" s="1" t="s">
        <v>210</v>
      </c>
      <c r="F106" s="2">
        <v>60</v>
      </c>
      <c r="G106" s="2" t="s">
        <v>51</v>
      </c>
    </row>
    <row r="107" spans="1:7" ht="28.8" x14ac:dyDescent="0.55000000000000004">
      <c r="A107" s="2">
        <v>2017</v>
      </c>
      <c r="B107" s="2" t="s">
        <v>26</v>
      </c>
      <c r="C107" s="2" t="s">
        <v>16</v>
      </c>
      <c r="D107" s="2" t="s">
        <v>20</v>
      </c>
      <c r="E107" s="1" t="s">
        <v>211</v>
      </c>
      <c r="F107" s="2">
        <v>250</v>
      </c>
      <c r="G107" s="2" t="s">
        <v>51</v>
      </c>
    </row>
    <row r="108" spans="1:7" ht="28.8" x14ac:dyDescent="0.55000000000000004">
      <c r="A108" s="2">
        <v>2017</v>
      </c>
      <c r="B108" s="2" t="s">
        <v>24</v>
      </c>
      <c r="C108" s="2" t="s">
        <v>16</v>
      </c>
      <c r="D108" s="2" t="s">
        <v>20</v>
      </c>
      <c r="E108" s="1" t="s">
        <v>212</v>
      </c>
      <c r="F108" s="2">
        <v>210</v>
      </c>
      <c r="G108" s="2" t="s">
        <v>51</v>
      </c>
    </row>
    <row r="109" spans="1:7" x14ac:dyDescent="0.55000000000000004">
      <c r="A109" s="2">
        <v>2017</v>
      </c>
      <c r="B109" s="2" t="s">
        <v>63</v>
      </c>
      <c r="C109" s="2" t="s">
        <v>31</v>
      </c>
      <c r="D109" s="2" t="s">
        <v>9</v>
      </c>
      <c r="E109" s="1" t="s">
        <v>213</v>
      </c>
      <c r="F109" s="2">
        <v>114</v>
      </c>
      <c r="G109" s="2" t="s">
        <v>51</v>
      </c>
    </row>
    <row r="110" spans="1:7" x14ac:dyDescent="0.55000000000000004">
      <c r="A110" s="2">
        <v>2017</v>
      </c>
      <c r="B110" s="2" t="s">
        <v>22</v>
      </c>
      <c r="C110" s="2" t="s">
        <v>16</v>
      </c>
      <c r="D110" s="2" t="s">
        <v>9</v>
      </c>
      <c r="E110" s="1" t="s">
        <v>214</v>
      </c>
      <c r="F110" s="2">
        <v>160</v>
      </c>
      <c r="G110" s="2" t="s">
        <v>51</v>
      </c>
    </row>
    <row r="111" spans="1:7" x14ac:dyDescent="0.55000000000000004">
      <c r="A111" s="2">
        <v>2017</v>
      </c>
      <c r="B111" s="2" t="s">
        <v>22</v>
      </c>
      <c r="C111" s="2" t="s">
        <v>31</v>
      </c>
      <c r="D111" s="2" t="s">
        <v>9</v>
      </c>
      <c r="E111" s="1" t="s">
        <v>215</v>
      </c>
      <c r="F111" s="2">
        <v>335</v>
      </c>
      <c r="G111" s="2" t="s">
        <v>51</v>
      </c>
    </row>
    <row r="112" spans="1:7" x14ac:dyDescent="0.55000000000000004">
      <c r="A112" s="2">
        <v>2017</v>
      </c>
      <c r="B112" s="2" t="s">
        <v>22</v>
      </c>
      <c r="C112" s="2" t="s">
        <v>31</v>
      </c>
      <c r="D112" s="2" t="s">
        <v>9</v>
      </c>
      <c r="E112" s="1" t="s">
        <v>216</v>
      </c>
      <c r="F112" s="2">
        <v>329</v>
      </c>
      <c r="G112" s="2" t="s">
        <v>51</v>
      </c>
    </row>
    <row r="113" spans="1:7" ht="28.8" x14ac:dyDescent="0.55000000000000004">
      <c r="A113" s="2">
        <v>2017</v>
      </c>
      <c r="B113" s="2" t="s">
        <v>22</v>
      </c>
      <c r="C113" s="2" t="s">
        <v>16</v>
      </c>
      <c r="D113" s="2" t="s">
        <v>9</v>
      </c>
      <c r="E113" s="1" t="s">
        <v>217</v>
      </c>
      <c r="F113" s="2">
        <v>100</v>
      </c>
      <c r="G113" s="2" t="s">
        <v>51</v>
      </c>
    </row>
    <row r="114" spans="1:7" ht="28.8" x14ac:dyDescent="0.55000000000000004">
      <c r="A114" s="2">
        <v>2017</v>
      </c>
      <c r="B114" s="2" t="s">
        <v>33</v>
      </c>
      <c r="C114" s="2" t="s">
        <v>47</v>
      </c>
      <c r="D114" s="2" t="s">
        <v>9</v>
      </c>
      <c r="E114" s="1" t="s">
        <v>218</v>
      </c>
      <c r="F114" s="2">
        <v>125</v>
      </c>
      <c r="G114" s="2" t="s">
        <v>51</v>
      </c>
    </row>
    <row r="115" spans="1:7" ht="28.8" x14ac:dyDescent="0.55000000000000004">
      <c r="A115" s="2">
        <v>2017</v>
      </c>
      <c r="B115" s="2" t="s">
        <v>33</v>
      </c>
      <c r="C115" s="2" t="s">
        <v>45</v>
      </c>
      <c r="D115" s="2" t="s">
        <v>9</v>
      </c>
      <c r="E115" s="1" t="s">
        <v>219</v>
      </c>
      <c r="F115" s="2">
        <v>100</v>
      </c>
      <c r="G115" s="2" t="s">
        <v>51</v>
      </c>
    </row>
    <row r="116" spans="1:7" ht="28.8" x14ac:dyDescent="0.55000000000000004">
      <c r="A116" s="2">
        <v>2017</v>
      </c>
      <c r="B116" s="2" t="s">
        <v>18</v>
      </c>
      <c r="C116" s="2" t="s">
        <v>19</v>
      </c>
      <c r="D116" s="2" t="s">
        <v>20</v>
      </c>
      <c r="E116" s="1" t="s">
        <v>220</v>
      </c>
      <c r="F116" s="2">
        <v>150</v>
      </c>
      <c r="G116" s="2" t="s">
        <v>51</v>
      </c>
    </row>
    <row r="117" spans="1:7" x14ac:dyDescent="0.55000000000000004">
      <c r="A117" s="2">
        <v>2017</v>
      </c>
      <c r="B117" s="2" t="s">
        <v>138</v>
      </c>
      <c r="C117" s="2" t="s">
        <v>27</v>
      </c>
      <c r="D117" s="2" t="s">
        <v>20</v>
      </c>
      <c r="E117" s="1" t="s">
        <v>221</v>
      </c>
      <c r="F117" s="2">
        <v>152.1</v>
      </c>
      <c r="G117" s="2" t="s">
        <v>51</v>
      </c>
    </row>
    <row r="118" spans="1:7" x14ac:dyDescent="0.55000000000000004">
      <c r="A118" s="2">
        <v>2017</v>
      </c>
      <c r="B118" s="2" t="s">
        <v>68</v>
      </c>
      <c r="C118" s="2" t="s">
        <v>47</v>
      </c>
      <c r="D118" s="2" t="s">
        <v>9</v>
      </c>
      <c r="E118" s="1" t="s">
        <v>222</v>
      </c>
      <c r="F118" s="2">
        <v>207.6</v>
      </c>
      <c r="G118" s="2" t="s">
        <v>51</v>
      </c>
    </row>
    <row r="119" spans="1:7" ht="28.8" x14ac:dyDescent="0.55000000000000004">
      <c r="A119" s="2">
        <v>2017</v>
      </c>
      <c r="B119" s="2" t="s">
        <v>192</v>
      </c>
      <c r="C119" s="2" t="s">
        <v>16</v>
      </c>
      <c r="D119" s="2" t="s">
        <v>9</v>
      </c>
      <c r="E119" s="1" t="s">
        <v>223</v>
      </c>
      <c r="F119" s="2">
        <v>60</v>
      </c>
      <c r="G119" s="2" t="s">
        <v>51</v>
      </c>
    </row>
    <row r="120" spans="1:7" ht="28.8" x14ac:dyDescent="0.55000000000000004">
      <c r="A120" s="2">
        <v>2017</v>
      </c>
      <c r="B120" s="2" t="s">
        <v>22</v>
      </c>
      <c r="C120" s="2" t="s">
        <v>19</v>
      </c>
      <c r="D120" s="2" t="s">
        <v>20</v>
      </c>
      <c r="E120" s="1" t="s">
        <v>224</v>
      </c>
      <c r="F120" s="2">
        <v>150</v>
      </c>
      <c r="G120" s="2" t="s">
        <v>51</v>
      </c>
    </row>
    <row r="121" spans="1:7" ht="28.8" x14ac:dyDescent="0.55000000000000004">
      <c r="A121" s="2">
        <v>2016</v>
      </c>
      <c r="B121" s="2" t="s">
        <v>29</v>
      </c>
      <c r="C121" s="2" t="s">
        <v>16</v>
      </c>
      <c r="D121" s="2" t="s">
        <v>9</v>
      </c>
      <c r="E121" s="1" t="s">
        <v>227</v>
      </c>
      <c r="F121" s="2">
        <v>600</v>
      </c>
      <c r="G121" s="2" t="s">
        <v>51</v>
      </c>
    </row>
    <row r="122" spans="1:7" ht="28.8" x14ac:dyDescent="0.55000000000000004">
      <c r="A122" s="2">
        <v>2016</v>
      </c>
      <c r="B122" s="2" t="s">
        <v>15</v>
      </c>
      <c r="C122" s="2" t="s">
        <v>16</v>
      </c>
      <c r="D122" s="2" t="s">
        <v>9</v>
      </c>
      <c r="E122" s="1" t="s">
        <v>228</v>
      </c>
      <c r="F122" s="2">
        <v>165</v>
      </c>
      <c r="G122" s="2" t="s">
        <v>51</v>
      </c>
    </row>
    <row r="123" spans="1:7" x14ac:dyDescent="0.55000000000000004">
      <c r="A123" s="2">
        <v>2016</v>
      </c>
      <c r="B123" s="2" t="s">
        <v>33</v>
      </c>
      <c r="C123" s="2" t="s">
        <v>45</v>
      </c>
      <c r="D123" s="2" t="s">
        <v>9</v>
      </c>
      <c r="E123" s="1" t="s">
        <v>229</v>
      </c>
      <c r="F123" s="2">
        <v>216.5</v>
      </c>
      <c r="G123" s="2" t="s">
        <v>51</v>
      </c>
    </row>
    <row r="124" spans="1:7" ht="28.8" x14ac:dyDescent="0.55000000000000004">
      <c r="A124" s="2">
        <v>2016</v>
      </c>
      <c r="B124" s="2" t="s">
        <v>230</v>
      </c>
      <c r="C124" s="2" t="s">
        <v>16</v>
      </c>
      <c r="D124" s="2" t="s">
        <v>20</v>
      </c>
      <c r="E124" s="1" t="s">
        <v>231</v>
      </c>
      <c r="F124" s="2">
        <v>20</v>
      </c>
      <c r="G124" s="2" t="s">
        <v>51</v>
      </c>
    </row>
    <row r="125" spans="1:7" ht="28.8" x14ac:dyDescent="0.55000000000000004">
      <c r="A125" s="2">
        <v>2016</v>
      </c>
      <c r="B125" s="2" t="s">
        <v>138</v>
      </c>
      <c r="C125" s="2" t="s">
        <v>31</v>
      </c>
      <c r="D125" s="2" t="s">
        <v>9</v>
      </c>
      <c r="E125" s="1" t="s">
        <v>232</v>
      </c>
      <c r="F125" s="2">
        <v>265</v>
      </c>
      <c r="G125" s="2" t="s">
        <v>51</v>
      </c>
    </row>
    <row r="126" spans="1:7" ht="28.8" x14ac:dyDescent="0.55000000000000004">
      <c r="A126" s="2">
        <v>2016</v>
      </c>
      <c r="B126" s="2" t="s">
        <v>81</v>
      </c>
      <c r="C126" s="2" t="s">
        <v>31</v>
      </c>
      <c r="D126" s="2" t="s">
        <v>9</v>
      </c>
      <c r="E126" s="1" t="s">
        <v>233</v>
      </c>
      <c r="F126" s="2">
        <v>100</v>
      </c>
      <c r="G126" s="2" t="s">
        <v>51</v>
      </c>
    </row>
    <row r="127" spans="1:7" x14ac:dyDescent="0.55000000000000004">
      <c r="A127" s="2">
        <v>2016</v>
      </c>
      <c r="B127" s="2" t="s">
        <v>81</v>
      </c>
      <c r="C127" s="2" t="s">
        <v>16</v>
      </c>
      <c r="D127" s="2" t="s">
        <v>9</v>
      </c>
      <c r="E127" s="1" t="s">
        <v>234</v>
      </c>
      <c r="F127" s="2">
        <v>300</v>
      </c>
      <c r="G127" s="2" t="s">
        <v>51</v>
      </c>
    </row>
    <row r="128" spans="1:7" ht="28.8" x14ac:dyDescent="0.55000000000000004">
      <c r="A128" s="2">
        <v>2016</v>
      </c>
      <c r="B128" s="2" t="s">
        <v>192</v>
      </c>
      <c r="C128" s="2" t="s">
        <v>31</v>
      </c>
      <c r="D128" s="2" t="s">
        <v>9</v>
      </c>
      <c r="E128" s="1" t="s">
        <v>235</v>
      </c>
      <c r="F128" s="2">
        <v>27.5</v>
      </c>
      <c r="G128" s="2" t="s">
        <v>51</v>
      </c>
    </row>
    <row r="132" spans="1:7" x14ac:dyDescent="0.55000000000000004">
      <c r="B132" s="2">
        <v>2016</v>
      </c>
      <c r="C132" s="2">
        <v>2017</v>
      </c>
      <c r="D132" s="2">
        <v>2018</v>
      </c>
      <c r="E132" s="2">
        <v>2019</v>
      </c>
      <c r="F132" s="2">
        <v>2020</v>
      </c>
      <c r="G132" s="2">
        <v>2021</v>
      </c>
    </row>
    <row r="133" spans="1:7" x14ac:dyDescent="0.55000000000000004">
      <c r="B133" s="2">
        <f>SUMIF(A:A,"2016",F:F)</f>
        <v>1694</v>
      </c>
      <c r="C133" s="2">
        <f>SUMIF(A:A,"=2017",F:F)</f>
        <v>2502.6999999999998</v>
      </c>
      <c r="D133" s="2">
        <f>SUMIF(A:A,"=2018",F:F)</f>
        <v>3303.4</v>
      </c>
      <c r="E133" s="2">
        <f>SUMIF(A:A,"=2019",F:F)</f>
        <v>4546.8099999999995</v>
      </c>
      <c r="F133" s="2">
        <f>SUMIF(A:A,"=2020",F:F)</f>
        <v>9980.5000000000018</v>
      </c>
      <c r="G133" s="2">
        <f>SUMIF(A:A,"=2021",F:F)</f>
        <v>3000</v>
      </c>
    </row>
    <row r="137" spans="1:7" x14ac:dyDescent="0.55000000000000004">
      <c r="A137" s="3" t="s">
        <v>243</v>
      </c>
      <c r="B137" s="2">
        <v>2016</v>
      </c>
      <c r="C137" s="2">
        <v>2017</v>
      </c>
      <c r="D137" s="2">
        <v>2018</v>
      </c>
      <c r="E137" s="2">
        <v>2019</v>
      </c>
      <c r="F137" s="2">
        <v>2020</v>
      </c>
      <c r="G137" s="2">
        <v>2021</v>
      </c>
    </row>
    <row r="138" spans="1:7" ht="28.8" x14ac:dyDescent="0.55000000000000004">
      <c r="A138" s="1" t="s">
        <v>8</v>
      </c>
      <c r="B138" s="2">
        <f>SUMIFS(F:F,A:A,"=2016",C:C,"=Economic Resilience / PBF")</f>
        <v>0</v>
      </c>
      <c r="C138" s="2">
        <f>SUMIFS(F:F,A:A,"=2017",C:C,"=Economic Resilience / PBF")</f>
        <v>0</v>
      </c>
      <c r="D138" s="2">
        <f>SUMIFS(F:F,A:A,"=2018",C:C,"=Economic Resilience / PBF")</f>
        <v>0</v>
      </c>
      <c r="E138" s="3">
        <f>SUMIFS(F:F,A:A,"=2019",C:C,"=Economic Resilience / PBF")</f>
        <v>0</v>
      </c>
      <c r="F138" s="2">
        <f>SUMIFS(F:F,A:A,"=2020",C:C,"=Economic Resilience / PBF")</f>
        <v>4280</v>
      </c>
      <c r="G138" s="2">
        <f>SUMIFS(F:F,A:A,"=2021",C:C,"=Economic Resilience / PBF")</f>
        <v>0</v>
      </c>
    </row>
    <row r="139" spans="1:7" x14ac:dyDescent="0.55000000000000004">
      <c r="A139" s="1" t="s">
        <v>39</v>
      </c>
      <c r="B139" s="2">
        <f>SUMIFS(F:F,A:A,"=2016",C:C,"=Education")</f>
        <v>0</v>
      </c>
      <c r="C139" s="2">
        <f>SUMIFS(F:F,A:A,"=2017",C:C,"=Education")</f>
        <v>0</v>
      </c>
      <c r="D139" s="2">
        <f>SUMIFS(F:F,A:A,"=2018",C:C,"=Education")</f>
        <v>0</v>
      </c>
      <c r="E139" s="3">
        <f>SUMIFS(F:F,A:A,"=2019",C:C,"=Education")</f>
        <v>0</v>
      </c>
      <c r="F139" s="2">
        <f>SUMIFS(F:F,A:A,"=2020",C:C,"=Education")</f>
        <v>0</v>
      </c>
      <c r="G139" s="2">
        <f>SUMIFS(F:F,A:A,"=2021",C:C,"=Education")</f>
        <v>0</v>
      </c>
    </row>
    <row r="140" spans="1:7" x14ac:dyDescent="0.55000000000000004">
      <c r="A140" s="1" t="s">
        <v>16</v>
      </c>
      <c r="B140" s="2">
        <f>SUMIFS(F:F,A:A,"=2016",C:C,"=Energy")</f>
        <v>1085</v>
      </c>
      <c r="C140" s="2">
        <f>SUMIFS(F:F,A:A,"=2017",C:C,"=Energy")</f>
        <v>840</v>
      </c>
      <c r="D140" s="2">
        <f>SUMIFS(F:F,A:A,"=2018",C:C,"=Energy")</f>
        <v>660</v>
      </c>
      <c r="E140" s="3">
        <f>SUMIFS(F:F,A:A,"=2019",C:C,"=Energy")</f>
        <v>1034</v>
      </c>
      <c r="F140" s="2">
        <f>SUMIFS(F:F,A:A,"=2020",C:C,"=Energy")</f>
        <v>295</v>
      </c>
      <c r="G140" s="2">
        <f>SUMIFS(F:F,A:A,"=2021",C:C,"=Energy")</f>
        <v>809</v>
      </c>
    </row>
    <row r="141" spans="1:7" x14ac:dyDescent="0.55000000000000004">
      <c r="A141" s="1" t="s">
        <v>37</v>
      </c>
      <c r="B141" s="2">
        <f>SUMIFS(F:F,A:A,"=2016",C:C,"=Finance / Liquidity")</f>
        <v>0</v>
      </c>
      <c r="C141" s="2">
        <f>SUMIFS(F:F,A:A,"=2017",C:C,"=Finance / Liquidity")</f>
        <v>0</v>
      </c>
      <c r="D141" s="2">
        <f>SUMIFS(F:F,A:A,"=2018",C:C,"=Finance / Liquidity")</f>
        <v>0</v>
      </c>
      <c r="E141" s="3">
        <f>SUMIFS(F:F,A:A,"=2019",C:C,"=Finance / Liquidity")</f>
        <v>0</v>
      </c>
      <c r="F141" s="2">
        <f>SUMIFS(F:F,A:A,"=2020",C:C,"=Finance / Liquidity")</f>
        <v>1300</v>
      </c>
      <c r="G141" s="2">
        <f>SUMIFS(F:F,A:A,"=2021",C:C,"=Finance / Liquidity")</f>
        <v>830</v>
      </c>
    </row>
    <row r="142" spans="1:7" x14ac:dyDescent="0.55000000000000004">
      <c r="A142" s="1" t="s">
        <v>19</v>
      </c>
      <c r="B142" s="2">
        <f>SUMIFS(F:F,A:A,"=2016",C:C,"=Financial Institution")</f>
        <v>0</v>
      </c>
      <c r="C142" s="2">
        <f>SUMIFS(F:F,A:A,"=2017",C:C,"=Financial Institution")</f>
        <v>300</v>
      </c>
      <c r="D142" s="2">
        <f>SUMIFS(F:F,A:A,"=2018",C:C,"=Financial Institution")</f>
        <v>800</v>
      </c>
      <c r="E142" s="3">
        <f>SUMIFS(F:F,A:A,"=2019",C:C,"=Financial Institution")</f>
        <v>1379</v>
      </c>
      <c r="F142" s="2">
        <f>SUMIFS(F:F,A:A,"=2020",C:C,"=Financial Institution")</f>
        <v>480</v>
      </c>
      <c r="G142" s="2">
        <f>SUMIFS(F:F,A:A,"=2021",C:C,"=Financial Institution")</f>
        <v>470</v>
      </c>
    </row>
    <row r="143" spans="1:7" x14ac:dyDescent="0.55000000000000004">
      <c r="A143" s="1" t="s">
        <v>27</v>
      </c>
      <c r="B143" s="2">
        <f>SUMIFS(F:F,A:A,"=2016",C:C,"=ICT")</f>
        <v>0</v>
      </c>
      <c r="C143" s="2">
        <f>SUMIFS(F:F,A:A,"=2017",C:C,"=ICT")</f>
        <v>152.1</v>
      </c>
      <c r="D143" s="2">
        <f>SUMIFS(F:F,A:A,"=2018",C:C,"=ICT")</f>
        <v>0</v>
      </c>
      <c r="E143" s="3">
        <f>SUMIFS(F:F,A:A,"=2019",C:C,"=ICT")</f>
        <v>75</v>
      </c>
      <c r="F143" s="2">
        <f>SUMIFS(F:F,A:A,"=2020",C:C,"=ICT")</f>
        <v>180</v>
      </c>
      <c r="G143" s="2">
        <f>SUMIFS(F:F,A:A,"=2021",C:C,"=ICT")</f>
        <v>0</v>
      </c>
    </row>
    <row r="144" spans="1:7" x14ac:dyDescent="0.55000000000000004">
      <c r="A144" s="1" t="s">
        <v>59</v>
      </c>
      <c r="B144" s="2">
        <f>SUMIFS(F:F,A:A,"=2016",C:C,"=Other")</f>
        <v>0</v>
      </c>
      <c r="C144" s="2">
        <f>SUMIFS(F:F,A:A,"=2017",C:C,"=Other")</f>
        <v>0</v>
      </c>
      <c r="D144" s="2">
        <f>SUMIFS(F:F,A:A,"=2018",C:C,"=Other")</f>
        <v>0</v>
      </c>
      <c r="E144" s="3">
        <f>SUMIFS(F:F,A:A,"=2019",C:C,"=Other")</f>
        <v>80</v>
      </c>
      <c r="F144" s="2">
        <f>SUMIFS(F:F,A:A,"=2020",C:C,"=Other")</f>
        <v>0</v>
      </c>
      <c r="G144" s="2">
        <f>SUMIFS(F:F,A:A,"=2021",C:C,"=Other")</f>
        <v>0</v>
      </c>
    </row>
    <row r="145" spans="1:7" x14ac:dyDescent="0.55000000000000004">
      <c r="A145" s="1" t="s">
        <v>13</v>
      </c>
      <c r="B145" s="2">
        <f>SUMIFS(F:F,A:A,"=2016",C:C,"=Public Health")</f>
        <v>0</v>
      </c>
      <c r="C145" s="2">
        <f>SUMIFS(F:F,A:A,"=2017",C:C,"=Public Health")</f>
        <v>0</v>
      </c>
      <c r="D145" s="2">
        <f>SUMIFS(F:F,A:A,"=2018",C:C,"=Public Health")</f>
        <v>0</v>
      </c>
      <c r="E145" s="3">
        <f>SUMIFS(F:F,A:A,"=2019",C:C,"=Public Health")</f>
        <v>0</v>
      </c>
      <c r="F145" s="2">
        <f>SUMIFS(F:F,A:A,"=2020",C:C,"=Public Health")</f>
        <v>1494.9</v>
      </c>
      <c r="G145" s="2">
        <f>SUMIFS(F:F,A:A,"=2021",C:C,"=Public Health")</f>
        <v>321</v>
      </c>
    </row>
    <row r="146" spans="1:7" ht="43.2" x14ac:dyDescent="0.55000000000000004">
      <c r="A146" s="1" t="s">
        <v>183</v>
      </c>
      <c r="B146" s="2">
        <f>SUMIFS(F:F,A:A,"=2016",C:C,"=Rural Infrastructure and Agriculture Development")</f>
        <v>0</v>
      </c>
      <c r="C146" s="2">
        <f>SUMIFS(F:F,A:A,"=2017",C:C,"=Rural Infrastructure and Agriculture Development")</f>
        <v>0</v>
      </c>
      <c r="D146" s="2">
        <f>SUMIFS(F:F,A:A,"=2018",C:C,"=Rural Infrastructure and Agriculture Development")</f>
        <v>0</v>
      </c>
      <c r="E146" s="3">
        <f>SUMIFS(F:F,A:A,"=2019",C:C,"=Rural Infrastructure and Agriculture Development")</f>
        <v>82</v>
      </c>
      <c r="F146" s="2">
        <f>SUMIFS(F:F,A:A,"=2020",C:C,"=Rural Infrastructure and Agriculture Development")</f>
        <v>0</v>
      </c>
      <c r="G146" s="2">
        <f>SUMIFS(F:F,A:A,"=2021",C:C,"=Rural Infrastructure and Agriculture Development")</f>
        <v>0</v>
      </c>
    </row>
    <row r="147" spans="1:7" x14ac:dyDescent="0.55000000000000004">
      <c r="A147" s="1" t="s">
        <v>31</v>
      </c>
      <c r="B147" s="2">
        <f>SUMIFS(F:F,A:A,"=2016",C:C,"=Transport")</f>
        <v>392.5</v>
      </c>
      <c r="C147" s="2">
        <f>SUMIFS(F:F,A:A,"=2017",C:C,"=Transport")</f>
        <v>778</v>
      </c>
      <c r="D147" s="2">
        <f>SUMIFS(F:F,A:A,"=2018",C:C,"=Transport")</f>
        <v>645</v>
      </c>
      <c r="E147" s="3">
        <f>SUMIFS(F:F,A:A,"=2019",C:C,"=Transport")</f>
        <v>1111.81</v>
      </c>
      <c r="F147" s="2">
        <f>SUMIFS(F:F,A:A,"=2020",C:C,"=Transport")</f>
        <v>1155.5</v>
      </c>
      <c r="G147" s="2">
        <f>SUMIFS(F:F,A:A,"=2021",C:C,"=Transport")</f>
        <v>260</v>
      </c>
    </row>
    <row r="148" spans="1:7" x14ac:dyDescent="0.55000000000000004">
      <c r="A148" s="1" t="s">
        <v>45</v>
      </c>
      <c r="B148" s="2">
        <f>SUMIFS(F:F,A:A,"=2016",C:C,"=Urban")</f>
        <v>216.5</v>
      </c>
      <c r="C148" s="2">
        <f>SUMIFS(F:F,A:A,"=2017",C:C,"=Urban")</f>
        <v>100</v>
      </c>
      <c r="D148" s="2">
        <f>SUMIFS(F:F,A:A,"=2018",C:C,"=Urban")</f>
        <v>248.4</v>
      </c>
      <c r="E148" s="3">
        <f>SUMIFS(F:F,A:A,"=2019",C:C,"=Urban")</f>
        <v>500</v>
      </c>
      <c r="F148" s="2">
        <f>SUMIFS(F:F,A:A,"=2020",C:C,"=Urban")</f>
        <v>40</v>
      </c>
      <c r="G148" s="2">
        <f>SUMIFS(F:F,A:A,"=2021",C:C,"=Urban")</f>
        <v>310</v>
      </c>
    </row>
    <row r="149" spans="1:7" x14ac:dyDescent="0.55000000000000004">
      <c r="A149" s="1" t="s">
        <v>47</v>
      </c>
      <c r="B149" s="2">
        <f>SUMIFS(F:F,A:A,"=2016",C:C,"=Water")</f>
        <v>0</v>
      </c>
      <c r="C149" s="2">
        <f>SUMIFS(F:F,A:A,"=2017",C:C,"=Water")</f>
        <v>332.6</v>
      </c>
      <c r="D149" s="2">
        <f>SUMIFS(F:F,A:A,"=2018",C:C,"=Water")</f>
        <v>950</v>
      </c>
      <c r="E149" s="3">
        <f>SUMIFS(F:F,A:A,"=2019",C:C,"=Water")</f>
        <v>285</v>
      </c>
      <c r="F149" s="2">
        <f>SUMIFS(F:F,A:A,"=2020",C:C,"=Water")</f>
        <v>755.1</v>
      </c>
      <c r="G149" s="2">
        <f>SUMIFS(F:F,A:A,"=2021",C:C,"=Water")</f>
        <v>0</v>
      </c>
    </row>
    <row r="150" spans="1:7" x14ac:dyDescent="0.55000000000000004">
      <c r="A150" s="2" t="s">
        <v>244</v>
      </c>
      <c r="B150" s="2">
        <f>SUM(B138:B149)</f>
        <v>1694</v>
      </c>
      <c r="C150" s="2">
        <f t="shared" ref="C150:G150" si="0">SUM(C138:C149)</f>
        <v>2502.6999999999998</v>
      </c>
      <c r="D150" s="2">
        <f t="shared" si="0"/>
        <v>3303.4</v>
      </c>
      <c r="E150" s="2">
        <f t="shared" si="0"/>
        <v>4546.8099999999995</v>
      </c>
      <c r="F150" s="2">
        <f t="shared" si="0"/>
        <v>9980.5</v>
      </c>
      <c r="G150" s="2">
        <f t="shared" si="0"/>
        <v>3000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A4" sqref="A4:A15"/>
    </sheetView>
  </sheetViews>
  <sheetFormatPr defaultRowHeight="14.4" x14ac:dyDescent="0.55000000000000004"/>
  <cols>
    <col min="1" max="1" width="39.89453125" bestFit="1" customWidth="1"/>
    <col min="2" max="2" width="24.15625" bestFit="1" customWidth="1"/>
  </cols>
  <sheetData>
    <row r="3" spans="1:2" x14ac:dyDescent="0.55000000000000004">
      <c r="A3" s="4" t="s">
        <v>2</v>
      </c>
      <c r="B3" t="s">
        <v>240</v>
      </c>
    </row>
    <row r="4" spans="1:2" x14ac:dyDescent="0.55000000000000004">
      <c r="A4" t="s">
        <v>8</v>
      </c>
      <c r="B4" s="5">
        <v>5530</v>
      </c>
    </row>
    <row r="5" spans="1:2" x14ac:dyDescent="0.55000000000000004">
      <c r="A5" t="s">
        <v>39</v>
      </c>
      <c r="B5" s="5">
        <v>250</v>
      </c>
    </row>
    <row r="6" spans="1:2" x14ac:dyDescent="0.55000000000000004">
      <c r="A6" t="s">
        <v>16</v>
      </c>
      <c r="B6" s="5">
        <v>6443.5</v>
      </c>
    </row>
    <row r="7" spans="1:2" x14ac:dyDescent="0.55000000000000004">
      <c r="A7" t="s">
        <v>37</v>
      </c>
      <c r="B7" s="5">
        <v>2230</v>
      </c>
    </row>
    <row r="8" spans="1:2" x14ac:dyDescent="0.55000000000000004">
      <c r="A8" t="s">
        <v>19</v>
      </c>
      <c r="B8" s="5">
        <v>3779</v>
      </c>
    </row>
    <row r="9" spans="1:2" x14ac:dyDescent="0.55000000000000004">
      <c r="A9" t="s">
        <v>27</v>
      </c>
      <c r="B9" s="5">
        <v>482.1</v>
      </c>
    </row>
    <row r="10" spans="1:2" x14ac:dyDescent="0.55000000000000004">
      <c r="A10" t="s">
        <v>59</v>
      </c>
      <c r="B10" s="5">
        <v>205</v>
      </c>
    </row>
    <row r="11" spans="1:2" x14ac:dyDescent="0.55000000000000004">
      <c r="A11" t="s">
        <v>13</v>
      </c>
      <c r="B11" s="5">
        <v>2482.17</v>
      </c>
    </row>
    <row r="12" spans="1:2" x14ac:dyDescent="0.55000000000000004">
      <c r="A12" t="s">
        <v>183</v>
      </c>
      <c r="B12" s="5">
        <v>82</v>
      </c>
    </row>
    <row r="13" spans="1:2" x14ac:dyDescent="0.55000000000000004">
      <c r="A13" t="s">
        <v>31</v>
      </c>
      <c r="B13" s="5">
        <v>9099.61</v>
      </c>
    </row>
    <row r="14" spans="1:2" x14ac:dyDescent="0.55000000000000004">
      <c r="A14" t="s">
        <v>45</v>
      </c>
      <c r="B14" s="5">
        <v>1956.9</v>
      </c>
    </row>
    <row r="15" spans="1:2" x14ac:dyDescent="0.55000000000000004">
      <c r="A15" t="s">
        <v>47</v>
      </c>
      <c r="B15" s="5">
        <v>4424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Table</vt:lpstr>
      <vt:lpstr>Approved Projects</vt:lpstr>
      <vt:lpstr>Financing Amount by Sector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Doron</dc:creator>
  <cp:lastModifiedBy>Doron</cp:lastModifiedBy>
  <dcterms:created xsi:type="dcterms:W3CDTF">2021-06-21T05:37:38Z</dcterms:created>
  <dcterms:modified xsi:type="dcterms:W3CDTF">2021-07-01T10:58:10Z</dcterms:modified>
</cp:coreProperties>
</file>