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\Downloads\"/>
    </mc:Choice>
  </mc:AlternateContent>
  <bookViews>
    <workbookView xWindow="0" yWindow="0" windowWidth="15345" windowHeight="4455"/>
  </bookViews>
  <sheets>
    <sheet name="Analysis" sheetId="1" r:id="rId1"/>
    <sheet name="Amortization" sheetId="2" r:id="rId2"/>
    <sheet name="Display" sheetId="3" r:id="rId3"/>
    <sheet name="CapEx" sheetId="4" r:id="rId4"/>
  </sheets>
  <calcPr calcId="171027"/>
</workbook>
</file>

<file path=xl/calcChain.xml><?xml version="1.0" encoding="utf-8"?>
<calcChain xmlns="http://schemas.openxmlformats.org/spreadsheetml/2006/main">
  <c r="L4" i="1" l="1"/>
  <c r="F32" i="1" l="1"/>
  <c r="F31" i="1"/>
  <c r="E7" i="1"/>
  <c r="B15" i="4"/>
  <c r="D3" i="4"/>
  <c r="E3" i="4" s="1"/>
  <c r="D4" i="4"/>
  <c r="E4" i="4" s="1"/>
  <c r="D5" i="4"/>
  <c r="E5" i="4" s="1"/>
  <c r="D6" i="4"/>
  <c r="E6" i="4" s="1"/>
  <c r="D7" i="4"/>
  <c r="E7" i="4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2" i="4"/>
  <c r="F27" i="1"/>
  <c r="F28" i="1"/>
  <c r="F29" i="1"/>
  <c r="F30" i="1"/>
  <c r="F25" i="1"/>
  <c r="F24" i="1"/>
  <c r="D15" i="4" l="1"/>
  <c r="E2" i="4"/>
  <c r="E15" i="4" s="1"/>
  <c r="E33" i="1" s="1"/>
  <c r="F33" i="1" s="1"/>
  <c r="V6" i="1"/>
  <c r="F49" i="1"/>
  <c r="E12" i="3"/>
  <c r="E20" i="3"/>
  <c r="E19" i="3"/>
  <c r="E10" i="3"/>
  <c r="E8" i="3"/>
  <c r="E20" i="1"/>
  <c r="F20" i="1" s="1"/>
  <c r="Y5" i="3"/>
  <c r="Y3" i="3"/>
  <c r="H5" i="1"/>
  <c r="H4" i="1" s="1"/>
  <c r="C1" i="2" s="1"/>
  <c r="Y10" i="3"/>
  <c r="Y9" i="3"/>
  <c r="Y8" i="3"/>
  <c r="Y7" i="3"/>
  <c r="Y6" i="3"/>
  <c r="Y2" i="3"/>
  <c r="T7" i="1"/>
  <c r="L6" i="1"/>
  <c r="L7" i="1" s="1"/>
  <c r="D5" i="1"/>
  <c r="D4" i="1"/>
  <c r="D18" i="1"/>
  <c r="C3" i="2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2" i="1"/>
  <c r="G11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G49" i="1" s="1"/>
  <c r="F13" i="1"/>
  <c r="D8" i="1"/>
  <c r="H49" i="1" l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9" i="1" s="1"/>
  <c r="AI49" i="1" s="1"/>
  <c r="G33" i="1"/>
  <c r="H33" i="1" s="1"/>
  <c r="I33" i="1" s="1"/>
  <c r="E15" i="3"/>
  <c r="E5" i="3"/>
  <c r="J4" i="3"/>
  <c r="E9" i="3"/>
  <c r="E11" i="3" s="1"/>
  <c r="G27" i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E18" i="1"/>
  <c r="E16" i="3"/>
  <c r="J3" i="3"/>
  <c r="J9" i="3"/>
  <c r="J10" i="3" s="1"/>
  <c r="E17" i="1"/>
  <c r="G32" i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H9" i="1"/>
  <c r="E22" i="3" s="1"/>
  <c r="G20" i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P5" i="1"/>
  <c r="J5" i="3" s="1"/>
  <c r="G28" i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G29" i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G25" i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G24" i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H8" i="1"/>
  <c r="E21" i="3" s="1"/>
  <c r="P3" i="1"/>
  <c r="F44" i="1"/>
  <c r="G44" i="1" s="1"/>
  <c r="J33" i="1" l="1"/>
  <c r="E19" i="1"/>
  <c r="F19" i="1" s="1"/>
  <c r="J11" i="3"/>
  <c r="J13" i="3" s="1"/>
  <c r="Y11" i="3"/>
  <c r="E3" i="3" s="1"/>
  <c r="F17" i="1"/>
  <c r="Y4" i="3"/>
  <c r="E2" i="3" s="1"/>
  <c r="H44" i="1"/>
  <c r="C2" i="2"/>
  <c r="E40" i="1"/>
  <c r="F26" i="1" l="1"/>
  <c r="F34" i="1" s="1"/>
  <c r="E34" i="1" s="1"/>
  <c r="J18" i="3" s="1"/>
  <c r="E21" i="1"/>
  <c r="F21" i="1" s="1"/>
  <c r="K33" i="1"/>
  <c r="F18" i="1"/>
  <c r="G17" i="1"/>
  <c r="B6" i="2"/>
  <c r="B7" i="2" s="1"/>
  <c r="C6" i="2" s="1"/>
  <c r="C7" i="2" s="1"/>
  <c r="O40" i="1"/>
  <c r="S40" i="1"/>
  <c r="W40" i="1"/>
  <c r="AA40" i="1"/>
  <c r="AE40" i="1"/>
  <c r="AI40" i="1"/>
  <c r="K40" i="1"/>
  <c r="G40" i="1"/>
  <c r="V40" i="1"/>
  <c r="AH40" i="1"/>
  <c r="Q40" i="1"/>
  <c r="U40" i="1"/>
  <c r="Y40" i="1"/>
  <c r="AC40" i="1"/>
  <c r="AG40" i="1"/>
  <c r="I40" i="1"/>
  <c r="M40" i="1"/>
  <c r="J40" i="1"/>
  <c r="P40" i="1"/>
  <c r="T40" i="1"/>
  <c r="X40" i="1"/>
  <c r="AB40" i="1"/>
  <c r="AF40" i="1"/>
  <c r="H40" i="1"/>
  <c r="L40" i="1"/>
  <c r="F40" i="1"/>
  <c r="R40" i="1"/>
  <c r="Z40" i="1"/>
  <c r="AD40" i="1"/>
  <c r="N40" i="1"/>
  <c r="I44" i="1"/>
  <c r="J44" i="1" s="1"/>
  <c r="F36" i="1" l="1"/>
  <c r="E39" i="1" s="1"/>
  <c r="E41" i="1" s="1"/>
  <c r="J19" i="3" s="1"/>
  <c r="J17" i="3"/>
  <c r="L33" i="1"/>
  <c r="H17" i="1"/>
  <c r="G18" i="1"/>
  <c r="G19" i="1" s="1"/>
  <c r="D6" i="2"/>
  <c r="D7" i="2" s="1"/>
  <c r="K44" i="1"/>
  <c r="L44" i="1" s="1"/>
  <c r="J20" i="3" l="1"/>
  <c r="P4" i="1"/>
  <c r="J23" i="3" s="1"/>
  <c r="J15" i="3"/>
  <c r="P8" i="1"/>
  <c r="J6" i="3" s="1"/>
  <c r="J22" i="3"/>
  <c r="F39" i="1"/>
  <c r="F41" i="1" s="1"/>
  <c r="F42" i="1" s="1"/>
  <c r="M33" i="1"/>
  <c r="G26" i="1"/>
  <c r="G34" i="1" s="1"/>
  <c r="G21" i="1"/>
  <c r="I17" i="1"/>
  <c r="H18" i="1"/>
  <c r="H19" i="1" s="1"/>
  <c r="E6" i="2"/>
  <c r="E7" i="2" s="1"/>
  <c r="F6" i="2" s="1"/>
  <c r="F7" i="2" s="1"/>
  <c r="G6" i="2" s="1"/>
  <c r="G7" i="2" s="1"/>
  <c r="H6" i="2" s="1"/>
  <c r="H7" i="2" s="1"/>
  <c r="I6" i="2" s="1"/>
  <c r="I7" i="2" s="1"/>
  <c r="J6" i="2" s="1"/>
  <c r="M44" i="1"/>
  <c r="P9" i="1" l="1"/>
  <c r="N33" i="1"/>
  <c r="P6" i="1"/>
  <c r="J21" i="3"/>
  <c r="G36" i="1"/>
  <c r="G39" i="1" s="1"/>
  <c r="G41" i="1" s="1"/>
  <c r="G42" i="1" s="1"/>
  <c r="H26" i="1"/>
  <c r="H34" i="1" s="1"/>
  <c r="H21" i="1"/>
  <c r="J17" i="1"/>
  <c r="I18" i="1"/>
  <c r="I19" i="1" s="1"/>
  <c r="N44" i="1"/>
  <c r="O44" i="1" s="1"/>
  <c r="J7" i="2"/>
  <c r="K6" i="2" s="1"/>
  <c r="K7" i="2" s="1"/>
  <c r="O33" i="1" l="1"/>
  <c r="H36" i="1"/>
  <c r="H39" i="1" s="1"/>
  <c r="H41" i="1" s="1"/>
  <c r="H42" i="1" s="1"/>
  <c r="I26" i="1"/>
  <c r="I34" i="1" s="1"/>
  <c r="I21" i="1"/>
  <c r="K17" i="1"/>
  <c r="J18" i="1"/>
  <c r="J19" i="1" s="1"/>
  <c r="P44" i="1"/>
  <c r="Q44" i="1" s="1"/>
  <c r="L6" i="2"/>
  <c r="L7" i="2" s="1"/>
  <c r="P33" i="1" l="1"/>
  <c r="I36" i="1"/>
  <c r="I39" i="1" s="1"/>
  <c r="I41" i="1" s="1"/>
  <c r="I42" i="1" s="1"/>
  <c r="J26" i="1"/>
  <c r="J34" i="1" s="1"/>
  <c r="J21" i="1"/>
  <c r="L17" i="1"/>
  <c r="K18" i="1"/>
  <c r="K19" i="1" s="1"/>
  <c r="R44" i="1"/>
  <c r="S44" i="1" s="1"/>
  <c r="T44" i="1" s="1"/>
  <c r="U44" i="1" s="1"/>
  <c r="V44" i="1" s="1"/>
  <c r="W44" i="1" s="1"/>
  <c r="X44" i="1" s="1"/>
  <c r="Y44" i="1" s="1"/>
  <c r="Z44" i="1" s="1"/>
  <c r="M6" i="2"/>
  <c r="M7" i="2" s="1"/>
  <c r="B10" i="2" s="1"/>
  <c r="F50" i="1" s="1"/>
  <c r="Q33" i="1" l="1"/>
  <c r="J36" i="1"/>
  <c r="J39" i="1" s="1"/>
  <c r="J41" i="1" s="1"/>
  <c r="J42" i="1" s="1"/>
  <c r="K21" i="1"/>
  <c r="K26" i="1"/>
  <c r="K34" i="1" s="1"/>
  <c r="M17" i="1"/>
  <c r="L18" i="1"/>
  <c r="L19" i="1" s="1"/>
  <c r="AA44" i="1"/>
  <c r="AB44" i="1" s="1"/>
  <c r="AC44" i="1" s="1"/>
  <c r="AD44" i="1" s="1"/>
  <c r="AE44" i="1" s="1"/>
  <c r="AF44" i="1" s="1"/>
  <c r="AG44" i="1" s="1"/>
  <c r="AH44" i="1" s="1"/>
  <c r="AI44" i="1" s="1"/>
  <c r="D10" i="2"/>
  <c r="F43" i="1" s="1"/>
  <c r="F45" i="1" s="1"/>
  <c r="F46" i="1" s="1"/>
  <c r="P7" i="1" s="1"/>
  <c r="N6" i="2"/>
  <c r="N7" i="2" s="1"/>
  <c r="R33" i="1" l="1"/>
  <c r="L21" i="1"/>
  <c r="L26" i="1"/>
  <c r="L34" i="1" s="1"/>
  <c r="N17" i="1"/>
  <c r="M18" i="1"/>
  <c r="M19" i="1" s="1"/>
  <c r="K36" i="1"/>
  <c r="K39" i="1" s="1"/>
  <c r="K41" i="1" s="1"/>
  <c r="K42" i="1" s="1"/>
  <c r="O6" i="2"/>
  <c r="O7" i="2" s="1"/>
  <c r="S33" i="1" l="1"/>
  <c r="M21" i="1"/>
  <c r="M26" i="1"/>
  <c r="M34" i="1" s="1"/>
  <c r="O17" i="1"/>
  <c r="N18" i="1"/>
  <c r="N19" i="1" s="1"/>
  <c r="L36" i="1"/>
  <c r="L39" i="1" s="1"/>
  <c r="L41" i="1" s="1"/>
  <c r="L42" i="1" s="1"/>
  <c r="P6" i="2"/>
  <c r="P7" i="2" s="1"/>
  <c r="T33" i="1" l="1"/>
  <c r="N26" i="1"/>
  <c r="N34" i="1" s="1"/>
  <c r="N21" i="1"/>
  <c r="P17" i="1"/>
  <c r="O18" i="1"/>
  <c r="O19" i="1" s="1"/>
  <c r="M36" i="1"/>
  <c r="M39" i="1" s="1"/>
  <c r="M41" i="1" s="1"/>
  <c r="M42" i="1" s="1"/>
  <c r="Q6" i="2"/>
  <c r="Q7" i="2" s="1"/>
  <c r="U33" i="1" l="1"/>
  <c r="N36" i="1"/>
  <c r="N39" i="1" s="1"/>
  <c r="N41" i="1" s="1"/>
  <c r="N42" i="1" s="1"/>
  <c r="O21" i="1"/>
  <c r="O26" i="1"/>
  <c r="O34" i="1" s="1"/>
  <c r="Q17" i="1"/>
  <c r="P18" i="1"/>
  <c r="P19" i="1" s="1"/>
  <c r="R6" i="2"/>
  <c r="R7" i="2" s="1"/>
  <c r="V33" i="1" l="1"/>
  <c r="P26" i="1"/>
  <c r="P34" i="1" s="1"/>
  <c r="P21" i="1"/>
  <c r="R17" i="1"/>
  <c r="Q18" i="1"/>
  <c r="Q19" i="1" s="1"/>
  <c r="O36" i="1"/>
  <c r="O39" i="1" s="1"/>
  <c r="O41" i="1" s="1"/>
  <c r="O42" i="1" s="1"/>
  <c r="S6" i="2"/>
  <c r="S7" i="2" s="1"/>
  <c r="W33" i="1" l="1"/>
  <c r="S17" i="1"/>
  <c r="R18" i="1"/>
  <c r="R19" i="1" s="1"/>
  <c r="P36" i="1"/>
  <c r="P39" i="1" s="1"/>
  <c r="P41" i="1" s="1"/>
  <c r="P42" i="1" s="1"/>
  <c r="Q26" i="1"/>
  <c r="Q34" i="1" s="1"/>
  <c r="Q21" i="1"/>
  <c r="T6" i="2"/>
  <c r="T7" i="2" s="1"/>
  <c r="X33" i="1" l="1"/>
  <c r="Q36" i="1"/>
  <c r="Q39" i="1" s="1"/>
  <c r="Q41" i="1" s="1"/>
  <c r="Q42" i="1" s="1"/>
  <c r="R21" i="1"/>
  <c r="R26" i="1"/>
  <c r="R34" i="1" s="1"/>
  <c r="S18" i="1"/>
  <c r="S19" i="1" s="1"/>
  <c r="T17" i="1"/>
  <c r="U6" i="2"/>
  <c r="U7" i="2" s="1"/>
  <c r="Y33" i="1" l="1"/>
  <c r="U17" i="1"/>
  <c r="T18" i="1"/>
  <c r="T19" i="1" s="1"/>
  <c r="S21" i="1"/>
  <c r="S26" i="1"/>
  <c r="S34" i="1" s="1"/>
  <c r="R36" i="1"/>
  <c r="R39" i="1" s="1"/>
  <c r="R41" i="1" s="1"/>
  <c r="R42" i="1" s="1"/>
  <c r="V6" i="2"/>
  <c r="V7" i="2" s="1"/>
  <c r="Z33" i="1" l="1"/>
  <c r="S36" i="1"/>
  <c r="S39" i="1" s="1"/>
  <c r="S41" i="1" s="1"/>
  <c r="S42" i="1" s="1"/>
  <c r="T21" i="1"/>
  <c r="T26" i="1"/>
  <c r="T34" i="1" s="1"/>
  <c r="V17" i="1"/>
  <c r="U18" i="1"/>
  <c r="U19" i="1" s="1"/>
  <c r="W6" i="2"/>
  <c r="W7" i="2" s="1"/>
  <c r="AA33" i="1" l="1"/>
  <c r="U21" i="1"/>
  <c r="U26" i="1"/>
  <c r="U34" i="1" s="1"/>
  <c r="W17" i="1"/>
  <c r="V18" i="1"/>
  <c r="V19" i="1" s="1"/>
  <c r="T36" i="1"/>
  <c r="T39" i="1" s="1"/>
  <c r="T41" i="1" s="1"/>
  <c r="T42" i="1" s="1"/>
  <c r="X6" i="2"/>
  <c r="X7" i="2" s="1"/>
  <c r="AB33" i="1" l="1"/>
  <c r="V21" i="1"/>
  <c r="V26" i="1"/>
  <c r="V34" i="1" s="1"/>
  <c r="X17" i="1"/>
  <c r="W18" i="1"/>
  <c r="W19" i="1" s="1"/>
  <c r="U36" i="1"/>
  <c r="U39" i="1" s="1"/>
  <c r="U41" i="1" s="1"/>
  <c r="U42" i="1" s="1"/>
  <c r="Y6" i="2"/>
  <c r="Y7" i="2" s="1"/>
  <c r="B11" i="2" s="1"/>
  <c r="G50" i="1" s="1"/>
  <c r="AC33" i="1" l="1"/>
  <c r="V36" i="1"/>
  <c r="V39" i="1" s="1"/>
  <c r="V41" i="1" s="1"/>
  <c r="V42" i="1" s="1"/>
  <c r="W26" i="1"/>
  <c r="W34" i="1" s="1"/>
  <c r="W21" i="1"/>
  <c r="Y17" i="1"/>
  <c r="X18" i="1"/>
  <c r="X19" i="1" s="1"/>
  <c r="D11" i="2"/>
  <c r="G43" i="1" s="1"/>
  <c r="G45" i="1" s="1"/>
  <c r="G46" i="1" s="1"/>
  <c r="Z6" i="2"/>
  <c r="Z7" i="2" s="1"/>
  <c r="AD33" i="1" l="1"/>
  <c r="W36" i="1"/>
  <c r="W39" i="1" s="1"/>
  <c r="W41" i="1" s="1"/>
  <c r="W42" i="1" s="1"/>
  <c r="X21" i="1"/>
  <c r="X26" i="1"/>
  <c r="X34" i="1" s="1"/>
  <c r="Z17" i="1"/>
  <c r="Y18" i="1"/>
  <c r="Y19" i="1" s="1"/>
  <c r="AA6" i="2"/>
  <c r="AA7" i="2" s="1"/>
  <c r="AE33" i="1" l="1"/>
  <c r="Y26" i="1"/>
  <c r="Y34" i="1" s="1"/>
  <c r="Y21" i="1"/>
  <c r="AA17" i="1"/>
  <c r="Z18" i="1"/>
  <c r="Z19" i="1" s="1"/>
  <c r="X36" i="1"/>
  <c r="X39" i="1" s="1"/>
  <c r="X41" i="1" s="1"/>
  <c r="X42" i="1" s="1"/>
  <c r="AB6" i="2"/>
  <c r="AB7" i="2" s="1"/>
  <c r="AF33" i="1" l="1"/>
  <c r="Y36" i="1"/>
  <c r="Y39" i="1" s="1"/>
  <c r="Y41" i="1" s="1"/>
  <c r="Y42" i="1" s="1"/>
  <c r="Z21" i="1"/>
  <c r="Z26" i="1"/>
  <c r="Z34" i="1" s="1"/>
  <c r="AB17" i="1"/>
  <c r="AA18" i="1"/>
  <c r="AA19" i="1" s="1"/>
  <c r="AC6" i="2"/>
  <c r="AC7" i="2" s="1"/>
  <c r="AG33" i="1" l="1"/>
  <c r="AA21" i="1"/>
  <c r="AA26" i="1"/>
  <c r="AA34" i="1" s="1"/>
  <c r="AC17" i="1"/>
  <c r="AB18" i="1"/>
  <c r="AB19" i="1" s="1"/>
  <c r="Z36" i="1"/>
  <c r="Z39" i="1" s="1"/>
  <c r="Z41" i="1" s="1"/>
  <c r="Z42" i="1" s="1"/>
  <c r="AD6" i="2"/>
  <c r="AD7" i="2" s="1"/>
  <c r="AH33" i="1" l="1"/>
  <c r="AB21" i="1"/>
  <c r="AB26" i="1"/>
  <c r="AB34" i="1" s="1"/>
  <c r="AD17" i="1"/>
  <c r="AC18" i="1"/>
  <c r="AC19" i="1" s="1"/>
  <c r="AA36" i="1"/>
  <c r="AA39" i="1" s="1"/>
  <c r="AA41" i="1" s="1"/>
  <c r="AA42" i="1" s="1"/>
  <c r="AE6" i="2"/>
  <c r="AE7" i="2" s="1"/>
  <c r="AI33" i="1" l="1"/>
  <c r="AC26" i="1"/>
  <c r="AC34" i="1" s="1"/>
  <c r="AC21" i="1"/>
  <c r="AE17" i="1"/>
  <c r="AD18" i="1"/>
  <c r="AD19" i="1" s="1"/>
  <c r="AB36" i="1"/>
  <c r="AB39" i="1" s="1"/>
  <c r="AB41" i="1" s="1"/>
  <c r="AB42" i="1" s="1"/>
  <c r="AF6" i="2"/>
  <c r="AF7" i="2" s="1"/>
  <c r="AC36" i="1" l="1"/>
  <c r="AC39" i="1" s="1"/>
  <c r="AC41" i="1" s="1"/>
  <c r="AC42" i="1" s="1"/>
  <c r="AD21" i="1"/>
  <c r="AD26" i="1"/>
  <c r="AD34" i="1" s="1"/>
  <c r="AF17" i="1"/>
  <c r="AE18" i="1"/>
  <c r="AE19" i="1" s="1"/>
  <c r="AG6" i="2"/>
  <c r="AG7" i="2" s="1"/>
  <c r="AE21" i="1" l="1"/>
  <c r="AE26" i="1"/>
  <c r="AE34" i="1" s="1"/>
  <c r="AG17" i="1"/>
  <c r="AF18" i="1"/>
  <c r="AF19" i="1" s="1"/>
  <c r="AD36" i="1"/>
  <c r="AD39" i="1" s="1"/>
  <c r="AD41" i="1" s="1"/>
  <c r="AD42" i="1" s="1"/>
  <c r="AH6" i="2"/>
  <c r="AH7" i="2" s="1"/>
  <c r="AF26" i="1" l="1"/>
  <c r="AF34" i="1" s="1"/>
  <c r="AF21" i="1"/>
  <c r="AH17" i="1"/>
  <c r="AG18" i="1"/>
  <c r="AG19" i="1" s="1"/>
  <c r="AE36" i="1"/>
  <c r="AE39" i="1" s="1"/>
  <c r="AE41" i="1" s="1"/>
  <c r="AE42" i="1" s="1"/>
  <c r="AI6" i="2"/>
  <c r="AI7" i="2" s="1"/>
  <c r="AF36" i="1" l="1"/>
  <c r="AF39" i="1" s="1"/>
  <c r="AF41" i="1" s="1"/>
  <c r="AF42" i="1" s="1"/>
  <c r="AG21" i="1"/>
  <c r="AG26" i="1"/>
  <c r="AG34" i="1" s="1"/>
  <c r="AI17" i="1"/>
  <c r="AI18" i="1" s="1"/>
  <c r="AI19" i="1" s="1"/>
  <c r="AI21" i="1" s="1"/>
  <c r="AH18" i="1"/>
  <c r="AH19" i="1" s="1"/>
  <c r="AJ6" i="2"/>
  <c r="AJ7" i="2" s="1"/>
  <c r="AI26" i="1" l="1"/>
  <c r="AH26" i="1"/>
  <c r="AH34" i="1" s="1"/>
  <c r="AH21" i="1"/>
  <c r="AG36" i="1"/>
  <c r="AG39" i="1" s="1"/>
  <c r="AG41" i="1" s="1"/>
  <c r="AG42" i="1" s="1"/>
  <c r="AK6" i="2"/>
  <c r="AK7" i="2" s="1"/>
  <c r="B12" i="2" s="1"/>
  <c r="AI34" i="1" l="1"/>
  <c r="AI36" i="1" s="1"/>
  <c r="AI39" i="1" s="1"/>
  <c r="AI41" i="1" s="1"/>
  <c r="AI42" i="1" s="1"/>
  <c r="I50" i="1"/>
  <c r="H50" i="1"/>
  <c r="AH36" i="1"/>
  <c r="AH39" i="1" s="1"/>
  <c r="AH41" i="1" s="1"/>
  <c r="AH42" i="1" s="1"/>
  <c r="D12" i="2"/>
  <c r="H43" i="1" s="1"/>
  <c r="H45" i="1" s="1"/>
  <c r="H46" i="1" s="1"/>
  <c r="AL6" i="2"/>
  <c r="AL7" i="2" s="1"/>
  <c r="AM6" i="2" l="1"/>
  <c r="AM7" i="2" s="1"/>
  <c r="AN6" i="2" l="1"/>
  <c r="AN7" i="2" s="1"/>
  <c r="AO6" i="2" l="1"/>
  <c r="AO7" i="2" s="1"/>
  <c r="AP6" i="2" l="1"/>
  <c r="AP7" i="2" s="1"/>
  <c r="AQ6" i="2" l="1"/>
  <c r="AQ7" i="2" s="1"/>
  <c r="AR6" i="2" l="1"/>
  <c r="AR7" i="2" s="1"/>
  <c r="AS6" i="2" l="1"/>
  <c r="AS7" i="2" s="1"/>
  <c r="AT6" i="2" l="1"/>
  <c r="AT7" i="2" s="1"/>
  <c r="AU6" i="2" l="1"/>
  <c r="AU7" i="2" s="1"/>
  <c r="AV6" i="2" l="1"/>
  <c r="AV7" i="2" s="1"/>
  <c r="AW6" i="2" l="1"/>
  <c r="AW7" i="2" s="1"/>
  <c r="B13" i="2" s="1"/>
  <c r="J50" i="1" s="1"/>
  <c r="D13" i="2" l="1"/>
  <c r="I43" i="1" s="1"/>
  <c r="I45" i="1" s="1"/>
  <c r="I46" i="1" s="1"/>
  <c r="AX6" i="2"/>
  <c r="AX7" i="2" s="1"/>
  <c r="AY6" i="2" l="1"/>
  <c r="AY7" i="2" s="1"/>
  <c r="AZ6" i="2" l="1"/>
  <c r="AZ7" i="2" s="1"/>
  <c r="BA6" i="2" l="1"/>
  <c r="BA7" i="2" s="1"/>
  <c r="BB6" i="2" l="1"/>
  <c r="BB7" i="2" s="1"/>
  <c r="BC6" i="2" l="1"/>
  <c r="BC7" i="2" s="1"/>
  <c r="BD6" i="2" l="1"/>
  <c r="BD7" i="2" s="1"/>
  <c r="BE6" i="2" l="1"/>
  <c r="BE7" i="2" s="1"/>
  <c r="BF6" i="2" l="1"/>
  <c r="BF7" i="2" s="1"/>
  <c r="BG6" i="2" l="1"/>
  <c r="BG7" i="2" s="1"/>
  <c r="BH6" i="2" l="1"/>
  <c r="BH7" i="2" s="1"/>
  <c r="BI6" i="2" l="1"/>
  <c r="BI7" i="2" s="1"/>
  <c r="B14" i="2" s="1"/>
  <c r="D14" i="2" l="1"/>
  <c r="J43" i="1" s="1"/>
  <c r="J45" i="1" s="1"/>
  <c r="J46" i="1" s="1"/>
  <c r="BJ6" i="2"/>
  <c r="BJ7" i="2" s="1"/>
  <c r="BK6" i="2" l="1"/>
  <c r="BK7" i="2" s="1"/>
  <c r="BL6" i="2" l="1"/>
  <c r="BL7" i="2" s="1"/>
  <c r="BM6" i="2" l="1"/>
  <c r="BM7" i="2" s="1"/>
  <c r="BN6" i="2" l="1"/>
  <c r="BN7" i="2" s="1"/>
  <c r="BO6" i="2" l="1"/>
  <c r="BO7" i="2" s="1"/>
  <c r="BP6" i="2" l="1"/>
  <c r="BP7" i="2" s="1"/>
  <c r="BQ6" i="2" l="1"/>
  <c r="BQ7" i="2" s="1"/>
  <c r="BR6" i="2" l="1"/>
  <c r="BR7" i="2" s="1"/>
  <c r="BS6" i="2" l="1"/>
  <c r="BS7" i="2" s="1"/>
  <c r="BT6" i="2" l="1"/>
  <c r="BT7" i="2" s="1"/>
  <c r="BU6" i="2" l="1"/>
  <c r="BU7" i="2" s="1"/>
  <c r="B15" i="2" s="1"/>
  <c r="K50" i="1" s="1"/>
  <c r="D15" i="2" l="1"/>
  <c r="K43" i="1" s="1"/>
  <c r="K45" i="1" s="1"/>
  <c r="K46" i="1" s="1"/>
  <c r="BV6" i="2"/>
  <c r="BV7" i="2" s="1"/>
  <c r="BW6" i="2" l="1"/>
  <c r="BW7" i="2" s="1"/>
  <c r="BX6" i="2" l="1"/>
  <c r="BX7" i="2" s="1"/>
  <c r="BY6" i="2" l="1"/>
  <c r="BY7" i="2" s="1"/>
  <c r="BZ6" i="2" l="1"/>
  <c r="BZ7" i="2" s="1"/>
  <c r="CA6" i="2" l="1"/>
  <c r="CA7" i="2" s="1"/>
  <c r="CB6" i="2" l="1"/>
  <c r="CB7" i="2" s="1"/>
  <c r="CC6" i="2" l="1"/>
  <c r="CC7" i="2" s="1"/>
  <c r="CD6" i="2" l="1"/>
  <c r="CD7" i="2" s="1"/>
  <c r="CE6" i="2" l="1"/>
  <c r="CE7" i="2" s="1"/>
  <c r="CF6" i="2" l="1"/>
  <c r="CF7" i="2" s="1"/>
  <c r="CG6" i="2" l="1"/>
  <c r="CG7" i="2" s="1"/>
  <c r="B16" i="2" s="1"/>
  <c r="L50" i="1" s="1"/>
  <c r="D16" i="2" l="1"/>
  <c r="L43" i="1" s="1"/>
  <c r="L45" i="1" s="1"/>
  <c r="L46" i="1" s="1"/>
  <c r="CH6" i="2"/>
  <c r="CH7" i="2" s="1"/>
  <c r="CI6" i="2" l="1"/>
  <c r="CI7" i="2" s="1"/>
  <c r="CJ6" i="2" l="1"/>
  <c r="CJ7" i="2" s="1"/>
  <c r="CK6" i="2" l="1"/>
  <c r="CK7" i="2" s="1"/>
  <c r="CL6" i="2" l="1"/>
  <c r="CL7" i="2" s="1"/>
  <c r="CM6" i="2" l="1"/>
  <c r="CM7" i="2" s="1"/>
  <c r="CN6" i="2" l="1"/>
  <c r="CN7" i="2" s="1"/>
  <c r="CO6" i="2" l="1"/>
  <c r="CO7" i="2" s="1"/>
  <c r="CP6" i="2" l="1"/>
  <c r="CP7" i="2" s="1"/>
  <c r="CQ6" i="2" l="1"/>
  <c r="CQ7" i="2" s="1"/>
  <c r="CR6" i="2" l="1"/>
  <c r="CR7" i="2" s="1"/>
  <c r="CS6" i="2" l="1"/>
  <c r="CS7" i="2" s="1"/>
  <c r="B17" i="2" s="1"/>
  <c r="N50" i="1" l="1"/>
  <c r="M50" i="1"/>
  <c r="D17" i="2"/>
  <c r="M43" i="1" s="1"/>
  <c r="M45" i="1" s="1"/>
  <c r="M46" i="1" s="1"/>
  <c r="CT6" i="2"/>
  <c r="CT7" i="2" s="1"/>
  <c r="CU6" i="2" l="1"/>
  <c r="CU7" i="2" s="1"/>
  <c r="CV6" i="2" l="1"/>
  <c r="CV7" i="2" s="1"/>
  <c r="CW6" i="2" l="1"/>
  <c r="CW7" i="2" s="1"/>
  <c r="CX6" i="2" l="1"/>
  <c r="CX7" i="2" s="1"/>
  <c r="CY6" i="2" l="1"/>
  <c r="CY7" i="2" s="1"/>
  <c r="CZ6" i="2" l="1"/>
  <c r="CZ7" i="2" s="1"/>
  <c r="DA6" i="2" l="1"/>
  <c r="DA7" i="2" s="1"/>
  <c r="DB6" i="2" l="1"/>
  <c r="DB7" i="2" s="1"/>
  <c r="DC6" i="2" l="1"/>
  <c r="DC7" i="2" s="1"/>
  <c r="DD6" i="2" l="1"/>
  <c r="DD7" i="2" s="1"/>
  <c r="DE6" i="2" l="1"/>
  <c r="DE7" i="2" s="1"/>
  <c r="B18" i="2" s="1"/>
  <c r="D18" i="2" l="1"/>
  <c r="N43" i="1" s="1"/>
  <c r="N45" i="1" s="1"/>
  <c r="N46" i="1" s="1"/>
  <c r="DF6" i="2"/>
  <c r="DF7" i="2" s="1"/>
  <c r="DG6" i="2" l="1"/>
  <c r="DG7" i="2" s="1"/>
  <c r="DH6" i="2" l="1"/>
  <c r="DH7" i="2" s="1"/>
  <c r="DI6" i="2" l="1"/>
  <c r="DI7" i="2" s="1"/>
  <c r="DJ6" i="2" l="1"/>
  <c r="DJ7" i="2" s="1"/>
  <c r="DK6" i="2" l="1"/>
  <c r="DK7" i="2" s="1"/>
  <c r="DL6" i="2" l="1"/>
  <c r="DL7" i="2" s="1"/>
  <c r="DM6" i="2" l="1"/>
  <c r="DM7" i="2" s="1"/>
  <c r="DN6" i="2" l="1"/>
  <c r="DN7" i="2" s="1"/>
  <c r="DO6" i="2" l="1"/>
  <c r="DO7" i="2" s="1"/>
  <c r="DP6" i="2" l="1"/>
  <c r="DP7" i="2" s="1"/>
  <c r="DQ6" i="2" l="1"/>
  <c r="DQ7" i="2" s="1"/>
  <c r="B19" i="2" s="1"/>
  <c r="O50" i="1" s="1"/>
  <c r="D19" i="2" l="1"/>
  <c r="O43" i="1" s="1"/>
  <c r="O45" i="1" s="1"/>
  <c r="O46" i="1" s="1"/>
  <c r="DR6" i="2"/>
  <c r="DR7" i="2" s="1"/>
  <c r="DS6" i="2" l="1"/>
  <c r="DS7" i="2" s="1"/>
  <c r="DT6" i="2" l="1"/>
  <c r="DT7" i="2" s="1"/>
  <c r="DU6" i="2" l="1"/>
  <c r="DU7" i="2" s="1"/>
  <c r="DV6" i="2" l="1"/>
  <c r="DV7" i="2" s="1"/>
  <c r="DW6" i="2" l="1"/>
  <c r="DW7" i="2" s="1"/>
  <c r="DX6" i="2" l="1"/>
  <c r="DX7" i="2" s="1"/>
  <c r="DY6" i="2" l="1"/>
  <c r="DY7" i="2" s="1"/>
  <c r="DZ6" i="2" l="1"/>
  <c r="DZ7" i="2" s="1"/>
  <c r="EA6" i="2" l="1"/>
  <c r="EA7" i="2" s="1"/>
  <c r="EB6" i="2" l="1"/>
  <c r="EB7" i="2" s="1"/>
  <c r="EC6" i="2" l="1"/>
  <c r="EC7" i="2" s="1"/>
  <c r="B20" i="2" s="1"/>
  <c r="P50" i="1" s="1"/>
  <c r="D20" i="2" l="1"/>
  <c r="P43" i="1" s="1"/>
  <c r="P45" i="1" s="1"/>
  <c r="P46" i="1" s="1"/>
  <c r="ED6" i="2"/>
  <c r="ED7" i="2" s="1"/>
  <c r="EE6" i="2" l="1"/>
  <c r="EE7" i="2" s="1"/>
  <c r="EF6" i="2" l="1"/>
  <c r="EF7" i="2" s="1"/>
  <c r="EG6" i="2" l="1"/>
  <c r="EG7" i="2" s="1"/>
  <c r="EH6" i="2" l="1"/>
  <c r="EH7" i="2" s="1"/>
  <c r="EI6" i="2" l="1"/>
  <c r="EI7" i="2" s="1"/>
  <c r="EJ6" i="2" l="1"/>
  <c r="EJ7" i="2" s="1"/>
  <c r="EK6" i="2" l="1"/>
  <c r="EK7" i="2" s="1"/>
  <c r="EL6" i="2" l="1"/>
  <c r="EL7" i="2" s="1"/>
  <c r="EM6" i="2" l="1"/>
  <c r="EM7" i="2" s="1"/>
  <c r="EN6" i="2" l="1"/>
  <c r="EN7" i="2" s="1"/>
  <c r="EO6" i="2" l="1"/>
  <c r="EO7" i="2" s="1"/>
  <c r="B21" i="2" s="1"/>
  <c r="Q50" i="1" s="1"/>
  <c r="D21" i="2" l="1"/>
  <c r="Q43" i="1" s="1"/>
  <c r="Q45" i="1" s="1"/>
  <c r="Q46" i="1" s="1"/>
  <c r="EP6" i="2"/>
  <c r="EP7" i="2" s="1"/>
  <c r="EQ6" i="2" l="1"/>
  <c r="EQ7" i="2" s="1"/>
  <c r="ER6" i="2" l="1"/>
  <c r="ER7" i="2" s="1"/>
  <c r="ES6" i="2" l="1"/>
  <c r="ES7" i="2" s="1"/>
  <c r="ET6" i="2" l="1"/>
  <c r="ET7" i="2" s="1"/>
  <c r="EU6" i="2" l="1"/>
  <c r="EU7" i="2" s="1"/>
  <c r="EV6" i="2" l="1"/>
  <c r="EV7" i="2" s="1"/>
  <c r="EW6" i="2" l="1"/>
  <c r="EW7" i="2" s="1"/>
  <c r="EX6" i="2" l="1"/>
  <c r="EX7" i="2" s="1"/>
  <c r="EY6" i="2" l="1"/>
  <c r="EY7" i="2" s="1"/>
  <c r="EZ6" i="2" l="1"/>
  <c r="EZ7" i="2" s="1"/>
  <c r="FA6" i="2" l="1"/>
  <c r="FA7" i="2" s="1"/>
  <c r="B22" i="2" s="1"/>
  <c r="R50" i="1" s="1"/>
  <c r="D22" i="2" l="1"/>
  <c r="R43" i="1" s="1"/>
  <c r="R45" i="1" s="1"/>
  <c r="R46" i="1" s="1"/>
  <c r="FB6" i="2"/>
  <c r="FB7" i="2" s="1"/>
  <c r="FC6" i="2" l="1"/>
  <c r="FC7" i="2" s="1"/>
  <c r="FD6" i="2" l="1"/>
  <c r="FD7" i="2" s="1"/>
  <c r="FE6" i="2" l="1"/>
  <c r="FE7" i="2" s="1"/>
  <c r="FF6" i="2" l="1"/>
  <c r="FF7" i="2" s="1"/>
  <c r="FG6" i="2" l="1"/>
  <c r="FG7" i="2" s="1"/>
  <c r="FH6" i="2" l="1"/>
  <c r="FH7" i="2" s="1"/>
  <c r="FI6" i="2" l="1"/>
  <c r="FI7" i="2" s="1"/>
  <c r="FJ6" i="2" l="1"/>
  <c r="FJ7" i="2" s="1"/>
  <c r="FK6" i="2" l="1"/>
  <c r="FK7" i="2" s="1"/>
  <c r="FL6" i="2" l="1"/>
  <c r="FL7" i="2" s="1"/>
  <c r="FM6" i="2" l="1"/>
  <c r="FM7" i="2" s="1"/>
  <c r="B23" i="2" s="1"/>
  <c r="S50" i="1" s="1"/>
  <c r="D23" i="2" l="1"/>
  <c r="S43" i="1" s="1"/>
  <c r="S45" i="1" s="1"/>
  <c r="S46" i="1" s="1"/>
  <c r="FN6" i="2"/>
  <c r="FN7" i="2" s="1"/>
  <c r="FO6" i="2" l="1"/>
  <c r="FO7" i="2" s="1"/>
  <c r="FP6" i="2" l="1"/>
  <c r="FP7" i="2" s="1"/>
  <c r="FQ6" i="2" l="1"/>
  <c r="FQ7" i="2" s="1"/>
  <c r="FR6" i="2" l="1"/>
  <c r="FR7" i="2" s="1"/>
  <c r="FS6" i="2" l="1"/>
  <c r="FS7" i="2" s="1"/>
  <c r="FT6" i="2" l="1"/>
  <c r="FT7" i="2" s="1"/>
  <c r="FU6" i="2" l="1"/>
  <c r="FU7" i="2" s="1"/>
  <c r="FV6" i="2" l="1"/>
  <c r="FV7" i="2" s="1"/>
  <c r="FW6" i="2" l="1"/>
  <c r="FW7" i="2" s="1"/>
  <c r="FX6" i="2" l="1"/>
  <c r="FX7" i="2" s="1"/>
  <c r="FY6" i="2" l="1"/>
  <c r="FY7" i="2" s="1"/>
  <c r="B24" i="2" s="1"/>
  <c r="T50" i="1" s="1"/>
  <c r="D24" i="2" l="1"/>
  <c r="T43" i="1" s="1"/>
  <c r="T45" i="1" s="1"/>
  <c r="T46" i="1" s="1"/>
  <c r="FZ6" i="2"/>
  <c r="FZ7" i="2" s="1"/>
  <c r="GA6" i="2" l="1"/>
  <c r="GA7" i="2" s="1"/>
  <c r="GB6" i="2" l="1"/>
  <c r="GB7" i="2" s="1"/>
  <c r="GC6" i="2" l="1"/>
  <c r="GC7" i="2" s="1"/>
  <c r="GD6" i="2" l="1"/>
  <c r="GD7" i="2" s="1"/>
  <c r="GE6" i="2" l="1"/>
  <c r="GE7" i="2" s="1"/>
  <c r="GF6" i="2" l="1"/>
  <c r="GF7" i="2" s="1"/>
  <c r="GG6" i="2" l="1"/>
  <c r="GG7" i="2" s="1"/>
  <c r="GH6" i="2" l="1"/>
  <c r="GH7" i="2" s="1"/>
  <c r="GI6" i="2" l="1"/>
  <c r="GI7" i="2" s="1"/>
  <c r="GJ6" i="2" l="1"/>
  <c r="GJ7" i="2" s="1"/>
  <c r="GK6" i="2" l="1"/>
  <c r="GK7" i="2" s="1"/>
  <c r="B25" i="2" s="1"/>
  <c r="U50" i="1" s="1"/>
  <c r="D25" i="2" l="1"/>
  <c r="U43" i="1" s="1"/>
  <c r="U45" i="1" s="1"/>
  <c r="U46" i="1" s="1"/>
  <c r="GL6" i="2"/>
  <c r="GL7" i="2" s="1"/>
  <c r="GM6" i="2" l="1"/>
  <c r="GM7" i="2" s="1"/>
  <c r="GN6" i="2" l="1"/>
  <c r="GN7" i="2" s="1"/>
  <c r="GO6" i="2" l="1"/>
  <c r="GO7" i="2" s="1"/>
  <c r="GP6" i="2" l="1"/>
  <c r="GP7" i="2" s="1"/>
  <c r="GQ6" i="2" l="1"/>
  <c r="GQ7" i="2" s="1"/>
  <c r="GR6" i="2" l="1"/>
  <c r="GR7" i="2" s="1"/>
  <c r="GS6" i="2" l="1"/>
  <c r="GS7" i="2" s="1"/>
  <c r="GT6" i="2" l="1"/>
  <c r="GT7" i="2" s="1"/>
  <c r="GU6" i="2" l="1"/>
  <c r="GU7" i="2" s="1"/>
  <c r="GV6" i="2" l="1"/>
  <c r="GV7" i="2" s="1"/>
  <c r="GW6" i="2" l="1"/>
  <c r="GW7" i="2" s="1"/>
  <c r="B26" i="2" s="1"/>
  <c r="V50" i="1" s="1"/>
  <c r="D26" i="2" l="1"/>
  <c r="V43" i="1" s="1"/>
  <c r="V45" i="1" s="1"/>
  <c r="V46" i="1" s="1"/>
  <c r="GX6" i="2"/>
  <c r="GX7" i="2" s="1"/>
  <c r="GY6" i="2" l="1"/>
  <c r="GY7" i="2" s="1"/>
  <c r="GZ6" i="2" l="1"/>
  <c r="GZ7" i="2" s="1"/>
  <c r="HA6" i="2" l="1"/>
  <c r="HA7" i="2" s="1"/>
  <c r="HB6" i="2" l="1"/>
  <c r="HB7" i="2" s="1"/>
  <c r="HC6" i="2" l="1"/>
  <c r="HC7" i="2" s="1"/>
  <c r="HD6" i="2" l="1"/>
  <c r="HD7" i="2" s="1"/>
  <c r="HE6" i="2" l="1"/>
  <c r="HE7" i="2" s="1"/>
  <c r="HF6" i="2" l="1"/>
  <c r="HF7" i="2" s="1"/>
  <c r="HG6" i="2" l="1"/>
  <c r="HG7" i="2" s="1"/>
  <c r="HH6" i="2" l="1"/>
  <c r="HH7" i="2" s="1"/>
  <c r="HI6" i="2" l="1"/>
  <c r="HI7" i="2" s="1"/>
  <c r="B27" i="2" s="1"/>
  <c r="W50" i="1" s="1"/>
  <c r="D27" i="2" l="1"/>
  <c r="W43" i="1" s="1"/>
  <c r="W45" i="1" s="1"/>
  <c r="W46" i="1" s="1"/>
  <c r="HJ6" i="2"/>
  <c r="HJ7" i="2" s="1"/>
  <c r="HK6" i="2" l="1"/>
  <c r="HK7" i="2" s="1"/>
  <c r="HL6" i="2" l="1"/>
  <c r="HL7" i="2" s="1"/>
  <c r="HM6" i="2" l="1"/>
  <c r="HM7" i="2" s="1"/>
  <c r="HN6" i="2" l="1"/>
  <c r="HN7" i="2" s="1"/>
  <c r="HO6" i="2" l="1"/>
  <c r="HO7" i="2" s="1"/>
  <c r="HP6" i="2" l="1"/>
  <c r="HP7" i="2" s="1"/>
  <c r="HQ6" i="2" l="1"/>
  <c r="HQ7" i="2" s="1"/>
  <c r="HR6" i="2" l="1"/>
  <c r="HR7" i="2" s="1"/>
  <c r="HS6" i="2" l="1"/>
  <c r="HS7" i="2" s="1"/>
  <c r="HT6" i="2" l="1"/>
  <c r="HT7" i="2" s="1"/>
  <c r="HU6" i="2" l="1"/>
  <c r="HU7" i="2" s="1"/>
  <c r="B28" i="2" s="1"/>
  <c r="X50" i="1" s="1"/>
  <c r="D28" i="2" l="1"/>
  <c r="X43" i="1" s="1"/>
  <c r="X45" i="1" s="1"/>
  <c r="X46" i="1" s="1"/>
  <c r="HV6" i="2"/>
  <c r="HV7" i="2" s="1"/>
  <c r="HW6" i="2" l="1"/>
  <c r="HW7" i="2" s="1"/>
  <c r="HX6" i="2" l="1"/>
  <c r="HX7" i="2" s="1"/>
  <c r="HY6" i="2" l="1"/>
  <c r="HY7" i="2" s="1"/>
  <c r="HZ6" i="2" l="1"/>
  <c r="HZ7" i="2" s="1"/>
  <c r="IA6" i="2" l="1"/>
  <c r="IA7" i="2" s="1"/>
  <c r="IB6" i="2" l="1"/>
  <c r="IB7" i="2" s="1"/>
  <c r="IC6" i="2" l="1"/>
  <c r="IC7" i="2" s="1"/>
  <c r="ID6" i="2" l="1"/>
  <c r="ID7" i="2" s="1"/>
  <c r="IE6" i="2" l="1"/>
  <c r="IE7" i="2" s="1"/>
  <c r="IF6" i="2" l="1"/>
  <c r="IF7" i="2" s="1"/>
  <c r="IG6" i="2" l="1"/>
  <c r="IG7" i="2" s="1"/>
  <c r="B29" i="2" s="1"/>
  <c r="Y50" i="1" s="1"/>
  <c r="D29" i="2" l="1"/>
  <c r="Y43" i="1" s="1"/>
  <c r="Y45" i="1" s="1"/>
  <c r="Y46" i="1" s="1"/>
  <c r="IH6" i="2"/>
  <c r="IH7" i="2" s="1"/>
  <c r="II6" i="2" l="1"/>
  <c r="II7" i="2" s="1"/>
  <c r="IJ6" i="2" l="1"/>
  <c r="IJ7" i="2" s="1"/>
  <c r="IK6" i="2" l="1"/>
  <c r="IK7" i="2" s="1"/>
  <c r="IL6" i="2" l="1"/>
  <c r="IL7" i="2" s="1"/>
  <c r="IM6" i="2" l="1"/>
  <c r="IM7" i="2" s="1"/>
  <c r="IN6" i="2" l="1"/>
  <c r="IN7" i="2" s="1"/>
  <c r="IO6" i="2" l="1"/>
  <c r="IO7" i="2" s="1"/>
  <c r="IP6" i="2" l="1"/>
  <c r="IP7" i="2" s="1"/>
  <c r="IQ6" i="2" l="1"/>
  <c r="IQ7" i="2" s="1"/>
  <c r="IR6" i="2" l="1"/>
  <c r="IR7" i="2" s="1"/>
  <c r="IS6" i="2" l="1"/>
  <c r="IS7" i="2" s="1"/>
  <c r="B30" i="2" s="1"/>
  <c r="Z50" i="1" s="1"/>
  <c r="D30" i="2" l="1"/>
  <c r="Z43" i="1" s="1"/>
  <c r="Z45" i="1" s="1"/>
  <c r="Z46" i="1" s="1"/>
  <c r="IT6" i="2"/>
  <c r="IT7" i="2" s="1"/>
  <c r="IU6" i="2" l="1"/>
  <c r="IU7" i="2" s="1"/>
  <c r="IV6" i="2" l="1"/>
  <c r="IV7" i="2" s="1"/>
  <c r="IW6" i="2" l="1"/>
  <c r="IW7" i="2" s="1"/>
  <c r="IX6" i="2" l="1"/>
  <c r="IX7" i="2" s="1"/>
  <c r="IY6" i="2" l="1"/>
  <c r="IY7" i="2" s="1"/>
  <c r="IZ6" i="2" l="1"/>
  <c r="IZ7" i="2" s="1"/>
  <c r="JA6" i="2" l="1"/>
  <c r="JA7" i="2" s="1"/>
  <c r="JB6" i="2" l="1"/>
  <c r="JB7" i="2" s="1"/>
  <c r="JC6" i="2" l="1"/>
  <c r="JC7" i="2" s="1"/>
  <c r="JD6" i="2" l="1"/>
  <c r="JD7" i="2" s="1"/>
  <c r="JE6" i="2" l="1"/>
  <c r="JE7" i="2" s="1"/>
  <c r="B31" i="2" s="1"/>
  <c r="AA50" i="1" s="1"/>
  <c r="D31" i="2" l="1"/>
  <c r="AA43" i="1" s="1"/>
  <c r="AA45" i="1" s="1"/>
  <c r="AA46" i="1" s="1"/>
  <c r="JF6" i="2"/>
  <c r="JF7" i="2" s="1"/>
  <c r="JG6" i="2" l="1"/>
  <c r="JG7" i="2" s="1"/>
  <c r="JH6" i="2" l="1"/>
  <c r="JH7" i="2" s="1"/>
  <c r="JI6" i="2" l="1"/>
  <c r="JI7" i="2" s="1"/>
  <c r="JJ6" i="2" l="1"/>
  <c r="JJ7" i="2" s="1"/>
  <c r="JK6" i="2" l="1"/>
  <c r="JK7" i="2" s="1"/>
  <c r="JL6" i="2" l="1"/>
  <c r="JL7" i="2" s="1"/>
  <c r="JM6" i="2" l="1"/>
  <c r="JM7" i="2" s="1"/>
  <c r="JN6" i="2" l="1"/>
  <c r="JN7" i="2" s="1"/>
  <c r="JO6" i="2" l="1"/>
  <c r="JO7" i="2" s="1"/>
  <c r="JP6" i="2" l="1"/>
  <c r="JP7" i="2" s="1"/>
  <c r="JQ6" i="2" l="1"/>
  <c r="JQ7" i="2" s="1"/>
  <c r="B32" i="2" s="1"/>
  <c r="AB50" i="1" s="1"/>
  <c r="D32" i="2" l="1"/>
  <c r="AB43" i="1" s="1"/>
  <c r="AB45" i="1" s="1"/>
  <c r="AB46" i="1" s="1"/>
  <c r="JR6" i="2"/>
  <c r="JR7" i="2" s="1"/>
  <c r="JS6" i="2" l="1"/>
  <c r="JS7" i="2" s="1"/>
  <c r="JT6" i="2" l="1"/>
  <c r="JT7" i="2" s="1"/>
  <c r="JU6" i="2" l="1"/>
  <c r="JU7" i="2" s="1"/>
  <c r="JV6" i="2" l="1"/>
  <c r="JV7" i="2" s="1"/>
  <c r="JW6" i="2" l="1"/>
  <c r="JW7" i="2" s="1"/>
  <c r="JX6" i="2" l="1"/>
  <c r="JX7" i="2" s="1"/>
  <c r="JY6" i="2" l="1"/>
  <c r="JY7" i="2" s="1"/>
  <c r="JZ6" i="2" l="1"/>
  <c r="JZ7" i="2" s="1"/>
  <c r="KA6" i="2" l="1"/>
  <c r="KA7" i="2" s="1"/>
  <c r="KB6" i="2" l="1"/>
  <c r="KB7" i="2" s="1"/>
  <c r="KC6" i="2" l="1"/>
  <c r="KC7" i="2" s="1"/>
  <c r="B33" i="2" s="1"/>
  <c r="AC50" i="1" s="1"/>
  <c r="D33" i="2" l="1"/>
  <c r="AC43" i="1" s="1"/>
  <c r="AC45" i="1" s="1"/>
  <c r="AC46" i="1" s="1"/>
  <c r="KD6" i="2"/>
  <c r="KD7" i="2" s="1"/>
  <c r="KE6" i="2" l="1"/>
  <c r="KE7" i="2" s="1"/>
  <c r="KF6" i="2" l="1"/>
  <c r="KF7" i="2" s="1"/>
  <c r="KG6" i="2" l="1"/>
  <c r="KG7" i="2" s="1"/>
  <c r="KH6" i="2" l="1"/>
  <c r="KH7" i="2" s="1"/>
  <c r="KI6" i="2" l="1"/>
  <c r="KI7" i="2" s="1"/>
  <c r="KJ6" i="2" l="1"/>
  <c r="KJ7" i="2" s="1"/>
  <c r="KK6" i="2" l="1"/>
  <c r="KK7" i="2" s="1"/>
  <c r="KL6" i="2" l="1"/>
  <c r="KL7" i="2" s="1"/>
  <c r="KM6" i="2" l="1"/>
  <c r="KM7" i="2" s="1"/>
  <c r="KN6" i="2" l="1"/>
  <c r="KN7" i="2" s="1"/>
  <c r="KO6" i="2" l="1"/>
  <c r="KO7" i="2" s="1"/>
  <c r="KP6" i="2" l="1"/>
  <c r="KP7" i="2" s="1"/>
  <c r="B34" i="2" s="1"/>
  <c r="AD50" i="1" s="1"/>
  <c r="D34" i="2" l="1"/>
  <c r="AD43" i="1" s="1"/>
  <c r="AD45" i="1" s="1"/>
  <c r="AD46" i="1" s="1"/>
  <c r="KQ6" i="2"/>
  <c r="KQ7" i="2" s="1"/>
  <c r="KR6" i="2" l="1"/>
  <c r="KR7" i="2" s="1"/>
  <c r="KS6" i="2" l="1"/>
  <c r="KS7" i="2" s="1"/>
  <c r="KT6" i="2" l="1"/>
  <c r="KT7" i="2" s="1"/>
  <c r="KU6" i="2" l="1"/>
  <c r="KU7" i="2" s="1"/>
  <c r="KV6" i="2" l="1"/>
  <c r="KV7" i="2" s="1"/>
  <c r="KW6" i="2" l="1"/>
  <c r="KW7" i="2" s="1"/>
  <c r="KX6" i="2" l="1"/>
  <c r="KX7" i="2" s="1"/>
  <c r="KY6" i="2" l="1"/>
  <c r="KY7" i="2" s="1"/>
  <c r="KZ6" i="2" l="1"/>
  <c r="KZ7" i="2" s="1"/>
  <c r="LA6" i="2" l="1"/>
  <c r="LA7" i="2" s="1"/>
  <c r="B35" i="2" s="1"/>
  <c r="AE50" i="1" s="1"/>
  <c r="D35" i="2" l="1"/>
  <c r="AE43" i="1" s="1"/>
  <c r="AE45" i="1" s="1"/>
  <c r="AE46" i="1" s="1"/>
  <c r="LB6" i="2"/>
  <c r="LB7" i="2" s="1"/>
  <c r="LC6" i="2" l="1"/>
  <c r="LC7" i="2" s="1"/>
  <c r="LD6" i="2" l="1"/>
  <c r="LD7" i="2" s="1"/>
  <c r="LE6" i="2" l="1"/>
  <c r="LE7" i="2" s="1"/>
  <c r="LF6" i="2" l="1"/>
  <c r="LF7" i="2" s="1"/>
  <c r="LG6" i="2" l="1"/>
  <c r="LG7" i="2" s="1"/>
  <c r="LH6" i="2" l="1"/>
  <c r="LH7" i="2" s="1"/>
  <c r="LI6" i="2" l="1"/>
  <c r="LI7" i="2" s="1"/>
  <c r="LJ6" i="2" l="1"/>
  <c r="LJ7" i="2" s="1"/>
  <c r="LK6" i="2" l="1"/>
  <c r="LK7" i="2" s="1"/>
  <c r="LL6" i="2" l="1"/>
  <c r="LL7" i="2" s="1"/>
  <c r="LM6" i="2" l="1"/>
  <c r="LM7" i="2" s="1"/>
  <c r="B36" i="2" s="1"/>
  <c r="AF50" i="1" s="1"/>
  <c r="D36" i="2" l="1"/>
  <c r="AF43" i="1" s="1"/>
  <c r="AF45" i="1" s="1"/>
  <c r="AF46" i="1" s="1"/>
  <c r="LN6" i="2"/>
  <c r="LN7" i="2" s="1"/>
  <c r="LO6" i="2" l="1"/>
  <c r="LO7" i="2" s="1"/>
  <c r="LP6" i="2" l="1"/>
  <c r="LP7" i="2" s="1"/>
  <c r="LQ6" i="2" l="1"/>
  <c r="LQ7" i="2" s="1"/>
  <c r="LR6" i="2" l="1"/>
  <c r="LR7" i="2" s="1"/>
  <c r="LS6" i="2" l="1"/>
  <c r="LS7" i="2" s="1"/>
  <c r="LT6" i="2" l="1"/>
  <c r="LT7" i="2" s="1"/>
  <c r="LU6" i="2" l="1"/>
  <c r="LU7" i="2" s="1"/>
  <c r="LV6" i="2" l="1"/>
  <c r="LV7" i="2" s="1"/>
  <c r="LW6" i="2" l="1"/>
  <c r="LW7" i="2" s="1"/>
  <c r="LX6" i="2" l="1"/>
  <c r="LX7" i="2" s="1"/>
  <c r="LY6" i="2" l="1"/>
  <c r="LY7" i="2" s="1"/>
  <c r="B37" i="2" s="1"/>
  <c r="AG50" i="1" s="1"/>
  <c r="D37" i="2" l="1"/>
  <c r="AG43" i="1" s="1"/>
  <c r="AG45" i="1" s="1"/>
  <c r="AG46" i="1" s="1"/>
  <c r="LZ6" i="2"/>
  <c r="LZ7" i="2" s="1"/>
  <c r="MA6" i="2" l="1"/>
  <c r="MA7" i="2" s="1"/>
  <c r="MB6" i="2" l="1"/>
  <c r="MB7" i="2" s="1"/>
  <c r="MC6" i="2" l="1"/>
  <c r="MC7" i="2" s="1"/>
  <c r="MD6" i="2" l="1"/>
  <c r="MD7" i="2" s="1"/>
  <c r="ME6" i="2" l="1"/>
  <c r="ME7" i="2" s="1"/>
  <c r="MF6" i="2" l="1"/>
  <c r="MF7" i="2" s="1"/>
  <c r="MG6" i="2" l="1"/>
  <c r="MG7" i="2" s="1"/>
  <c r="MH6" i="2" l="1"/>
  <c r="MH7" i="2" s="1"/>
  <c r="MI6" i="2" l="1"/>
  <c r="MI7" i="2" s="1"/>
  <c r="MJ6" i="2" l="1"/>
  <c r="MJ7" i="2" s="1"/>
  <c r="MK6" i="2" l="1"/>
  <c r="MK7" i="2" s="1"/>
  <c r="B38" i="2" s="1"/>
  <c r="AH50" i="1" s="1"/>
  <c r="D38" i="2" l="1"/>
  <c r="AH43" i="1" s="1"/>
  <c r="AH45" i="1" s="1"/>
  <c r="AH46" i="1" s="1"/>
  <c r="ML6" i="2"/>
  <c r="ML7" i="2" s="1"/>
  <c r="MM6" i="2" l="1"/>
  <c r="MM7" i="2" s="1"/>
  <c r="MN6" i="2" l="1"/>
  <c r="MN7" i="2" s="1"/>
  <c r="MO6" i="2" l="1"/>
  <c r="MO7" i="2" s="1"/>
  <c r="MP6" i="2" l="1"/>
  <c r="MP7" i="2" s="1"/>
  <c r="MQ6" i="2" l="1"/>
  <c r="MQ7" i="2" s="1"/>
  <c r="MR6" i="2" l="1"/>
  <c r="MR7" i="2" s="1"/>
  <c r="MS6" i="2" l="1"/>
  <c r="MS7" i="2" s="1"/>
  <c r="MT6" i="2" l="1"/>
  <c r="MT7" i="2" s="1"/>
  <c r="MU6" i="2" l="1"/>
  <c r="MU7" i="2" s="1"/>
  <c r="MV6" i="2" l="1"/>
  <c r="MV7" i="2" s="1"/>
  <c r="MW6" i="2" l="1"/>
  <c r="MW7" i="2" s="1"/>
  <c r="B39" i="2" s="1"/>
  <c r="D39" i="2" l="1"/>
  <c r="AI43" i="1" s="1"/>
  <c r="AI45" i="1" s="1"/>
  <c r="AI46" i="1" s="1"/>
  <c r="AI50" i="1"/>
</calcChain>
</file>

<file path=xl/sharedStrings.xml><?xml version="1.0" encoding="utf-8"?>
<sst xmlns="http://schemas.openxmlformats.org/spreadsheetml/2006/main" count="576" uniqueCount="527">
  <si>
    <t>Cost Assumptions</t>
  </si>
  <si>
    <t>Financing Assumptions</t>
  </si>
  <si>
    <t>Revenue Assumptions</t>
  </si>
  <si>
    <t>Key Values</t>
  </si>
  <si>
    <t>Purchase Price</t>
  </si>
  <si>
    <t>Improvements</t>
  </si>
  <si>
    <t>Closing Costs</t>
  </si>
  <si>
    <r>
      <t xml:space="preserve">    </t>
    </r>
    <r>
      <rPr>
        <b/>
        <sz val="11"/>
        <color theme="1"/>
        <rFont val="Calibri"/>
        <family val="2"/>
        <scheme val="minor"/>
      </rPr>
      <t>Total Cost</t>
    </r>
  </si>
  <si>
    <t>Selling Costs</t>
  </si>
  <si>
    <t>Downpayment</t>
  </si>
  <si>
    <t>Finance Amt</t>
  </si>
  <si>
    <t>Downpayment Amt</t>
  </si>
  <si>
    <t>Interest Rate</t>
  </si>
  <si>
    <t>Mortgage (yrs)</t>
  </si>
  <si>
    <t>Mortgage Payment</t>
  </si>
  <si>
    <t>Cash Outlay</t>
  </si>
  <si>
    <t># of Units</t>
  </si>
  <si>
    <t>Total Rent/Month</t>
  </si>
  <si>
    <t>Other Rev/Month</t>
  </si>
  <si>
    <t xml:space="preserve">    Gross Rev/Month</t>
  </si>
  <si>
    <t xml:space="preserve">    Gross Rev/Year</t>
  </si>
  <si>
    <t>Vacancy Rate</t>
  </si>
  <si>
    <t>Cost/Unit</t>
  </si>
  <si>
    <t>Capitalization Rate</t>
  </si>
  <si>
    <t>Annual Revenue Increase</t>
  </si>
  <si>
    <t>Annual Operating Expense Increase</t>
  </si>
  <si>
    <t>Annual Appreciation</t>
  </si>
  <si>
    <t>Monthly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</si>
  <si>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</si>
  <si>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</si>
  <si>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</si>
  <si>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</si>
  <si>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</si>
  <si>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</si>
  <si>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</si>
  <si>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</si>
  <si>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</si>
  <si>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</si>
  <si>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</si>
  <si>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</si>
  <si>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</si>
  <si>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</si>
  <si>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</si>
  <si>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</si>
  <si>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</si>
  <si>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</si>
  <si>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</si>
  <si>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</si>
  <si>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</si>
  <si>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</si>
  <si>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</si>
  <si>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</si>
  <si>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</si>
  <si>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</si>
  <si>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</si>
  <si>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</si>
  <si>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</si>
  <si>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</si>
  <si>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Revenues</t>
  </si>
  <si>
    <t>Rental Income</t>
  </si>
  <si>
    <t>Net Rental Income</t>
  </si>
  <si>
    <t>Other Income</t>
  </si>
  <si>
    <r>
      <t xml:space="preserve">    </t>
    </r>
    <r>
      <rPr>
        <b/>
        <sz val="11"/>
        <color theme="1"/>
        <rFont val="Calibri"/>
        <family val="2"/>
        <scheme val="minor"/>
      </rPr>
      <t>Gross Income</t>
    </r>
  </si>
  <si>
    <t>Expenses</t>
  </si>
  <si>
    <t>Property Taxes</t>
  </si>
  <si>
    <t>Insurance</t>
  </si>
  <si>
    <t>Property Mgmt</t>
  </si>
  <si>
    <t>Maintenance &amp; Repairs</t>
  </si>
  <si>
    <t>Advertising</t>
  </si>
  <si>
    <t>Utilities</t>
  </si>
  <si>
    <t>Other 1</t>
  </si>
  <si>
    <t>Other 2</t>
  </si>
  <si>
    <t>Other 3</t>
  </si>
  <si>
    <r>
      <t xml:space="preserve">    </t>
    </r>
    <r>
      <rPr>
        <b/>
        <sz val="11"/>
        <color theme="1"/>
        <rFont val="Calibri"/>
        <family val="2"/>
        <scheme val="minor"/>
      </rPr>
      <t>Total Expenses</t>
    </r>
  </si>
  <si>
    <t>Annual</t>
  </si>
  <si>
    <t>(% Rent)</t>
  </si>
  <si>
    <t>Monthy</t>
  </si>
  <si>
    <t>Net Operating Income (NOI)</t>
  </si>
  <si>
    <t>Cash Flow</t>
  </si>
  <si>
    <t>NOI (Cash Available)</t>
  </si>
  <si>
    <t>Mortgage</t>
  </si>
  <si>
    <t xml:space="preserve">    Total Cash Flow</t>
  </si>
  <si>
    <t>Equity Accrued</t>
  </si>
  <si>
    <t>Appreciation</t>
  </si>
  <si>
    <t xml:space="preserve">    Total Return</t>
  </si>
  <si>
    <t>Month 1</t>
  </si>
  <si>
    <t>Month 2</t>
  </si>
  <si>
    <t>Month 3</t>
  </si>
  <si>
    <t>Monthly Payment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</si>
  <si>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</si>
  <si>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</si>
  <si>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</si>
  <si>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</si>
  <si>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</si>
  <si>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</si>
  <si>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</si>
  <si>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</si>
  <si>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</si>
  <si>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</si>
  <si>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</si>
  <si>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</si>
  <si>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</si>
  <si>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</si>
  <si>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</si>
  <si>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</si>
  <si>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</si>
  <si>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</si>
  <si>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</si>
  <si>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</si>
  <si>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</si>
  <si>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</si>
  <si>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</si>
  <si>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</si>
  <si>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</si>
  <si>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</si>
  <si>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</si>
  <si>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</si>
  <si>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</si>
  <si>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</si>
  <si>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</si>
  <si>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</si>
  <si>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</si>
  <si>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</si>
  <si>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</si>
  <si>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</si>
  <si>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</si>
  <si>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</si>
  <si>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</si>
  <si>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</si>
  <si>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</si>
  <si>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</si>
  <si>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</si>
  <si>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</si>
  <si>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</si>
  <si>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</si>
  <si>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</si>
  <si>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</si>
  <si>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</si>
  <si>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</si>
  <si>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</si>
  <si>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</si>
  <si>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</si>
  <si>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</si>
  <si>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</si>
  <si>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</si>
  <si>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</si>
  <si>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Month 61</t>
  </si>
  <si>
    <t>Month 62</t>
  </si>
  <si>
    <t>Month 63</t>
  </si>
  <si>
    <t>Month 64</t>
  </si>
  <si>
    <t>Month 65</t>
  </si>
  <si>
    <t>Month 66</t>
  </si>
  <si>
    <t>Month 67</t>
  </si>
  <si>
    <t>Month 68</t>
  </si>
  <si>
    <t>Month 69</t>
  </si>
  <si>
    <t>Month 70</t>
  </si>
  <si>
    <t>Month 71</t>
  </si>
  <si>
    <t>Month 72</t>
  </si>
  <si>
    <t>Month 73</t>
  </si>
  <si>
    <t>Month 74</t>
  </si>
  <si>
    <t>Month 75</t>
  </si>
  <si>
    <t>Month 76</t>
  </si>
  <si>
    <t>Month 77</t>
  </si>
  <si>
    <t>Month 78</t>
  </si>
  <si>
    <t>Month 79</t>
  </si>
  <si>
    <t>Month 80</t>
  </si>
  <si>
    <t>Month 81</t>
  </si>
  <si>
    <t>Month 82</t>
  </si>
  <si>
    <t>Month 83</t>
  </si>
  <si>
    <t>Month 84</t>
  </si>
  <si>
    <t>Month 85</t>
  </si>
  <si>
    <t>Month 86</t>
  </si>
  <si>
    <t>Month 87</t>
  </si>
  <si>
    <t>Month 88</t>
  </si>
  <si>
    <t>Month 89</t>
  </si>
  <si>
    <t>Month 90</t>
  </si>
  <si>
    <t>Month 91</t>
  </si>
  <si>
    <t>Month 92</t>
  </si>
  <si>
    <t>Month 93</t>
  </si>
  <si>
    <t>Month 94</t>
  </si>
  <si>
    <t>Month 95</t>
  </si>
  <si>
    <t>Month 96</t>
  </si>
  <si>
    <t>Month 97</t>
  </si>
  <si>
    <t>Month 98</t>
  </si>
  <si>
    <t>Month 99</t>
  </si>
  <si>
    <t>Month 100</t>
  </si>
  <si>
    <t>Month 101</t>
  </si>
  <si>
    <t>Month 102</t>
  </si>
  <si>
    <t>Month 103</t>
  </si>
  <si>
    <t>Month 104</t>
  </si>
  <si>
    <t>Month 105</t>
  </si>
  <si>
    <t>Month 106</t>
  </si>
  <si>
    <t>Month 107</t>
  </si>
  <si>
    <t>Month 108</t>
  </si>
  <si>
    <t>Month 109</t>
  </si>
  <si>
    <t>Month 110</t>
  </si>
  <si>
    <t>Month 111</t>
  </si>
  <si>
    <t>Month 112</t>
  </si>
  <si>
    <t>Month 113</t>
  </si>
  <si>
    <t>Month 114</t>
  </si>
  <si>
    <t>Month 115</t>
  </si>
  <si>
    <t>Month 116</t>
  </si>
  <si>
    <t>Month 117</t>
  </si>
  <si>
    <t>Month 118</t>
  </si>
  <si>
    <t>Month 119</t>
  </si>
  <si>
    <t>Month 120</t>
  </si>
  <si>
    <t>Month 121</t>
  </si>
  <si>
    <t>Month 122</t>
  </si>
  <si>
    <t>Month 123</t>
  </si>
  <si>
    <t>Month 124</t>
  </si>
  <si>
    <t>Month 125</t>
  </si>
  <si>
    <t>Month 126</t>
  </si>
  <si>
    <t>Month 127</t>
  </si>
  <si>
    <t>Month 128</t>
  </si>
  <si>
    <t>Month 129</t>
  </si>
  <si>
    <t>Month 130</t>
  </si>
  <si>
    <t>Month 131</t>
  </si>
  <si>
    <t>Month 132</t>
  </si>
  <si>
    <t>Month 133</t>
  </si>
  <si>
    <t>Month 134</t>
  </si>
  <si>
    <t>Month 135</t>
  </si>
  <si>
    <t>Month 136</t>
  </si>
  <si>
    <t>Month 137</t>
  </si>
  <si>
    <t>Month 138</t>
  </si>
  <si>
    <t>Month 139</t>
  </si>
  <si>
    <t>Month 140</t>
  </si>
  <si>
    <t>Month 141</t>
  </si>
  <si>
    <t>Month 142</t>
  </si>
  <si>
    <t>Month 143</t>
  </si>
  <si>
    <t>Month 144</t>
  </si>
  <si>
    <t>Month 145</t>
  </si>
  <si>
    <t>Month 146</t>
  </si>
  <si>
    <t>Month 147</t>
  </si>
  <si>
    <t>Month 148</t>
  </si>
  <si>
    <t>Month 149</t>
  </si>
  <si>
    <t>Month 150</t>
  </si>
  <si>
    <t>Month 151</t>
  </si>
  <si>
    <t>Month 152</t>
  </si>
  <si>
    <t>Month 153</t>
  </si>
  <si>
    <t>Month 154</t>
  </si>
  <si>
    <t>Month 155</t>
  </si>
  <si>
    <t>Month 156</t>
  </si>
  <si>
    <t>Month 157</t>
  </si>
  <si>
    <t>Month 158</t>
  </si>
  <si>
    <t>Month 159</t>
  </si>
  <si>
    <t>Month 160</t>
  </si>
  <si>
    <t>Month 161</t>
  </si>
  <si>
    <t>Month 162</t>
  </si>
  <si>
    <t>Month 163</t>
  </si>
  <si>
    <t>Month 164</t>
  </si>
  <si>
    <t>Month 165</t>
  </si>
  <si>
    <t>Month 166</t>
  </si>
  <si>
    <t>Month 167</t>
  </si>
  <si>
    <t>Month 168</t>
  </si>
  <si>
    <t>Month 169</t>
  </si>
  <si>
    <t>Month 170</t>
  </si>
  <si>
    <t>Month 171</t>
  </si>
  <si>
    <t>Month 172</t>
  </si>
  <si>
    <t>Month 173</t>
  </si>
  <si>
    <t>Month 174</t>
  </si>
  <si>
    <t>Month 175</t>
  </si>
  <si>
    <t>Month 176</t>
  </si>
  <si>
    <t>Month 177</t>
  </si>
  <si>
    <t>Month 178</t>
  </si>
  <si>
    <t>Month 179</t>
  </si>
  <si>
    <t>Month 180</t>
  </si>
  <si>
    <t>Month 181</t>
  </si>
  <si>
    <t>Month 182</t>
  </si>
  <si>
    <t>Month 183</t>
  </si>
  <si>
    <t>Month 184</t>
  </si>
  <si>
    <t>Month 185</t>
  </si>
  <si>
    <t>Month 186</t>
  </si>
  <si>
    <t>Month 187</t>
  </si>
  <si>
    <t>Month 188</t>
  </si>
  <si>
    <t>Month 189</t>
  </si>
  <si>
    <t>Month 190</t>
  </si>
  <si>
    <t>Month 191</t>
  </si>
  <si>
    <t>Month 192</t>
  </si>
  <si>
    <t>Month 193</t>
  </si>
  <si>
    <t>Month 194</t>
  </si>
  <si>
    <t>Month 195</t>
  </si>
  <si>
    <t>Month 196</t>
  </si>
  <si>
    <t>Month 197</t>
  </si>
  <si>
    <t>Month 198</t>
  </si>
  <si>
    <t>Month 199</t>
  </si>
  <si>
    <t>Month 200</t>
  </si>
  <si>
    <t>Month 201</t>
  </si>
  <si>
    <t>Month 202</t>
  </si>
  <si>
    <t>Month 203</t>
  </si>
  <si>
    <t>Month 204</t>
  </si>
  <si>
    <t>Month 205</t>
  </si>
  <si>
    <t>Month 206</t>
  </si>
  <si>
    <t>Month 207</t>
  </si>
  <si>
    <t>Month 208</t>
  </si>
  <si>
    <t>Month 209</t>
  </si>
  <si>
    <t>Month 210</t>
  </si>
  <si>
    <t>Month 211</t>
  </si>
  <si>
    <t>Month 212</t>
  </si>
  <si>
    <t>Month 213</t>
  </si>
  <si>
    <t>Month 214</t>
  </si>
  <si>
    <t>Month 215</t>
  </si>
  <si>
    <t>Month 216</t>
  </si>
  <si>
    <t>Month 217</t>
  </si>
  <si>
    <t>Month 218</t>
  </si>
  <si>
    <t>Month 219</t>
  </si>
  <si>
    <t>Month 220</t>
  </si>
  <si>
    <t>Month 221</t>
  </si>
  <si>
    <t>Month 222</t>
  </si>
  <si>
    <t>Month 223</t>
  </si>
  <si>
    <t>Month 224</t>
  </si>
  <si>
    <t>Month 225</t>
  </si>
  <si>
    <t>Month 226</t>
  </si>
  <si>
    <t>Month 227</t>
  </si>
  <si>
    <t>Month 228</t>
  </si>
  <si>
    <t>Month 229</t>
  </si>
  <si>
    <t>Month 230</t>
  </si>
  <si>
    <t>Month 231</t>
  </si>
  <si>
    <t>Month 232</t>
  </si>
  <si>
    <t>Month 233</t>
  </si>
  <si>
    <t>Month 234</t>
  </si>
  <si>
    <t>Month 235</t>
  </si>
  <si>
    <t>Month 236</t>
  </si>
  <si>
    <t>Month 237</t>
  </si>
  <si>
    <t>Month 238</t>
  </si>
  <si>
    <t>Month 239</t>
  </si>
  <si>
    <t>Month 240</t>
  </si>
  <si>
    <t>Month 241</t>
  </si>
  <si>
    <t>Month 242</t>
  </si>
  <si>
    <t>Month 243</t>
  </si>
  <si>
    <t>Month 244</t>
  </si>
  <si>
    <t>Month 245</t>
  </si>
  <si>
    <t>Month 246</t>
  </si>
  <si>
    <t>Month 247</t>
  </si>
  <si>
    <t>Month 248</t>
  </si>
  <si>
    <t>Month 249</t>
  </si>
  <si>
    <t>Month 250</t>
  </si>
  <si>
    <t>Month 251</t>
  </si>
  <si>
    <t>Month 252</t>
  </si>
  <si>
    <t>Month 253</t>
  </si>
  <si>
    <t>Month 254</t>
  </si>
  <si>
    <t>Month 255</t>
  </si>
  <si>
    <t>Month 256</t>
  </si>
  <si>
    <t>Month 257</t>
  </si>
  <si>
    <t>Month 258</t>
  </si>
  <si>
    <t>Month 259</t>
  </si>
  <si>
    <t>Month 260</t>
  </si>
  <si>
    <t>Month 261</t>
  </si>
  <si>
    <t>Month 262</t>
  </si>
  <si>
    <t>Month 263</t>
  </si>
  <si>
    <t>Month 264</t>
  </si>
  <si>
    <t>Month 265</t>
  </si>
  <si>
    <t>Month 266</t>
  </si>
  <si>
    <t>Month 267</t>
  </si>
  <si>
    <t>Month 268</t>
  </si>
  <si>
    <t>Month 269</t>
  </si>
  <si>
    <t>Month 270</t>
  </si>
  <si>
    <t>Month 271</t>
  </si>
  <si>
    <t>Month 272</t>
  </si>
  <si>
    <t>Month 273</t>
  </si>
  <si>
    <t>Month 274</t>
  </si>
  <si>
    <t>Month 275</t>
  </si>
  <si>
    <t>Month 276</t>
  </si>
  <si>
    <t>Month 277</t>
  </si>
  <si>
    <t>Month 278</t>
  </si>
  <si>
    <t>Month 279</t>
  </si>
  <si>
    <t>Month 280</t>
  </si>
  <si>
    <t>Month 281</t>
  </si>
  <si>
    <t>Month 282</t>
  </si>
  <si>
    <t>Month 283</t>
  </si>
  <si>
    <t>Month 284</t>
  </si>
  <si>
    <t>Month 285</t>
  </si>
  <si>
    <t>Month 286</t>
  </si>
  <si>
    <t>Month 287</t>
  </si>
  <si>
    <t>Month 288</t>
  </si>
  <si>
    <t>Month 289</t>
  </si>
  <si>
    <t>Month 290</t>
  </si>
  <si>
    <t>Month 291</t>
  </si>
  <si>
    <t>Month 292</t>
  </si>
  <si>
    <t>Month 293</t>
  </si>
  <si>
    <t>Month 294</t>
  </si>
  <si>
    <t>Month 295</t>
  </si>
  <si>
    <t>Month 296</t>
  </si>
  <si>
    <t>Month 297</t>
  </si>
  <si>
    <t>Month 298</t>
  </si>
  <si>
    <t>Month 299</t>
  </si>
  <si>
    <t>Month 300</t>
  </si>
  <si>
    <t>Month 301</t>
  </si>
  <si>
    <t>Month 302</t>
  </si>
  <si>
    <t>Month 303</t>
  </si>
  <si>
    <t>Month 304</t>
  </si>
  <si>
    <t>Month 305</t>
  </si>
  <si>
    <t>Month 306</t>
  </si>
  <si>
    <t>Month 307</t>
  </si>
  <si>
    <t>Month 308</t>
  </si>
  <si>
    <t>Month 309</t>
  </si>
  <si>
    <t>Month 310</t>
  </si>
  <si>
    <t>Month 311</t>
  </si>
  <si>
    <t>Month 312</t>
  </si>
  <si>
    <t>Month 313</t>
  </si>
  <si>
    <t>Month 314</t>
  </si>
  <si>
    <t>Month 315</t>
  </si>
  <si>
    <t>Month 316</t>
  </si>
  <si>
    <t>Month 317</t>
  </si>
  <si>
    <t>Month 318</t>
  </si>
  <si>
    <t>Month 319</t>
  </si>
  <si>
    <t>Month 320</t>
  </si>
  <si>
    <t>Month 321</t>
  </si>
  <si>
    <t>Month 322</t>
  </si>
  <si>
    <t>Month 323</t>
  </si>
  <si>
    <t>Month 324</t>
  </si>
  <si>
    <t>Month 325</t>
  </si>
  <si>
    <t>Month 326</t>
  </si>
  <si>
    <t>Month 327</t>
  </si>
  <si>
    <t>Month 328</t>
  </si>
  <si>
    <t>Month 329</t>
  </si>
  <si>
    <t>Month 330</t>
  </si>
  <si>
    <t>Month 331</t>
  </si>
  <si>
    <t>Month 332</t>
  </si>
  <si>
    <t>Month 333</t>
  </si>
  <si>
    <t>Month 334</t>
  </si>
  <si>
    <t>Month 335</t>
  </si>
  <si>
    <t>Month 336</t>
  </si>
  <si>
    <t>Month 337</t>
  </si>
  <si>
    <t>Month 338</t>
  </si>
  <si>
    <t>Month 339</t>
  </si>
  <si>
    <t>Month 340</t>
  </si>
  <si>
    <t>Month 341</t>
  </si>
  <si>
    <t>Month 342</t>
  </si>
  <si>
    <t>Month 343</t>
  </si>
  <si>
    <t>Month 344</t>
  </si>
  <si>
    <t>Month 345</t>
  </si>
  <si>
    <t>Month 346</t>
  </si>
  <si>
    <t>Month 347</t>
  </si>
  <si>
    <t>Month 348</t>
  </si>
  <si>
    <t>Month 349</t>
  </si>
  <si>
    <t>Month 350</t>
  </si>
  <si>
    <t>Month 351</t>
  </si>
  <si>
    <t>Month 352</t>
  </si>
  <si>
    <t>Month 353</t>
  </si>
  <si>
    <t>Month 354</t>
  </si>
  <si>
    <t>Month 355</t>
  </si>
  <si>
    <t>Month 356</t>
  </si>
  <si>
    <t>Month 357</t>
  </si>
  <si>
    <t>Month 358</t>
  </si>
  <si>
    <t>Month 359</t>
  </si>
  <si>
    <t>Month 360</t>
  </si>
  <si>
    <t>Monthly Interest</t>
  </si>
  <si>
    <t>Loan Amount</t>
  </si>
  <si>
    <t>Principal</t>
  </si>
  <si>
    <t>Amt Left</t>
  </si>
  <si>
    <t>Loan Amt Left</t>
  </si>
  <si>
    <t>Equity</t>
  </si>
  <si>
    <t xml:space="preserve">    Total ROI</t>
  </si>
  <si>
    <t xml:space="preserve">    Cash ROI</t>
  </si>
  <si>
    <t>GRM</t>
  </si>
  <si>
    <t>Cash ROI</t>
  </si>
  <si>
    <t>Total ROI</t>
  </si>
  <si>
    <t>DSCR</t>
  </si>
  <si>
    <t>Annual Cash Flow</t>
  </si>
  <si>
    <t xml:space="preserve">    Land Value</t>
  </si>
  <si>
    <t xml:space="preserve">    Property Value </t>
  </si>
  <si>
    <t>Unit Breakdown</t>
  </si>
  <si>
    <t>Unit 1</t>
  </si>
  <si>
    <t>Unit 2</t>
  </si>
  <si>
    <t>Unit 3</t>
  </si>
  <si>
    <t>Unit 4</t>
  </si>
  <si>
    <t>Other</t>
  </si>
  <si>
    <t>50% Rule</t>
  </si>
  <si>
    <t>Total Monthly Income:</t>
  </si>
  <si>
    <t>x50% for Expenses:</t>
  </si>
  <si>
    <t>Total Monthly Cashflow Using 50% Rule</t>
  </si>
  <si>
    <t>P&amp;I</t>
  </si>
  <si>
    <t>Mortgage Expenses:</t>
  </si>
  <si>
    <t>Total Operating Expenses:</t>
  </si>
  <si>
    <t>Monthly Payment/Interest Payment</t>
  </si>
  <si>
    <t>Actual Monthly Cashflow:</t>
  </si>
  <si>
    <t>Breakdown</t>
  </si>
  <si>
    <t>Purchase Closing Costs</t>
  </si>
  <si>
    <t>Estimated Repairs</t>
  </si>
  <si>
    <t>Total Projected Cost</t>
  </si>
  <si>
    <t>After Repair Value</t>
  </si>
  <si>
    <t>Mortgage Breakdown</t>
  </si>
  <si>
    <t xml:space="preserve">    Down Payment</t>
  </si>
  <si>
    <t xml:space="preserve">    Loan Amount</t>
  </si>
  <si>
    <t xml:space="preserve">    Loan Points</t>
  </si>
  <si>
    <t xml:space="preserve">    Loan Fees</t>
  </si>
  <si>
    <t xml:space="preserve">    Amortized Over</t>
  </si>
  <si>
    <t xml:space="preserve">    Loan Interest Rate</t>
  </si>
  <si>
    <t xml:space="preserve">    Monthly P&amp;I</t>
  </si>
  <si>
    <t>Total Cash Needed</t>
  </si>
  <si>
    <t>Monthly Income</t>
  </si>
  <si>
    <t>Monthly Expenses</t>
  </si>
  <si>
    <t>Monthly Cashflow</t>
  </si>
  <si>
    <t>NOI</t>
  </si>
  <si>
    <t>Cash on Cash ROI</t>
  </si>
  <si>
    <t>Pro Forma Cap Rate</t>
  </si>
  <si>
    <t>Actual Cap Rate</t>
  </si>
  <si>
    <t>Financial Info</t>
  </si>
  <si>
    <t>Income-Expense Ratio (2% Rule)</t>
  </si>
  <si>
    <t>Total Initial Equity</t>
  </si>
  <si>
    <t>Gross Rent Multiplier (GRM)</t>
  </si>
  <si>
    <t>Debt Service Coverage Ratio (DSCR)</t>
  </si>
  <si>
    <t>Property Statistics</t>
  </si>
  <si>
    <t>Property Value</t>
  </si>
  <si>
    <t>After Repair Value (ARV)</t>
  </si>
  <si>
    <t>Total Equity</t>
  </si>
  <si>
    <t>Initial Equity</t>
  </si>
  <si>
    <t>Capital Expendatures</t>
  </si>
  <si>
    <t>Item</t>
  </si>
  <si>
    <t>Roof</t>
  </si>
  <si>
    <t>HVAC</t>
  </si>
  <si>
    <t>Flooring (Carpet &amp; Vinyl/Tile)</t>
  </si>
  <si>
    <t>Plumbing (copper)</t>
  </si>
  <si>
    <t>Fixtures (plumbing/electric)</t>
  </si>
  <si>
    <t>Water Heater</t>
  </si>
  <si>
    <t>Appliances</t>
  </si>
  <si>
    <t>Components (garage door/breakers, etc.)</t>
  </si>
  <si>
    <t>Structure (foundation, framing, drywall)</t>
  </si>
  <si>
    <t>Kitchen cabinets/countertop</t>
  </si>
  <si>
    <t>Windows</t>
  </si>
  <si>
    <t>Paint</t>
  </si>
  <si>
    <t>Landscaping</t>
  </si>
  <si>
    <t>Replacement Cost</t>
  </si>
  <si>
    <t>Useful Life</t>
  </si>
  <si>
    <t>Yearly Accrual</t>
  </si>
  <si>
    <t>Monthly Accrual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</si>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</sst>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0.0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/>
    <xf numFmtId="0" fontId="0" fillId="0" borderId="14" xfId="0" applyBorder="1"/>
    <xf numFmtId="165" fontId="0" fillId="0" borderId="14" xfId="0" applyNumberFormat="1" applyBorder="1"/>
    <xf numFmtId="165" fontId="0" fillId="0" borderId="0" xfId="0" applyNumberFormat="1" applyBorder="1"/>
    <xf numFmtId="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20" xfId="0" applyBorder="1"/>
    <xf numFmtId="5" fontId="0" fillId="0" borderId="0" xfId="0" applyNumberFormat="1" applyBorder="1"/>
    <xf numFmtId="0" fontId="1" fillId="6" borderId="22" xfId="0" applyFont="1" applyFill="1" applyBorder="1"/>
    <xf numFmtId="0" fontId="1" fillId="6" borderId="12" xfId="0" applyFont="1" applyFill="1" applyBorder="1" applyAlignment="1">
      <alignment horizontal="center"/>
    </xf>
    <xf numFmtId="0" fontId="0" fillId="0" borderId="0" xfId="0" applyFill="1" applyBorder="1"/>
    <xf numFmtId="0" fontId="0" fillId="6" borderId="23" xfId="0" applyFill="1" applyBorder="1"/>
    <xf numFmtId="0" fontId="0" fillId="6" borderId="22" xfId="0" applyFill="1" applyBorder="1"/>
    <xf numFmtId="5" fontId="0" fillId="0" borderId="0" xfId="0" applyNumberFormat="1"/>
    <xf numFmtId="0" fontId="0" fillId="0" borderId="0" xfId="0" applyFill="1" applyBorder="1"/>
    <xf numFmtId="0" fontId="0" fillId="5" borderId="17" xfId="0" applyFill="1" applyBorder="1"/>
    <xf numFmtId="0" fontId="0" fillId="0" borderId="0" xfId="0" applyBorder="1"/>
    <xf numFmtId="0" fontId="0" fillId="0" borderId="7" xfId="0" applyBorder="1"/>
    <xf numFmtId="0" fontId="1" fillId="4" borderId="17" xfId="0" applyFont="1" applyFill="1" applyBorder="1"/>
    <xf numFmtId="0" fontId="0" fillId="0" borderId="4" xfId="0" applyBorder="1"/>
    <xf numFmtId="0" fontId="0" fillId="0" borderId="4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0" xfId="0" applyFont="1" applyBorder="1"/>
    <xf numFmtId="166" fontId="0" fillId="0" borderId="0" xfId="0" applyNumberFormat="1"/>
    <xf numFmtId="7" fontId="0" fillId="0" borderId="0" xfId="0" applyNumberFormat="1"/>
    <xf numFmtId="10" fontId="1" fillId="0" borderId="20" xfId="0" applyNumberFormat="1" applyFont="1" applyBorder="1"/>
    <xf numFmtId="10" fontId="1" fillId="6" borderId="24" xfId="0" applyNumberFormat="1" applyFont="1" applyFill="1" applyBorder="1"/>
    <xf numFmtId="10" fontId="1" fillId="0" borderId="0" xfId="0" applyNumberFormat="1" applyFont="1"/>
    <xf numFmtId="9" fontId="2" fillId="8" borderId="8" xfId="0" applyNumberFormat="1" applyFont="1" applyFill="1" applyBorder="1"/>
    <xf numFmtId="9" fontId="2" fillId="8" borderId="14" xfId="0" applyNumberFormat="1" applyFont="1" applyFill="1" applyBorder="1"/>
    <xf numFmtId="9" fontId="2" fillId="8" borderId="0" xfId="0" applyNumberFormat="1" applyFont="1" applyFill="1" applyBorder="1"/>
    <xf numFmtId="9" fontId="2" fillId="8" borderId="5" xfId="0" applyNumberFormat="1" applyFont="1" applyFill="1" applyBorder="1"/>
    <xf numFmtId="10" fontId="2" fillId="8" borderId="5" xfId="0" applyNumberFormat="1" applyFont="1" applyFill="1" applyBorder="1"/>
    <xf numFmtId="0" fontId="2" fillId="8" borderId="5" xfId="0" applyFont="1" applyFill="1" applyBorder="1"/>
    <xf numFmtId="165" fontId="2" fillId="8" borderId="11" xfId="0" applyNumberFormat="1" applyFont="1" applyFill="1" applyBorder="1"/>
    <xf numFmtId="10" fontId="1" fillId="0" borderId="5" xfId="0" applyNumberFormat="1" applyFont="1" applyBorder="1"/>
    <xf numFmtId="39" fontId="1" fillId="0" borderId="5" xfId="0" applyNumberFormat="1" applyFont="1" applyBorder="1"/>
    <xf numFmtId="165" fontId="3" fillId="0" borderId="0" xfId="0" applyNumberFormat="1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15" xfId="0" applyFill="1" applyBorder="1"/>
    <xf numFmtId="0" fontId="0" fillId="0" borderId="0" xfId="0"/>
    <xf numFmtId="0" fontId="0" fillId="0" borderId="5" xfId="0" applyBorder="1"/>
    <xf numFmtId="5" fontId="0" fillId="0" borderId="5" xfId="0" applyNumberFormat="1" applyBorder="1"/>
    <xf numFmtId="164" fontId="5" fillId="0" borderId="0" xfId="0" applyNumberFormat="1" applyFont="1"/>
    <xf numFmtId="0" fontId="5" fillId="0" borderId="2" xfId="0" applyFont="1" applyBorder="1"/>
    <xf numFmtId="0" fontId="5" fillId="0" borderId="0" xfId="0" applyFont="1" applyFill="1" applyBorder="1"/>
    <xf numFmtId="7" fontId="5" fillId="0" borderId="0" xfId="0" applyNumberFormat="1" applyFont="1" applyFill="1" applyBorder="1"/>
    <xf numFmtId="5" fontId="5" fillId="0" borderId="0" xfId="0" applyNumberFormat="1" applyFont="1" applyFill="1" applyBorder="1"/>
    <xf numFmtId="7" fontId="0" fillId="0" borderId="5" xfId="0" applyNumberFormat="1" applyBorder="1"/>
    <xf numFmtId="7" fontId="1" fillId="0" borderId="8" xfId="0" applyNumberFormat="1" applyFont="1" applyBorder="1"/>
    <xf numFmtId="7" fontId="1" fillId="0" borderId="27" xfId="0" applyNumberFormat="1" applyFont="1" applyBorder="1"/>
    <xf numFmtId="0" fontId="5" fillId="0" borderId="4" xfId="0" applyFont="1" applyBorder="1"/>
    <xf numFmtId="0" fontId="5" fillId="0" borderId="6" xfId="0" applyFont="1" applyBorder="1"/>
    <xf numFmtId="5" fontId="5" fillId="0" borderId="0" xfId="0" applyNumberFormat="1" applyFont="1"/>
    <xf numFmtId="7" fontId="1" fillId="0" borderId="3" xfId="0" applyNumberFormat="1" applyFont="1" applyBorder="1"/>
    <xf numFmtId="7" fontId="1" fillId="0" borderId="11" xfId="0" applyNumberFormat="1" applyFont="1" applyBorder="1"/>
    <xf numFmtId="7" fontId="0" fillId="0" borderId="0" xfId="0" applyNumberFormat="1" applyBorder="1"/>
    <xf numFmtId="5" fontId="0" fillId="0" borderId="17" xfId="0" applyNumberFormat="1" applyBorder="1"/>
    <xf numFmtId="7" fontId="1" fillId="4" borderId="11" xfId="0" applyNumberFormat="1" applyFont="1" applyFill="1" applyBorder="1"/>
    <xf numFmtId="10" fontId="0" fillId="0" borderId="5" xfId="0" applyNumberFormat="1" applyBorder="1"/>
    <xf numFmtId="7" fontId="0" fillId="0" borderId="7" xfId="0" applyNumberFormat="1" applyBorder="1"/>
    <xf numFmtId="7" fontId="0" fillId="0" borderId="20" xfId="0" applyNumberFormat="1" applyBorder="1"/>
    <xf numFmtId="7" fontId="0" fillId="0" borderId="29" xfId="0" applyNumberFormat="1" applyBorder="1"/>
    <xf numFmtId="0" fontId="3" fillId="0" borderId="0" xfId="0" applyFont="1" applyBorder="1"/>
    <xf numFmtId="0" fontId="3" fillId="0" borderId="0" xfId="0" applyFont="1"/>
    <xf numFmtId="2" fontId="1" fillId="0" borderId="5" xfId="0" applyNumberFormat="1" applyFont="1" applyBorder="1"/>
    <xf numFmtId="10" fontId="0" fillId="0" borderId="5" xfId="0" applyNumberFormat="1" applyBorder="1" applyAlignment="1">
      <alignment horizontal="right"/>
    </xf>
    <xf numFmtId="7" fontId="0" fillId="0" borderId="5" xfId="0" applyNumberFormat="1" applyBorder="1" applyAlignment="1">
      <alignment horizontal="right"/>
    </xf>
    <xf numFmtId="39" fontId="0" fillId="0" borderId="5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5" fontId="0" fillId="0" borderId="3" xfId="0" applyNumberFormat="1" applyBorder="1"/>
    <xf numFmtId="10" fontId="0" fillId="0" borderId="8" xfId="0" applyNumberFormat="1" applyBorder="1"/>
    <xf numFmtId="0" fontId="1" fillId="12" borderId="16" xfId="0" applyFont="1" applyFill="1" applyBorder="1" applyAlignment="1">
      <alignment horizontal="left"/>
    </xf>
    <xf numFmtId="0" fontId="1" fillId="12" borderId="17" xfId="0" applyFont="1" applyFill="1" applyBorder="1" applyAlignment="1">
      <alignment horizontal="left"/>
    </xf>
    <xf numFmtId="0" fontId="1" fillId="6" borderId="22" xfId="0" applyFont="1" applyFill="1" applyBorder="1" applyAlignment="1">
      <alignment horizontal="left"/>
    </xf>
    <xf numFmtId="42" fontId="0" fillId="0" borderId="0" xfId="0" applyNumberFormat="1" applyBorder="1"/>
    <xf numFmtId="42" fontId="0" fillId="6" borderId="23" xfId="0" applyNumberFormat="1" applyFill="1" applyBorder="1"/>
    <xf numFmtId="42" fontId="0" fillId="0" borderId="0" xfId="0" applyNumberFormat="1"/>
    <xf numFmtId="42" fontId="0" fillId="0" borderId="20" xfId="0" applyNumberFormat="1" applyBorder="1"/>
    <xf numFmtId="42" fontId="0" fillId="6" borderId="24" xfId="0" applyNumberFormat="1" applyFill="1" applyBorder="1"/>
    <xf numFmtId="0" fontId="1" fillId="0" borderId="0" xfId="0" applyFont="1" applyBorder="1" applyAlignment="1">
      <alignment horizontal="center"/>
    </xf>
    <xf numFmtId="165" fontId="0" fillId="0" borderId="30" xfId="0" applyNumberFormat="1" applyBorder="1"/>
    <xf numFmtId="165" fontId="0" fillId="0" borderId="31" xfId="0" applyNumberFormat="1" applyBorder="1"/>
    <xf numFmtId="0" fontId="1" fillId="0" borderId="4" xfId="0" applyFont="1" applyBorder="1" applyAlignment="1">
      <alignment horizontal="center"/>
    </xf>
    <xf numFmtId="0" fontId="1" fillId="4" borderId="32" xfId="0" applyFont="1" applyFill="1" applyBorder="1"/>
    <xf numFmtId="0" fontId="0" fillId="5" borderId="32" xfId="0" applyFill="1" applyBorder="1"/>
    <xf numFmtId="10" fontId="1" fillId="0" borderId="33" xfId="0" applyNumberFormat="1" applyFont="1" applyBorder="1"/>
    <xf numFmtId="0" fontId="1" fillId="12" borderId="32" xfId="0" applyFont="1" applyFill="1" applyBorder="1" applyAlignment="1">
      <alignment horizontal="left"/>
    </xf>
    <xf numFmtId="42" fontId="0" fillId="0" borderId="31" xfId="0" applyNumberFormat="1" applyBorder="1"/>
    <xf numFmtId="42" fontId="0" fillId="0" borderId="33" xfId="0" applyNumberFormat="1" applyBorder="1"/>
    <xf numFmtId="7" fontId="0" fillId="0" borderId="8" xfId="0" applyNumberFormat="1" applyBorder="1"/>
    <xf numFmtId="0" fontId="4" fillId="8" borderId="10" xfId="0" applyFont="1" applyFill="1" applyBorder="1"/>
    <xf numFmtId="0" fontId="4" fillId="8" borderId="40" xfId="0" applyFont="1" applyFill="1" applyBorder="1"/>
    <xf numFmtId="0" fontId="4" fillId="8" borderId="39" xfId="0" applyFont="1" applyFill="1" applyBorder="1"/>
    <xf numFmtId="0" fontId="4" fillId="8" borderId="41" xfId="0" applyFont="1" applyFill="1" applyBorder="1"/>
    <xf numFmtId="0" fontId="0" fillId="0" borderId="31" xfId="0" applyBorder="1"/>
    <xf numFmtId="0" fontId="1" fillId="13" borderId="40" xfId="0" applyFont="1" applyFill="1" applyBorder="1"/>
    <xf numFmtId="0" fontId="1" fillId="13" borderId="39" xfId="0" applyFont="1" applyFill="1" applyBorder="1"/>
    <xf numFmtId="44" fontId="0" fillId="0" borderId="0" xfId="0" applyNumberFormat="1" applyBorder="1"/>
    <xf numFmtId="44" fontId="1" fillId="13" borderId="10" xfId="0" applyNumberFormat="1" applyFont="1" applyFill="1" applyBorder="1"/>
    <xf numFmtId="44" fontId="0" fillId="0" borderId="42" xfId="0" applyNumberFormat="1" applyBorder="1"/>
    <xf numFmtId="44" fontId="1" fillId="13" borderId="41" xfId="0" applyNumberFormat="1" applyFont="1" applyFill="1" applyBorder="1"/>
    <xf numFmtId="44" fontId="3" fillId="0" borderId="0" xfId="0" applyNumberFormat="1" applyFont="1" applyFill="1" applyBorder="1"/>
    <xf numFmtId="42" fontId="3" fillId="0" borderId="0" xfId="0" applyNumberFormat="1" applyFont="1" applyFill="1" applyBorder="1"/>
    <xf numFmtId="42" fontId="0" fillId="0" borderId="0" xfId="0" applyNumberFormat="1" applyFill="1" applyBorder="1"/>
    <xf numFmtId="42" fontId="0" fillId="0" borderId="31" xfId="0" applyNumberFormat="1" applyFill="1" applyBorder="1"/>
    <xf numFmtId="42" fontId="0" fillId="0" borderId="37" xfId="0" applyNumberFormat="1" applyFill="1" applyBorder="1"/>
    <xf numFmtId="42" fontId="1" fillId="6" borderId="12" xfId="0" applyNumberFormat="1" applyFont="1" applyFill="1" applyBorder="1"/>
    <xf numFmtId="42" fontId="1" fillId="0" borderId="14" xfId="0" applyNumberFormat="1" applyFont="1" applyFill="1" applyBorder="1"/>
    <xf numFmtId="42" fontId="1" fillId="0" borderId="38" xfId="0" applyNumberFormat="1" applyFont="1" applyFill="1" applyBorder="1"/>
    <xf numFmtId="42" fontId="0" fillId="6" borderId="22" xfId="0" applyNumberFormat="1" applyFill="1" applyBorder="1"/>
    <xf numFmtId="42" fontId="0" fillId="0" borderId="4" xfId="0" applyNumberFormat="1" applyBorder="1"/>
    <xf numFmtId="42" fontId="1" fillId="2" borderId="14" xfId="0" applyNumberFormat="1" applyFont="1" applyFill="1" applyBorder="1"/>
    <xf numFmtId="42" fontId="1" fillId="2" borderId="30" xfId="0" applyNumberFormat="1" applyFont="1" applyFill="1" applyBorder="1"/>
    <xf numFmtId="42" fontId="0" fillId="7" borderId="17" xfId="0" applyNumberFormat="1" applyFill="1" applyBorder="1"/>
    <xf numFmtId="42" fontId="0" fillId="7" borderId="32" xfId="0" applyNumberFormat="1" applyFill="1" applyBorder="1"/>
    <xf numFmtId="42" fontId="1" fillId="6" borderId="24" xfId="0" applyNumberFormat="1" applyFont="1" applyFill="1" applyBorder="1"/>
    <xf numFmtId="42" fontId="1" fillId="0" borderId="20" xfId="0" applyNumberFormat="1" applyFont="1" applyBorder="1"/>
    <xf numFmtId="42" fontId="1" fillId="0" borderId="33" xfId="0" applyNumberFormat="1" applyFont="1" applyBorder="1"/>
    <xf numFmtId="42" fontId="0" fillId="0" borderId="5" xfId="0" applyNumberFormat="1" applyBorder="1"/>
    <xf numFmtId="42" fontId="2" fillId="8" borderId="5" xfId="0" applyNumberFormat="1" applyFont="1" applyFill="1" applyBorder="1"/>
    <xf numFmtId="42" fontId="1" fillId="0" borderId="11" xfId="0" applyNumberFormat="1" applyFont="1" applyBorder="1"/>
    <xf numFmtId="42" fontId="1" fillId="0" borderId="8" xfId="0" applyNumberFormat="1" applyFont="1" applyBorder="1"/>
    <xf numFmtId="42" fontId="1" fillId="0" borderId="3" xfId="0" applyNumberFormat="1" applyFont="1" applyBorder="1"/>
    <xf numFmtId="42" fontId="3" fillId="0" borderId="5" xfId="0" applyNumberFormat="1" applyFont="1" applyFill="1" applyBorder="1"/>
    <xf numFmtId="42" fontId="1" fillId="0" borderId="5" xfId="0" applyNumberFormat="1" applyFont="1" applyBorder="1"/>
    <xf numFmtId="42" fontId="0" fillId="0" borderId="17" xfId="0" applyNumberFormat="1" applyBorder="1"/>
    <xf numFmtId="42" fontId="0" fillId="0" borderId="32" xfId="0" applyNumberFormat="1" applyBorder="1"/>
    <xf numFmtId="42" fontId="1" fillId="6" borderId="23" xfId="0" applyNumberFormat="1" applyFont="1" applyFill="1" applyBorder="1"/>
    <xf numFmtId="42" fontId="1" fillId="0" borderId="0" xfId="0" applyNumberFormat="1" applyFont="1" applyBorder="1"/>
    <xf numFmtId="42" fontId="1" fillId="0" borderId="31" xfId="0" applyNumberFormat="1" applyFont="1" applyBorder="1"/>
    <xf numFmtId="42" fontId="4" fillId="0" borderId="5" xfId="0" applyNumberFormat="1" applyFont="1" applyFill="1" applyBorder="1"/>
    <xf numFmtId="42" fontId="4" fillId="0" borderId="8" xfId="0" applyNumberFormat="1" applyFont="1" applyFill="1" applyBorder="1"/>
    <xf numFmtId="42" fontId="2" fillId="8" borderId="0" xfId="0" applyNumberFormat="1" applyFont="1" applyFill="1" applyBorder="1"/>
    <xf numFmtId="42" fontId="0" fillId="0" borderId="14" xfId="0" applyNumberFormat="1" applyBorder="1"/>
    <xf numFmtId="44" fontId="3" fillId="10" borderId="0" xfId="0" applyNumberFormat="1" applyFont="1" applyFill="1" applyBorder="1"/>
    <xf numFmtId="0" fontId="0" fillId="4" borderId="23" xfId="0" applyFill="1" applyBorder="1"/>
    <xf numFmtId="0" fontId="0" fillId="0" borderId="4" xfId="0" applyBorder="1"/>
    <xf numFmtId="0" fontId="0" fillId="0" borderId="0" xfId="0" applyBorder="1"/>
    <xf numFmtId="5" fontId="0" fillId="0" borderId="16" xfId="0" applyNumberFormat="1" applyBorder="1"/>
    <xf numFmtId="5" fontId="0" fillId="0" borderId="17" xfId="0" applyNumberFormat="1" applyBorder="1"/>
    <xf numFmtId="5" fontId="0" fillId="0" borderId="15" xfId="0" applyNumberFormat="1" applyBorder="1"/>
    <xf numFmtId="5" fontId="0" fillId="0" borderId="0" xfId="0" applyNumberFormat="1" applyBorder="1"/>
    <xf numFmtId="0" fontId="0" fillId="0" borderId="4" xfId="0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1" xfId="0" applyFont="1" applyBorder="1"/>
    <xf numFmtId="0" fontId="1" fillId="0" borderId="2" xfId="0" applyFont="1" applyBorder="1"/>
    <xf numFmtId="0" fontId="0" fillId="0" borderId="13" xfId="0" applyBorder="1"/>
    <xf numFmtId="0" fontId="0" fillId="0" borderId="14" xfId="0" applyBorder="1"/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0" fillId="0" borderId="9" xfId="0" applyBorder="1"/>
    <xf numFmtId="0" fontId="0" fillId="0" borderId="10" xfId="0" applyBorder="1"/>
    <xf numFmtId="42" fontId="0" fillId="0" borderId="19" xfId="0" applyNumberFormat="1" applyBorder="1"/>
    <xf numFmtId="42" fontId="0" fillId="0" borderId="20" xfId="0" applyNumberFormat="1" applyBorder="1"/>
    <xf numFmtId="10" fontId="1" fillId="0" borderId="19" xfId="0" applyNumberFormat="1" applyFont="1" applyFill="1" applyBorder="1"/>
    <xf numFmtId="10" fontId="1" fillId="0" borderId="20" xfId="0" applyNumberFormat="1" applyFont="1" applyFill="1" applyBorder="1"/>
    <xf numFmtId="0" fontId="1" fillId="0" borderId="15" xfId="0" applyFont="1" applyBorder="1"/>
    <xf numFmtId="0" fontId="1" fillId="0" borderId="0" xfId="0" applyFont="1" applyBorder="1"/>
    <xf numFmtId="10" fontId="1" fillId="0" borderId="19" xfId="0" applyNumberFormat="1" applyFont="1" applyBorder="1"/>
    <xf numFmtId="10" fontId="1" fillId="0" borderId="20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7" borderId="16" xfId="0" applyFont="1" applyFill="1" applyBorder="1"/>
    <xf numFmtId="0" fontId="1" fillId="7" borderId="17" xfId="0" applyFont="1" applyFill="1" applyBorder="1"/>
    <xf numFmtId="0" fontId="0" fillId="0" borderId="15" xfId="0" applyBorder="1"/>
    <xf numFmtId="0" fontId="1" fillId="2" borderId="13" xfId="0" applyFont="1" applyFill="1" applyBorder="1"/>
    <xf numFmtId="0" fontId="1" fillId="2" borderId="14" xfId="0" applyFont="1" applyFill="1" applyBorder="1"/>
    <xf numFmtId="0" fontId="0" fillId="0" borderId="15" xfId="0" applyFill="1" applyBorder="1"/>
    <xf numFmtId="0" fontId="1" fillId="5" borderId="16" xfId="0" applyFont="1" applyFill="1" applyBorder="1"/>
    <xf numFmtId="0" fontId="1" fillId="5" borderId="17" xfId="0" applyFont="1" applyFill="1" applyBorder="1"/>
    <xf numFmtId="0" fontId="1" fillId="4" borderId="16" xfId="0" applyFont="1" applyFill="1" applyBorder="1"/>
    <xf numFmtId="0" fontId="1" fillId="4" borderId="17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1" fillId="12" borderId="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5" fontId="2" fillId="8" borderId="6" xfId="0" applyNumberFormat="1" applyFont="1" applyFill="1" applyBorder="1" applyAlignment="1">
      <alignment horizontal="center"/>
    </xf>
    <xf numFmtId="5" fontId="2" fillId="8" borderId="7" xfId="0" applyNumberFormat="1" applyFont="1" applyFill="1" applyBorder="1" applyAlignment="1">
      <alignment horizontal="center"/>
    </xf>
    <xf numFmtId="5" fontId="2" fillId="8" borderId="8" xfId="0" applyNumberFormat="1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5" fontId="1" fillId="0" borderId="19" xfId="0" applyNumberFormat="1" applyFont="1" applyBorder="1" applyAlignment="1">
      <alignment horizontal="center"/>
    </xf>
    <xf numFmtId="5" fontId="1" fillId="0" borderId="20" xfId="0" applyNumberFormat="1" applyFont="1" applyBorder="1" applyAlignment="1">
      <alignment horizontal="center"/>
    </xf>
    <xf numFmtId="5" fontId="1" fillId="0" borderId="21" xfId="0" applyNumberFormat="1" applyFont="1" applyBorder="1" applyAlignment="1">
      <alignment horizontal="center"/>
    </xf>
    <xf numFmtId="42" fontId="0" fillId="0" borderId="15" xfId="0" applyNumberFormat="1" applyBorder="1"/>
    <xf numFmtId="42" fontId="0" fillId="0" borderId="0" xfId="0" applyNumberFormat="1" applyBorder="1"/>
    <xf numFmtId="0" fontId="0" fillId="0" borderId="13" xfId="0" applyFill="1" applyBorder="1"/>
    <xf numFmtId="0" fontId="0" fillId="0" borderId="14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6" xfId="0" applyBorder="1"/>
    <xf numFmtId="0" fontId="0" fillId="0" borderId="7" xfId="0" applyBorder="1"/>
    <xf numFmtId="0" fontId="0" fillId="0" borderId="0" xfId="0"/>
    <xf numFmtId="0" fontId="0" fillId="0" borderId="0" xfId="0" applyAlignment="1">
      <alignment horizontal="left"/>
    </xf>
    <xf numFmtId="0" fontId="1" fillId="10" borderId="9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0" fillId="0" borderId="28" xfId="0" applyFill="1" applyBorder="1"/>
    <xf numFmtId="0" fontId="6" fillId="11" borderId="1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8" xfId="0" applyBorder="1"/>
    <xf numFmtId="0" fontId="0" fillId="0" borderId="20" xfId="0" applyBorder="1"/>
    <xf numFmtId="0" fontId="1" fillId="0" borderId="25" xfId="0" applyFont="1" applyBorder="1"/>
    <xf numFmtId="0" fontId="1" fillId="0" borderId="26" xfId="0" applyFont="1" applyBorder="1"/>
  </cellXfs>
  <cellStyles count="1">
    <cellStyle name="Normal" xfId="0" builtinId="0"/>
  </cellStyles>
  <dxfs count="8">
    <dxf>
      <font>
        <b/>
        <i val="0"/>
        <color rgb="FFFF0000"/>
      </font>
      <fill>
        <patternFill>
          <bgColor rgb="FF002060"/>
        </patternFill>
      </fill>
    </dxf>
    <dxf>
      <font>
        <b/>
        <i val="0"/>
        <color rgb="FFFF0000"/>
      </font>
      <fill>
        <patternFill>
          <bgColor rgb="FF002060"/>
        </patternFill>
      </fill>
    </dxf>
    <dxf>
      <font>
        <b/>
        <i val="0"/>
        <color rgb="FFFF0000"/>
      </font>
      <fill>
        <patternFill>
          <bgColor rgb="FF002060"/>
        </patternFill>
      </fill>
    </dxf>
    <dxf>
      <font>
        <b/>
        <i val="0"/>
        <color rgb="FFFF0000"/>
      </font>
      <fill>
        <patternFill>
          <bgColor rgb="FF00206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Income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Analysis!$R$3:$R$7</c:f>
              <c:strCache>
                <c:ptCount val="5"/>
                <c:pt idx="0">
                  <c:v>Unit 1</c:v>
                </c:pt>
                <c:pt idx="1">
                  <c:v>Unit 2</c:v>
                </c:pt>
                <c:pt idx="2">
                  <c:v>Unit 3</c:v>
                </c:pt>
                <c:pt idx="3">
                  <c:v>Unit 4</c:v>
                </c:pt>
                <c:pt idx="4">
                  <c:v>Other</c:v>
                </c:pt>
              </c:strCache>
            </c:strRef>
          </c:cat>
          <c:val>
            <c:numRef>
              <c:f>Analysis!$T$3:$T$7</c:f>
              <c:numCache>
                <c:formatCode>_("$"* #,##0_);_("$"* \(#,##0\);_("$"* "-"_);_(@_)</c:formatCode>
                <c:ptCount val="5"/>
                <c:pt idx="0">
                  <c:v>395</c:v>
                </c:pt>
                <c:pt idx="1">
                  <c:v>445</c:v>
                </c:pt>
                <c:pt idx="2">
                  <c:v>525</c:v>
                </c:pt>
                <c:pt idx="4" formatCode="&quot;$&quot;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F-418E-A1A6-84FE9F29C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Expenses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Display!$X$2:$X$11</c:f>
              <c:strCache>
                <c:ptCount val="10"/>
                <c:pt idx="0">
                  <c:v>Property Taxes</c:v>
                </c:pt>
                <c:pt idx="1">
                  <c:v>Insurance</c:v>
                </c:pt>
                <c:pt idx="2">
                  <c:v>Property Mgmt</c:v>
                </c:pt>
                <c:pt idx="3">
                  <c:v>Maintenance &amp; Repairs</c:v>
                </c:pt>
                <c:pt idx="4">
                  <c:v>Advertising</c:v>
                </c:pt>
                <c:pt idx="5">
                  <c:v>Utilities</c:v>
                </c:pt>
                <c:pt idx="6">
                  <c:v>Other 1</c:v>
                </c:pt>
                <c:pt idx="7">
                  <c:v>Other 2</c:v>
                </c:pt>
                <c:pt idx="8">
                  <c:v>Other 3</c:v>
                </c:pt>
                <c:pt idx="9">
                  <c:v>P&amp;I</c:v>
                </c:pt>
              </c:strCache>
            </c:strRef>
          </c:cat>
          <c:val>
            <c:numRef>
              <c:f>Display!$Y$2:$Y$11</c:f>
              <c:numCache>
                <c:formatCode>"$"#,##0_);\("$"#,##0\)</c:formatCode>
                <c:ptCount val="10"/>
                <c:pt idx="0" formatCode="&quot;$&quot;#,##0.00_);\(&quot;$&quot;#,##0.00\)">
                  <c:v>66.666666666666671</c:v>
                </c:pt>
                <c:pt idx="1">
                  <c:v>75</c:v>
                </c:pt>
                <c:pt idx="2" formatCode="&quot;$&quot;#,##0.00_);\(&quot;$&quot;#,##0.00\)">
                  <c:v>163.79999999999998</c:v>
                </c:pt>
                <c:pt idx="3" formatCode="&quot;$&quot;#,##0.00_);\(&quot;$&quot;#,##0.00\)">
                  <c:v>100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385.465009144085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4-42B5-A3EA-CEBD7D600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30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Income</c:v>
          </c:tx>
          <c:marker>
            <c:symbol val="none"/>
          </c:marker>
          <c:val>
            <c:numRef>
              <c:f>Analysis!$F$21:$AI$21</c:f>
              <c:numCache>
                <c:formatCode>_("$"* #,##0_);_("$"* \(#,##0\);_("$"* "-"_);_(@_)</c:formatCode>
                <c:ptCount val="30"/>
                <c:pt idx="0">
                  <c:v>14742</c:v>
                </c:pt>
                <c:pt idx="1">
                  <c:v>14889.419999999998</c:v>
                </c:pt>
                <c:pt idx="2">
                  <c:v>15038.314199999997</c:v>
                </c:pt>
                <c:pt idx="3">
                  <c:v>15188.697341999996</c:v>
                </c:pt>
                <c:pt idx="4">
                  <c:v>15340.584315419994</c:v>
                </c:pt>
                <c:pt idx="5">
                  <c:v>15493.990158574194</c:v>
                </c:pt>
                <c:pt idx="6">
                  <c:v>15648.930060159935</c:v>
                </c:pt>
                <c:pt idx="7">
                  <c:v>15805.419360761534</c:v>
                </c:pt>
                <c:pt idx="8">
                  <c:v>15963.473554369149</c:v>
                </c:pt>
                <c:pt idx="9">
                  <c:v>16123.108289912841</c:v>
                </c:pt>
                <c:pt idx="10">
                  <c:v>16284.339372811968</c:v>
                </c:pt>
                <c:pt idx="11">
                  <c:v>16447.182766540089</c:v>
                </c:pt>
                <c:pt idx="12">
                  <c:v>16611.654594205487</c:v>
                </c:pt>
                <c:pt idx="13">
                  <c:v>16777.771140147546</c:v>
                </c:pt>
                <c:pt idx="14">
                  <c:v>16945.548851549021</c:v>
                </c:pt>
                <c:pt idx="15">
                  <c:v>17115.004340064512</c:v>
                </c:pt>
                <c:pt idx="16">
                  <c:v>17286.154383465157</c:v>
                </c:pt>
                <c:pt idx="17">
                  <c:v>17459.015927299806</c:v>
                </c:pt>
                <c:pt idx="18">
                  <c:v>17633.606086572807</c:v>
                </c:pt>
                <c:pt idx="19">
                  <c:v>17809.942147438538</c:v>
                </c:pt>
                <c:pt idx="20">
                  <c:v>17988.041568912922</c:v>
                </c:pt>
                <c:pt idx="21">
                  <c:v>18167.92198460205</c:v>
                </c:pt>
                <c:pt idx="22">
                  <c:v>18349.60120444807</c:v>
                </c:pt>
                <c:pt idx="23">
                  <c:v>18533.097216492552</c:v>
                </c:pt>
                <c:pt idx="24">
                  <c:v>18718.428188657475</c:v>
                </c:pt>
                <c:pt idx="25">
                  <c:v>18905.612470544052</c:v>
                </c:pt>
                <c:pt idx="26">
                  <c:v>19094.668595249495</c:v>
                </c:pt>
                <c:pt idx="27">
                  <c:v>19285.615281201986</c:v>
                </c:pt>
                <c:pt idx="28">
                  <c:v>19478.471434014009</c:v>
                </c:pt>
                <c:pt idx="29">
                  <c:v>19673.25614835415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F-4E22-9DB6-E54C8CC41D51}"/>
            </c:ext>
          </c:extLst>
        </c:ser>
        <c:ser>
          <c:idx val="1"/>
          <c:order val="1"/>
          <c:tx>
            <c:v>Expenses</c:v>
          </c:tx>
          <c:marker>
            <c:symbol val="none"/>
          </c:marker>
          <c:val>
            <c:numRef>
              <c:f>Analysis!$F$34:$AI$34</c:f>
              <c:numCache>
                <c:formatCode>_("$"* #,##0_);_("$"* \(#,##0\);_("$"* "-"_);_(@_)</c:formatCode>
                <c:ptCount val="30"/>
                <c:pt idx="0">
                  <c:v>8169.04</c:v>
                </c:pt>
                <c:pt idx="1">
                  <c:v>8250.7304000000004</c:v>
                </c:pt>
                <c:pt idx="2">
                  <c:v>8333.2377039999992</c:v>
                </c:pt>
                <c:pt idx="3">
                  <c:v>8416.5700810399994</c:v>
                </c:pt>
                <c:pt idx="4">
                  <c:v>8500.7357818503988</c:v>
                </c:pt>
                <c:pt idx="5">
                  <c:v>8585.7431396689026</c:v>
                </c:pt>
                <c:pt idx="6">
                  <c:v>8671.6005710655918</c:v>
                </c:pt>
                <c:pt idx="7">
                  <c:v>8758.3165767762475</c:v>
                </c:pt>
                <c:pt idx="8">
                  <c:v>8845.8997425440102</c:v>
                </c:pt>
                <c:pt idx="9">
                  <c:v>8934.3587399694516</c:v>
                </c:pt>
                <c:pt idx="10">
                  <c:v>9023.7023273691448</c:v>
                </c:pt>
                <c:pt idx="11">
                  <c:v>9113.9393506428351</c:v>
                </c:pt>
                <c:pt idx="12">
                  <c:v>9205.0787441492648</c:v>
                </c:pt>
                <c:pt idx="13">
                  <c:v>9297.1295315907573</c:v>
                </c:pt>
                <c:pt idx="14">
                  <c:v>9390.100826906666</c:v>
                </c:pt>
                <c:pt idx="15">
                  <c:v>9484.0018351757317</c:v>
                </c:pt>
                <c:pt idx="16">
                  <c:v>9578.8418535274905</c:v>
                </c:pt>
                <c:pt idx="17">
                  <c:v>9674.6302720627646</c:v>
                </c:pt>
                <c:pt idx="18">
                  <c:v>9771.3765747833932</c:v>
                </c:pt>
                <c:pt idx="19">
                  <c:v>9869.0903405312274</c:v>
                </c:pt>
                <c:pt idx="20">
                  <c:v>9967.7812439365389</c:v>
                </c:pt>
                <c:pt idx="21">
                  <c:v>10067.459056375905</c:v>
                </c:pt>
                <c:pt idx="22">
                  <c:v>10168.133646939663</c:v>
                </c:pt>
                <c:pt idx="23">
                  <c:v>10269.814983409058</c:v>
                </c:pt>
                <c:pt idx="24">
                  <c:v>10372.51313324315</c:v>
                </c:pt>
                <c:pt idx="25">
                  <c:v>10476.238264575581</c:v>
                </c:pt>
                <c:pt idx="26">
                  <c:v>10581.000647221337</c:v>
                </c:pt>
                <c:pt idx="27">
                  <c:v>10686.810653693548</c:v>
                </c:pt>
                <c:pt idx="28">
                  <c:v>10793.678760230483</c:v>
                </c:pt>
                <c:pt idx="29">
                  <c:v>10901.615547832791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F-4E22-9DB6-E54C8CC41D51}"/>
            </c:ext>
          </c:extLst>
        </c:ser>
        <c:ser>
          <c:idx val="2"/>
          <c:order val="2"/>
          <c:tx>
            <c:v>Cash Flow</c:v>
          </c:tx>
          <c:marker>
            <c:symbol val="none"/>
          </c:marker>
          <c:val>
            <c:numRef>
              <c:f>Analysis!$F$41:$AI$41</c:f>
              <c:numCache>
                <c:formatCode>_("$"* #,##0_);_("$"* \(#,##0\);_("$"* "-"_);_(@_)</c:formatCode>
                <c:ptCount val="30"/>
                <c:pt idx="0">
                  <c:v>1947.3798902709796</c:v>
                </c:pt>
                <c:pt idx="1">
                  <c:v>2013.1094902709774</c:v>
                </c:pt>
                <c:pt idx="2">
                  <c:v>2079.4963862709774</c:v>
                </c:pt>
                <c:pt idx="3">
                  <c:v>2146.5471512309759</c:v>
                </c:pt>
                <c:pt idx="4">
                  <c:v>2214.2684238405745</c:v>
                </c:pt>
                <c:pt idx="5">
                  <c:v>2282.6669091762706</c:v>
                </c:pt>
                <c:pt idx="6">
                  <c:v>2351.749379365323</c:v>
                </c:pt>
                <c:pt idx="7">
                  <c:v>2421.5226742562663</c:v>
                </c:pt>
                <c:pt idx="8">
                  <c:v>2491.9937020961188</c:v>
                </c:pt>
                <c:pt idx="9">
                  <c:v>2563.1694402143694</c:v>
                </c:pt>
                <c:pt idx="10">
                  <c:v>2635.0569357138029</c:v>
                </c:pt>
                <c:pt idx="11">
                  <c:v>2707.6633061682332</c:v>
                </c:pt>
                <c:pt idx="12">
                  <c:v>2780.9957403272019</c:v>
                </c:pt>
                <c:pt idx="13">
                  <c:v>2855.0614988277684</c:v>
                </c:pt>
                <c:pt idx="14">
                  <c:v>2929.867914913335</c:v>
                </c:pt>
                <c:pt idx="15">
                  <c:v>3005.4223951597596</c:v>
                </c:pt>
                <c:pt idx="16">
                  <c:v>3081.7324202086456</c:v>
                </c:pt>
                <c:pt idx="17">
                  <c:v>3158.8055455080212</c:v>
                </c:pt>
                <c:pt idx="18">
                  <c:v>3236.6494020603932</c:v>
                </c:pt>
                <c:pt idx="19">
                  <c:v>3315.2716971782902</c:v>
                </c:pt>
                <c:pt idx="20">
                  <c:v>3394.6802152473629</c:v>
                </c:pt>
                <c:pt idx="21">
                  <c:v>3474.8828184971244</c:v>
                </c:pt>
                <c:pt idx="22">
                  <c:v>3555.887447779387</c:v>
                </c:pt>
                <c:pt idx="23">
                  <c:v>3637.7021233544729</c:v>
                </c:pt>
                <c:pt idx="24">
                  <c:v>3720.3349456853048</c:v>
                </c:pt>
                <c:pt idx="25">
                  <c:v>3803.7940962394514</c:v>
                </c:pt>
                <c:pt idx="26">
                  <c:v>3888.0878382991377</c:v>
                </c:pt>
                <c:pt idx="27">
                  <c:v>3973.2245177794175</c:v>
                </c:pt>
                <c:pt idx="28">
                  <c:v>4059.2125640545055</c:v>
                </c:pt>
                <c:pt idx="29">
                  <c:v>4146.0604907923389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EF-4E22-9DB6-E54C8CC41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286400"/>
        <c:axId val="141292288"/>
      </c:lineChart>
      <c:catAx>
        <c:axId val="141286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41292288"/>
        <c:crosses val="autoZero"/>
        <c:auto val="1"/>
        <c:lblAlgn val="ctr"/>
        <c:lblOffset val="100"/>
        <c:noMultiLvlLbl val="0"/>
      </c:catAx>
      <c:valAx>
        <c:axId val="141292288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141286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tx>
            <c:v>Property Value</c:v>
          </c:tx>
          <c:spPr>
            <a:solidFill>
              <a:schemeClr val="accent1">
                <a:alpha val="50000"/>
              </a:schemeClr>
            </a:solidFill>
          </c:spPr>
          <c:val>
            <c:numRef>
              <c:f>Analysis!$F$49:$AI$49</c:f>
              <c:numCache>
                <c:formatCode>_("$"* #,##0_);_("$"* \(#,##0\);_("$"* "-"_);_(@_)</c:formatCode>
                <c:ptCount val="30"/>
                <c:pt idx="0">
                  <c:v>60000</c:v>
                </c:pt>
                <c:pt idx="1">
                  <c:v>60600</c:v>
                </c:pt>
                <c:pt idx="2">
                  <c:v>61206</c:v>
                </c:pt>
                <c:pt idx="3">
                  <c:v>61818.06</c:v>
                </c:pt>
                <c:pt idx="4">
                  <c:v>62436.240599999997</c:v>
                </c:pt>
                <c:pt idx="5">
                  <c:v>63060.603005999998</c:v>
                </c:pt>
                <c:pt idx="6">
                  <c:v>63691.209036059998</c:v>
                </c:pt>
                <c:pt idx="7">
                  <c:v>64328.121126420599</c:v>
                </c:pt>
                <c:pt idx="8">
                  <c:v>64971.402337684805</c:v>
                </c:pt>
                <c:pt idx="9">
                  <c:v>65621.11636106165</c:v>
                </c:pt>
                <c:pt idx="10">
                  <c:v>66277.327524672262</c:v>
                </c:pt>
                <c:pt idx="11">
                  <c:v>66940.10079991899</c:v>
                </c:pt>
                <c:pt idx="12">
                  <c:v>67609.501807918175</c:v>
                </c:pt>
                <c:pt idx="13">
                  <c:v>68285.59682599736</c:v>
                </c:pt>
                <c:pt idx="14">
                  <c:v>68968.452794257333</c:v>
                </c:pt>
                <c:pt idx="15">
                  <c:v>69658.137322199909</c:v>
                </c:pt>
                <c:pt idx="16">
                  <c:v>70354.718695421907</c:v>
                </c:pt>
                <c:pt idx="17">
                  <c:v>71058.26588237613</c:v>
                </c:pt>
                <c:pt idx="18">
                  <c:v>71768.848541199884</c:v>
                </c:pt>
                <c:pt idx="19">
                  <c:v>72486.537026611884</c:v>
                </c:pt>
                <c:pt idx="20">
                  <c:v>73211.402396878009</c:v>
                </c:pt>
                <c:pt idx="21">
                  <c:v>73943.51642084679</c:v>
                </c:pt>
                <c:pt idx="22">
                  <c:v>74682.951585055256</c:v>
                </c:pt>
                <c:pt idx="23">
                  <c:v>75429.781100905806</c:v>
                </c:pt>
                <c:pt idx="24">
                  <c:v>76184.078911914869</c:v>
                </c:pt>
                <c:pt idx="25">
                  <c:v>76945.919701034014</c:v>
                </c:pt>
                <c:pt idx="26">
                  <c:v>77715.37889804435</c:v>
                </c:pt>
                <c:pt idx="27">
                  <c:v>78492.532687024795</c:v>
                </c:pt>
                <c:pt idx="28">
                  <c:v>79277.45801389504</c:v>
                </c:pt>
                <c:pt idx="29">
                  <c:v>80070.232594033994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E-425D-B86A-83DB58435371}"/>
            </c:ext>
          </c:extLst>
        </c:ser>
        <c:ser>
          <c:idx val="1"/>
          <c:order val="1"/>
          <c:tx>
            <c:v>Equity</c:v>
          </c:tx>
          <c:spPr>
            <a:solidFill>
              <a:srgbClr val="00B050">
                <a:alpha val="50000"/>
              </a:srgbClr>
            </a:solidFill>
            <a:ln w="25400">
              <a:noFill/>
            </a:ln>
          </c:spPr>
          <c:val>
            <c:numRef>
              <c:f>Analysis!$F$50:$AI$50</c:f>
              <c:numCache>
                <c:formatCode>_("$"* #,##0_);_("$"* \(#,##0\);_("$"* "-"_);_(@_)</c:formatCode>
                <c:ptCount val="30"/>
                <c:pt idx="0">
                  <c:v>17552.398110959468</c:v>
                </c:pt>
                <c:pt idx="1">
                  <c:v>20075.506161455771</c:v>
                </c:pt>
                <c:pt idx="2">
                  <c:v>22733.408319694834</c:v>
                </c:pt>
                <c:pt idx="3">
                  <c:v>23345.468319694832</c:v>
                </c:pt>
                <c:pt idx="4">
                  <c:v>26152.970765599166</c:v>
                </c:pt>
                <c:pt idx="5">
                  <c:v>31605.665289104814</c:v>
                </c:pt>
                <c:pt idx="6">
                  <c:v>34895.578447711712</c:v>
                </c:pt>
                <c:pt idx="7">
                  <c:v>38369.896390061564</c:v>
                </c:pt>
                <c:pt idx="8">
                  <c:v>39013.177601325777</c:v>
                </c:pt>
                <c:pt idx="9">
                  <c:v>45920.5087179533</c:v>
                </c:pt>
                <c:pt idx="10">
                  <c:v>50023.236264201521</c:v>
                </c:pt>
                <c:pt idx="11">
                  <c:v>54363.345507188191</c:v>
                </c:pt>
                <c:pt idx="12">
                  <c:v>58956.360483122437</c:v>
                </c:pt>
                <c:pt idx="13">
                  <c:v>63818.841163112338</c:v>
                </c:pt>
                <c:pt idx="14">
                  <c:v>68968.45279425809</c:v>
                </c:pt>
                <c:pt idx="15">
                  <c:v>74424.039884272745</c:v>
                </c:pt>
                <c:pt idx="16">
                  <c:v>80205.705140612466</c:v>
                </c:pt>
                <c:pt idx="17">
                  <c:v>86334.8936959251</c:v>
                </c:pt>
                <c:pt idx="18">
                  <c:v>92834.482973847829</c:v>
                </c:pt>
                <c:pt idx="19">
                  <c:v>99728.878572894857</c:v>
                </c:pt>
                <c:pt idx="20">
                  <c:v>107044.11657147342</c:v>
                </c:pt>
                <c:pt idx="21">
                  <c:v>114807.97268405961</c:v>
                </c:pt>
                <c:pt idx="22">
                  <c:v>123050.07872736442</c:v>
                </c:pt>
                <c:pt idx="23">
                  <c:v>131802.04688604997</c:v>
                </c:pt>
                <c:pt idx="24">
                  <c:v>141834.68222783986</c:v>
                </c:pt>
                <c:pt idx="25">
                  <c:v>150972.72453286638</c:v>
                </c:pt>
                <c:pt idx="26">
                  <c:v>161465.79850936739</c:v>
                </c:pt>
                <c:pt idx="27">
                  <c:v>172617.77556778037</c:v>
                </c:pt>
                <c:pt idx="28">
                  <c:v>184472.34529263611</c:v>
                </c:pt>
                <c:pt idx="29">
                  <c:v>197076.11885710323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E-425D-B86A-83DB58435371}"/>
            </c:ext>
          </c:extLst>
        </c:ser>
        <c:ser>
          <c:idx val="2"/>
          <c:order val="2"/>
          <c:tx>
            <c:v>Loan Payoff</c:v>
          </c:tx>
          <c:spPr>
            <a:solidFill>
              <a:srgbClr val="FF0000">
                <a:alpha val="50000"/>
              </a:srgbClr>
            </a:solidFill>
            <a:ln w="25400">
              <a:noFill/>
            </a:ln>
          </c:spPr>
          <c:val>
            <c:numRef>
              <c:f>Amortization!$B$10:$B$39</c:f>
              <c:numCache>
                <c:formatCode>"$"#,##0.00_);\("$"#,##0.00\)</c:formatCode>
                <c:ptCount val="30"/>
                <c:pt idx="0">
                  <c:v>42447.601889040532</c:v>
                </c:pt>
                <c:pt idx="1">
                  <c:v>40524.493838544229</c:v>
                </c:pt>
                <c:pt idx="2">
                  <c:v>38472.591680305166</c:v>
                </c:pt>
                <c:pt idx="3">
                  <c:v>36283.269834400831</c:v>
                </c:pt>
                <c:pt idx="4">
                  <c:v>33947.325049846644</c:v>
                </c:pt>
                <c:pt idx="5">
                  <c:v>31454.937716895183</c:v>
                </c:pt>
                <c:pt idx="6">
                  <c:v>28795.630588348282</c:v>
                </c:pt>
                <c:pt idx="7">
                  <c:v>25958.224736359032</c:v>
                </c:pt>
                <c:pt idx="8">
                  <c:v>22930.792559579204</c:v>
                </c:pt>
                <c:pt idx="9">
                  <c:v>19700.607643108346</c:v>
                </c:pt>
                <c:pt idx="10">
                  <c:v>16254.091260470745</c:v>
                </c:pt>
                <c:pt idx="11">
                  <c:v>12576.755292730799</c:v>
                </c:pt>
                <c:pt idx="12">
                  <c:v>8653.1413247957407</c:v>
                </c:pt>
                <c:pt idx="13">
                  <c:v>4466.7556628850207</c:v>
                </c:pt>
                <c:pt idx="14">
                  <c:v>-7.5510797614697367E-10</c:v>
                </c:pt>
                <c:pt idx="15">
                  <c:v>-4765.9025620728416</c:v>
                </c:pt>
                <c:pt idx="16">
                  <c:v>-9850.9864451905632</c:v>
                </c:pt>
                <c:pt idx="17">
                  <c:v>-15276.62781354897</c:v>
                </c:pt>
                <c:pt idx="18">
                  <c:v>-21065.634432647945</c:v>
                </c:pt>
                <c:pt idx="19">
                  <c:v>-27242.341546282973</c:v>
                </c:pt>
                <c:pt idx="20">
                  <c:v>-33832.714174595421</c:v>
                </c:pt>
                <c:pt idx="21">
                  <c:v>-40864.456263212829</c:v>
                </c:pt>
                <c:pt idx="22">
                  <c:v>-48367.127142309175</c:v>
                </c:pt>
                <c:pt idx="23">
                  <c:v>-56372.265785144162</c:v>
                </c:pt>
                <c:pt idx="24">
                  <c:v>-65650.603315924993</c:v>
                </c:pt>
                <c:pt idx="25">
                  <c:v>-74026.804831832356</c:v>
                </c:pt>
                <c:pt idx="26">
                  <c:v>-83750.419611323057</c:v>
                </c:pt>
                <c:pt idx="27">
                  <c:v>-94125.242880755584</c:v>
                </c:pt>
                <c:pt idx="28">
                  <c:v>-105194.88727874107</c:v>
                </c:pt>
                <c:pt idx="29">
                  <c:v>-117005.88626306923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E-425D-B86A-83DB58435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59936"/>
        <c:axId val="143961472"/>
      </c:areaChart>
      <c:catAx>
        <c:axId val="143959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961472"/>
        <c:crosses val="autoZero"/>
        <c:auto val="1"/>
        <c:lblAlgn val="ctr"/>
        <c:lblOffset val="100"/>
        <c:noMultiLvlLbl val="0"/>
      </c:catAx>
      <c:valAx>
        <c:axId val="143961472"/>
        <c:scaling>
          <c:orientation val="minMax"/>
          <c:min val="0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143959936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942975</xdr:colOff>
      <xdr:row>51</xdr:row>
      <xdr:rowOff>133349</xdr:rowOff>
    </xdr:from>
    <xdr:to>
      <xdr:col>11</xdr:col>
      <xdr:colOff>600075</xdr:colOff>
      <xdr:row>67</xdr:row>
      <xdr:rowOff>95249</xdr:rowOff>
    </xdr:to>
    <xdr:graphicFrame macro="">
      <xdr:nvGraphicFramePr>
        <xdr:cNvPr id="3" name="Chart 2" title="Incom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942975</xdr:colOff>
      <xdr:row>34</xdr:row>
      <xdr:rowOff>57149</xdr:rowOff>
    </xdr:from>
    <xdr:to>
      <xdr:col>11</xdr:col>
      <xdr:colOff>600075</xdr:colOff>
      <xdr:row>50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19047</xdr:colOff>
      <xdr:row>34</xdr:row>
      <xdr:rowOff>19049</xdr:rowOff>
    </xdr:from>
    <xdr:to>
      <xdr:col>7</xdr:col>
      <xdr:colOff>895349</xdr:colOff>
      <xdr:row>50</xdr:row>
      <xdr:rowOff>161924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38102</xdr:colOff>
      <xdr:row>51</xdr:row>
      <xdr:rowOff>133350</xdr:rowOff>
    </xdr:from>
    <xdr:to>
      <xdr:col>7</xdr:col>
      <xdr:colOff>885825</xdr:colOff>
      <xdr:row>67</xdr:row>
      <xdr:rowOff>142875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D50"/>
  <sheetViews>
    <sheetView tabSelected="1" topLeftCell="A25" zoomScale="80" zoomScaleNormal="80" workbookViewId="0">
      <selection activeCell="R6" sqref="R6"/>
    </sheetView>
  </sheetViews>
  <sheetFormatPr defaultRowHeight="15" x14ac:dyDescent="0.25"/>
  <cols>
    <col min="1" max="1" width="0.5703125" customWidth="1"/>
    <col min="2" max="2" width="17.28515625" bestFit="1" customWidth="1"/>
    <col min="3" max="3" width="4.7109375" bestFit="1" customWidth="1"/>
    <col min="4" max="4" width="11.85546875" customWidth="1"/>
    <col min="5" max="5" width="9" bestFit="1" customWidth="1"/>
    <col min="6" max="24" width="10" bestFit="1" customWidth="1"/>
    <col min="25" max="25" width="10" customWidth="1"/>
    <col min="26" max="34" width="10" style="21" bestFit="1" customWidth="1"/>
    <col min="35" max="35" width="11.5703125" style="21" bestFit="1" customWidth="1"/>
    <col min="36" max="36" width="0.5703125" customWidth="1"/>
  </cols>
  <sheetData>
    <row r="1" spans="2:35 16384:16384" ht="15.75" thickBot="1" x14ac:dyDescent="0.3"/>
    <row r="2" spans="2:35 16384:16384" x14ac:dyDescent="0.25">
      <c r="B2" s="165" t="s">
        <v>0</v>
      </c>
      <c r="C2" s="166"/>
      <c r="D2" s="167"/>
      <c r="F2" s="165" t="s">
        <v>1</v>
      </c>
      <c r="G2" s="166"/>
      <c r="H2" s="167"/>
      <c r="J2" s="165" t="s">
        <v>2</v>
      </c>
      <c r="K2" s="166"/>
      <c r="L2" s="167"/>
      <c r="N2" s="160" t="s">
        <v>3</v>
      </c>
      <c r="O2" s="161"/>
      <c r="P2" s="162"/>
      <c r="R2" s="180" t="s">
        <v>461</v>
      </c>
      <c r="S2" s="181"/>
      <c r="T2" s="182"/>
      <c r="V2" s="195" t="s">
        <v>504</v>
      </c>
      <c r="W2" s="196"/>
      <c r="X2" s="197"/>
    </row>
    <row r="3" spans="2:35 16384:16384" ht="15.75" thickBot="1" x14ac:dyDescent="0.3">
      <c r="B3" s="163" t="s">
        <v>4</v>
      </c>
      <c r="C3" s="164"/>
      <c r="D3" s="127">
        <v>59000</v>
      </c>
      <c r="F3" s="144" t="s">
        <v>9</v>
      </c>
      <c r="G3" s="145"/>
      <c r="H3" s="37">
        <v>0.25</v>
      </c>
      <c r="J3" s="144" t="s">
        <v>16</v>
      </c>
      <c r="K3" s="145"/>
      <c r="L3" s="39">
        <v>3</v>
      </c>
      <c r="N3" s="144" t="s">
        <v>22</v>
      </c>
      <c r="O3" s="145"/>
      <c r="P3" s="132">
        <f>SUM(D8/L3)</f>
        <v>21000</v>
      </c>
      <c r="R3" s="58" t="s">
        <v>462</v>
      </c>
      <c r="S3" s="21"/>
      <c r="T3" s="138">
        <v>395</v>
      </c>
      <c r="V3" s="198">
        <v>60000</v>
      </c>
      <c r="W3" s="199"/>
      <c r="X3" s="200"/>
    </row>
    <row r="4" spans="2:35 16384:16384" x14ac:dyDescent="0.25">
      <c r="B4" s="24" t="s">
        <v>459</v>
      </c>
      <c r="C4" s="36"/>
      <c r="D4" s="126">
        <f>SUM(C4*D3)</f>
        <v>0</v>
      </c>
      <c r="F4" s="144" t="s">
        <v>10</v>
      </c>
      <c r="G4" s="145"/>
      <c r="H4" s="126">
        <f>SUM(D3-H5)</f>
        <v>44250</v>
      </c>
      <c r="J4" s="144" t="s">
        <v>17</v>
      </c>
      <c r="K4" s="145"/>
      <c r="L4" s="131">
        <f>SUM(T3:T6)</f>
        <v>1365</v>
      </c>
      <c r="N4" s="144" t="s">
        <v>23</v>
      </c>
      <c r="O4" s="145"/>
      <c r="P4" s="41">
        <f>SUM(F36/D8)</f>
        <v>0.10433269841269842</v>
      </c>
      <c r="R4" s="58" t="s">
        <v>463</v>
      </c>
      <c r="S4" s="21"/>
      <c r="T4" s="138">
        <v>445</v>
      </c>
    </row>
    <row r="5" spans="2:35 16384:16384" ht="15.75" thickBot="1" x14ac:dyDescent="0.3">
      <c r="B5" s="24" t="s">
        <v>460</v>
      </c>
      <c r="C5" s="36"/>
      <c r="D5" s="126">
        <f>SUM(C5*D3)</f>
        <v>0</v>
      </c>
      <c r="F5" s="144" t="s">
        <v>11</v>
      </c>
      <c r="G5" s="145"/>
      <c r="H5" s="126">
        <f>SUM(D3*H3)</f>
        <v>14750</v>
      </c>
      <c r="J5" s="144" t="s">
        <v>18</v>
      </c>
      <c r="K5" s="145"/>
      <c r="L5" s="127"/>
      <c r="N5" s="144" t="s">
        <v>454</v>
      </c>
      <c r="O5" s="145"/>
      <c r="P5" s="42">
        <f>SUM(D8/L7)</f>
        <v>3.8461538461538463</v>
      </c>
      <c r="R5" s="58" t="s">
        <v>464</v>
      </c>
      <c r="S5" s="21"/>
      <c r="T5" s="138">
        <v>525</v>
      </c>
      <c r="V5" s="201" t="s">
        <v>506</v>
      </c>
      <c r="W5" s="202"/>
      <c r="X5" s="203"/>
    </row>
    <row r="6" spans="2:35 16384:16384" ht="15.75" thickBot="1" x14ac:dyDescent="0.3">
      <c r="B6" s="144" t="s">
        <v>5</v>
      </c>
      <c r="C6" s="145"/>
      <c r="D6" s="127">
        <v>2000</v>
      </c>
      <c r="F6" s="144" t="s">
        <v>12</v>
      </c>
      <c r="G6" s="145"/>
      <c r="H6" s="38">
        <v>6.5000000000000002E-2</v>
      </c>
      <c r="J6" s="156" t="s">
        <v>19</v>
      </c>
      <c r="K6" s="157"/>
      <c r="L6" s="130">
        <f>SUM(L4+L5)</f>
        <v>1365</v>
      </c>
      <c r="N6" s="144" t="s">
        <v>455</v>
      </c>
      <c r="O6" s="145"/>
      <c r="P6" s="41">
        <f>F42</f>
        <v>0.10386026081445224</v>
      </c>
      <c r="R6" s="59" t="s">
        <v>465</v>
      </c>
      <c r="S6" s="22"/>
      <c r="T6" s="139"/>
      <c r="V6" s="204">
        <f>SUM(V3-D3)</f>
        <v>1000</v>
      </c>
      <c r="W6" s="205"/>
      <c r="X6" s="206"/>
    </row>
    <row r="7" spans="2:35 16384:16384" ht="15.75" thickBot="1" x14ac:dyDescent="0.3">
      <c r="B7" s="150" t="s">
        <v>6</v>
      </c>
      <c r="C7" s="151"/>
      <c r="D7" s="126">
        <v>2000</v>
      </c>
      <c r="E7" s="47">
        <f>SUM(0.02*D3)</f>
        <v>1180</v>
      </c>
      <c r="F7" s="144" t="s">
        <v>13</v>
      </c>
      <c r="G7" s="145"/>
      <c r="H7" s="39">
        <v>15</v>
      </c>
      <c r="J7" s="168" t="s">
        <v>20</v>
      </c>
      <c r="K7" s="169"/>
      <c r="L7" s="129">
        <f>SUM(L6*12)</f>
        <v>16380</v>
      </c>
      <c r="N7" s="144" t="s">
        <v>456</v>
      </c>
      <c r="O7" s="145"/>
      <c r="P7" s="41">
        <f>F46</f>
        <v>0.23358816006562386</v>
      </c>
      <c r="R7" s="51" t="s">
        <v>466</v>
      </c>
      <c r="S7" s="51"/>
      <c r="T7" s="50">
        <f>L5</f>
        <v>0</v>
      </c>
    </row>
    <row r="8" spans="2:35 16384:16384" ht="15.75" thickBot="1" x14ac:dyDescent="0.3">
      <c r="B8" s="152" t="s">
        <v>7</v>
      </c>
      <c r="C8" s="153"/>
      <c r="D8" s="128">
        <f>ABS(SUM(D3+D6+D7))</f>
        <v>63000</v>
      </c>
      <c r="F8" s="144" t="s">
        <v>14</v>
      </c>
      <c r="G8" s="145"/>
      <c r="H8" s="126">
        <f>SUM((H4*(H6/12)*POWER(1+(H6/12),(H7*12)))/(POWER(1+(H6/12),(H7*12))-1))</f>
        <v>385.465009144085</v>
      </c>
      <c r="J8" s="170" t="s">
        <v>21</v>
      </c>
      <c r="K8" s="171"/>
      <c r="L8" s="40">
        <v>0.1</v>
      </c>
      <c r="N8" s="144" t="s">
        <v>457</v>
      </c>
      <c r="O8" s="145"/>
      <c r="P8" s="72">
        <f>SUM(F36/F40)</f>
        <v>1.421002305456788</v>
      </c>
      <c r="R8" s="84"/>
      <c r="S8" s="84"/>
    </row>
    <row r="9" spans="2:35 16384:16384" ht="15.75" thickBot="1" x14ac:dyDescent="0.3">
      <c r="B9" s="154" t="s">
        <v>8</v>
      </c>
      <c r="C9" s="155"/>
      <c r="D9" s="34">
        <v>0.03</v>
      </c>
      <c r="F9" s="193" t="s">
        <v>15</v>
      </c>
      <c r="G9" s="194"/>
      <c r="H9" s="128">
        <f>SUM(D6+D7+H5)</f>
        <v>18750</v>
      </c>
      <c r="N9" s="213" t="s">
        <v>458</v>
      </c>
      <c r="O9" s="214"/>
      <c r="P9" s="129">
        <f>F41</f>
        <v>1947.3798902709796</v>
      </c>
    </row>
    <row r="10" spans="2:35 16384:16384" x14ac:dyDescent="0.25">
      <c r="AI10" s="11"/>
    </row>
    <row r="11" spans="2:35 16384:16384" x14ac:dyDescent="0.25">
      <c r="B11" s="158" t="s">
        <v>24</v>
      </c>
      <c r="C11" s="159"/>
      <c r="D11" s="159"/>
      <c r="E11" s="35">
        <v>0.01</v>
      </c>
      <c r="F11" s="5">
        <v>0</v>
      </c>
      <c r="G11" s="5">
        <f>E11</f>
        <v>0.01</v>
      </c>
      <c r="H11" s="5">
        <f>E11</f>
        <v>0.01</v>
      </c>
      <c r="I11" s="5">
        <f>E11</f>
        <v>0.01</v>
      </c>
      <c r="J11" s="5">
        <f>E11</f>
        <v>0.01</v>
      </c>
      <c r="K11" s="5">
        <f>E11</f>
        <v>0.01</v>
      </c>
      <c r="L11" s="5">
        <f>E11</f>
        <v>0.01</v>
      </c>
      <c r="M11" s="5">
        <f>E11</f>
        <v>0.01</v>
      </c>
      <c r="N11" s="5">
        <f>E11</f>
        <v>0.01</v>
      </c>
      <c r="O11" s="5">
        <f>E11</f>
        <v>0.01</v>
      </c>
      <c r="P11" s="5">
        <f>E11</f>
        <v>0.01</v>
      </c>
      <c r="Q11" s="5">
        <f>E11</f>
        <v>0.01</v>
      </c>
      <c r="R11" s="5">
        <f>E11</f>
        <v>0.01</v>
      </c>
      <c r="S11" s="5">
        <f>E11</f>
        <v>0.01</v>
      </c>
      <c r="T11" s="5">
        <f>E11</f>
        <v>0.01</v>
      </c>
      <c r="U11" s="5">
        <f>E11</f>
        <v>0.01</v>
      </c>
      <c r="V11" s="5">
        <f>E11</f>
        <v>0.01</v>
      </c>
      <c r="W11" s="5">
        <f>E11</f>
        <v>0.01</v>
      </c>
      <c r="X11" s="5">
        <f>E11</f>
        <v>0.01</v>
      </c>
      <c r="Y11" s="5">
        <f>E11</f>
        <v>0.01</v>
      </c>
      <c r="Z11" s="5">
        <f>E11</f>
        <v>0.01</v>
      </c>
      <c r="AA11" s="5">
        <f>E11</f>
        <v>0.01</v>
      </c>
      <c r="AB11" s="5">
        <f>E11</f>
        <v>0.01</v>
      </c>
      <c r="AC11" s="5">
        <f>E11</f>
        <v>0.01</v>
      </c>
      <c r="AD11" s="5">
        <f>E11</f>
        <v>0.01</v>
      </c>
      <c r="AE11" s="5">
        <f>E11</f>
        <v>0.01</v>
      </c>
      <c r="AF11" s="5">
        <f>E11</f>
        <v>0.01</v>
      </c>
      <c r="AG11" s="5">
        <f>E11</f>
        <v>0.01</v>
      </c>
      <c r="AH11" s="5">
        <f>E11</f>
        <v>0.01</v>
      </c>
      <c r="AI11" s="88">
        <f>E11</f>
        <v>0.01</v>
      </c>
      <c r="XFD11" s="7"/>
    </row>
    <row r="12" spans="2:35 16384:16384" x14ac:dyDescent="0.25">
      <c r="B12" s="185" t="s">
        <v>25</v>
      </c>
      <c r="C12" s="145"/>
      <c r="D12" s="145"/>
      <c r="E12" s="36">
        <v>0.01</v>
      </c>
      <c r="F12" s="6">
        <v>0</v>
      </c>
      <c r="G12" s="5">
        <f>E12</f>
        <v>0.01</v>
      </c>
      <c r="H12" s="6">
        <f>E12</f>
        <v>0.01</v>
      </c>
      <c r="I12" s="6">
        <f>E12</f>
        <v>0.01</v>
      </c>
      <c r="J12" s="6">
        <f>E12</f>
        <v>0.01</v>
      </c>
      <c r="K12" s="6">
        <f>E12</f>
        <v>0.01</v>
      </c>
      <c r="L12" s="6">
        <f>E12</f>
        <v>0.01</v>
      </c>
      <c r="M12" s="6">
        <f>E12</f>
        <v>0.01</v>
      </c>
      <c r="N12" s="6">
        <f>E12</f>
        <v>0.01</v>
      </c>
      <c r="O12" s="6">
        <f>E12</f>
        <v>0.01</v>
      </c>
      <c r="P12" s="6">
        <f>E12</f>
        <v>0.01</v>
      </c>
      <c r="Q12" s="6">
        <f>E12</f>
        <v>0.01</v>
      </c>
      <c r="R12" s="6">
        <f>E12</f>
        <v>0.01</v>
      </c>
      <c r="S12" s="6">
        <f>E12</f>
        <v>0.01</v>
      </c>
      <c r="T12" s="6">
        <f>E12</f>
        <v>0.01</v>
      </c>
      <c r="U12" s="6">
        <f>E12</f>
        <v>0.01</v>
      </c>
      <c r="V12" s="6">
        <f>E12</f>
        <v>0.01</v>
      </c>
      <c r="W12" s="6">
        <f>E12</f>
        <v>0.01</v>
      </c>
      <c r="X12" s="6">
        <f>E12</f>
        <v>0.01</v>
      </c>
      <c r="Y12" s="6">
        <f>E12</f>
        <v>0.01</v>
      </c>
      <c r="Z12" s="6">
        <f>E12</f>
        <v>0.01</v>
      </c>
      <c r="AA12" s="6">
        <f>E12</f>
        <v>0.01</v>
      </c>
      <c r="AB12" s="6">
        <f>E12</f>
        <v>0.01</v>
      </c>
      <c r="AC12" s="6">
        <f>E12</f>
        <v>0.01</v>
      </c>
      <c r="AD12" s="6">
        <f>E12</f>
        <v>0.01</v>
      </c>
      <c r="AE12" s="6">
        <f>E12</f>
        <v>0.01</v>
      </c>
      <c r="AF12" s="6">
        <f>E12</f>
        <v>0.01</v>
      </c>
      <c r="AG12" s="6">
        <f>E12</f>
        <v>0.01</v>
      </c>
      <c r="AH12" s="6">
        <f>E12</f>
        <v>0.01</v>
      </c>
      <c r="AI12" s="89">
        <f>E12</f>
        <v>0.01</v>
      </c>
    </row>
    <row r="13" spans="2:35 16384:16384" x14ac:dyDescent="0.25">
      <c r="B13" s="158" t="s">
        <v>26</v>
      </c>
      <c r="C13" s="159"/>
      <c r="D13" s="159"/>
      <c r="E13" s="35">
        <v>0.01</v>
      </c>
      <c r="F13" s="5">
        <f>E13</f>
        <v>0.01</v>
      </c>
      <c r="G13" s="5">
        <f>E13</f>
        <v>0.01</v>
      </c>
      <c r="H13" s="5">
        <f>E13</f>
        <v>0.01</v>
      </c>
      <c r="I13" s="5">
        <f>E13</f>
        <v>0.01</v>
      </c>
      <c r="J13" s="5">
        <f>E13</f>
        <v>0.01</v>
      </c>
      <c r="K13" s="5">
        <f>E13</f>
        <v>0.01</v>
      </c>
      <c r="L13" s="5">
        <f>E13</f>
        <v>0.01</v>
      </c>
      <c r="M13" s="5">
        <f>E13</f>
        <v>0.01</v>
      </c>
      <c r="N13" s="5">
        <f>E13</f>
        <v>0.01</v>
      </c>
      <c r="O13" s="5">
        <f>E13</f>
        <v>0.01</v>
      </c>
      <c r="P13" s="5">
        <f>E13</f>
        <v>0.01</v>
      </c>
      <c r="Q13" s="5">
        <f>E13</f>
        <v>0.01</v>
      </c>
      <c r="R13" s="5">
        <f>E13</f>
        <v>0.01</v>
      </c>
      <c r="S13" s="5">
        <f>E13</f>
        <v>0.01</v>
      </c>
      <c r="T13" s="5">
        <f>E13</f>
        <v>0.01</v>
      </c>
      <c r="U13" s="5">
        <f>E13</f>
        <v>0.01</v>
      </c>
      <c r="V13" s="5">
        <f>E13</f>
        <v>0.01</v>
      </c>
      <c r="W13" s="5">
        <f>E13</f>
        <v>0.01</v>
      </c>
      <c r="X13" s="5">
        <f>E13</f>
        <v>0.01</v>
      </c>
      <c r="Y13" s="5">
        <f>E13</f>
        <v>0.01</v>
      </c>
      <c r="Z13" s="5">
        <f>E13</f>
        <v>0.01</v>
      </c>
      <c r="AA13" s="5">
        <f>E13</f>
        <v>0.01</v>
      </c>
      <c r="AB13" s="5">
        <f>E13</f>
        <v>0.01</v>
      </c>
      <c r="AC13" s="5">
        <f>E13</f>
        <v>0.01</v>
      </c>
      <c r="AD13" s="5">
        <f>E13</f>
        <v>0.01</v>
      </c>
      <c r="AE13" s="5">
        <f>E13</f>
        <v>0.01</v>
      </c>
      <c r="AF13" s="5">
        <f>E13</f>
        <v>0.01</v>
      </c>
      <c r="AG13" s="5">
        <f>E13</f>
        <v>0.01</v>
      </c>
      <c r="AH13" s="5">
        <f>E13</f>
        <v>0.01</v>
      </c>
      <c r="AI13" s="88">
        <f>E13</f>
        <v>0.01</v>
      </c>
    </row>
    <row r="14" spans="2:35 16384:16384" x14ac:dyDescent="0.25">
      <c r="AI14" s="24"/>
    </row>
    <row r="15" spans="2:35 16384:16384" s="1" customFormat="1" x14ac:dyDescent="0.25">
      <c r="E15" s="9" t="s">
        <v>27</v>
      </c>
      <c r="F15" s="14" t="s">
        <v>28</v>
      </c>
      <c r="G15" s="9" t="s">
        <v>29</v>
      </c>
      <c r="H15" s="9" t="s">
        <v>30</v>
      </c>
      <c r="I15" s="9" t="s">
        <v>31</v>
      </c>
      <c r="J15" s="9" t="s">
        <v>32</v>
      </c>
      <c r="K15" s="9" t="s">
        <v>33</v>
      </c>
      <c r="L15" s="9" t="s">
        <v>34</v>
      </c>
      <c r="M15" s="9" t="s">
        <v>35</v>
      </c>
      <c r="N15" s="9" t="s">
        <v>36</v>
      </c>
      <c r="O15" s="9" t="s">
        <v>37</v>
      </c>
      <c r="P15" s="9" t="s">
        <v>38</v>
      </c>
      <c r="Q15" s="9" t="s">
        <v>39</v>
      </c>
      <c r="R15" s="9" t="s">
        <v>40</v>
      </c>
      <c r="S15" s="9" t="s">
        <v>41</v>
      </c>
      <c r="T15" s="9" t="s">
        <v>42</v>
      </c>
      <c r="U15" s="9" t="s">
        <v>43</v>
      </c>
      <c r="V15" s="9" t="s">
        <v>44</v>
      </c>
      <c r="W15" s="9" t="s">
        <v>45</v>
      </c>
      <c r="X15" s="9" t="s">
        <v>46</v>
      </c>
      <c r="Y15" s="9" t="s">
        <v>47</v>
      </c>
      <c r="Z15" s="87" t="s">
        <v>48</v>
      </c>
      <c r="AA15" s="87" t="s">
        <v>49</v>
      </c>
      <c r="AB15" s="87" t="s">
        <v>50</v>
      </c>
      <c r="AC15" s="87" t="s">
        <v>51</v>
      </c>
      <c r="AD15" s="87" t="s">
        <v>52</v>
      </c>
      <c r="AE15" s="87" t="s">
        <v>53</v>
      </c>
      <c r="AF15" s="87" t="s">
        <v>54</v>
      </c>
      <c r="AG15" s="87" t="s">
        <v>55</v>
      </c>
      <c r="AH15" s="87" t="s">
        <v>56</v>
      </c>
      <c r="AI15" s="90" t="s">
        <v>57</v>
      </c>
    </row>
    <row r="16" spans="2:35 16384:16384" x14ac:dyDescent="0.25">
      <c r="B16" s="191" t="s">
        <v>58</v>
      </c>
      <c r="C16" s="192"/>
      <c r="D16" s="192"/>
      <c r="E16" s="192"/>
      <c r="F16" s="1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91"/>
    </row>
    <row r="17" spans="2:35" x14ac:dyDescent="0.25">
      <c r="B17" s="185" t="s">
        <v>59</v>
      </c>
      <c r="C17" s="145"/>
      <c r="D17" s="3"/>
      <c r="E17" s="82">
        <f>L4</f>
        <v>1365</v>
      </c>
      <c r="F17" s="83">
        <f>SUM(12*E17)</f>
        <v>16380</v>
      </c>
      <c r="G17" s="82">
        <f>SUM(F17+(G11*F17))</f>
        <v>16543.8</v>
      </c>
      <c r="H17" s="82">
        <f t="shared" ref="H17:AI17" si="0">SUM(G17+(H11*G17))</f>
        <v>16709.237999999998</v>
      </c>
      <c r="I17" s="82">
        <f t="shared" si="0"/>
        <v>16876.330379999996</v>
      </c>
      <c r="J17" s="82">
        <f t="shared" si="0"/>
        <v>17045.093683799994</v>
      </c>
      <c r="K17" s="82">
        <f t="shared" si="0"/>
        <v>17215.544620637993</v>
      </c>
      <c r="L17" s="82">
        <f t="shared" si="0"/>
        <v>17387.700066844372</v>
      </c>
      <c r="M17" s="82">
        <f t="shared" si="0"/>
        <v>17561.577067512815</v>
      </c>
      <c r="N17" s="82">
        <f t="shared" si="0"/>
        <v>17737.192838187944</v>
      </c>
      <c r="O17" s="82">
        <f t="shared" si="0"/>
        <v>17914.564766569823</v>
      </c>
      <c r="P17" s="82">
        <f t="shared" si="0"/>
        <v>18093.71041423552</v>
      </c>
      <c r="Q17" s="82">
        <f t="shared" si="0"/>
        <v>18274.647518377875</v>
      </c>
      <c r="R17" s="82">
        <f t="shared" si="0"/>
        <v>18457.393993561654</v>
      </c>
      <c r="S17" s="82">
        <f t="shared" si="0"/>
        <v>18641.967933497272</v>
      </c>
      <c r="T17" s="82">
        <f t="shared" si="0"/>
        <v>18828.387612832244</v>
      </c>
      <c r="U17" s="82">
        <f t="shared" si="0"/>
        <v>19016.671488960568</v>
      </c>
      <c r="V17" s="82">
        <f t="shared" si="0"/>
        <v>19206.838203850173</v>
      </c>
      <c r="W17" s="82">
        <f t="shared" si="0"/>
        <v>19398.906585888675</v>
      </c>
      <c r="X17" s="82">
        <f t="shared" si="0"/>
        <v>19592.895651747564</v>
      </c>
      <c r="Y17" s="82">
        <f t="shared" si="0"/>
        <v>19788.82460826504</v>
      </c>
      <c r="Z17" s="82">
        <f t="shared" si="0"/>
        <v>19986.71285434769</v>
      </c>
      <c r="AA17" s="82">
        <f t="shared" si="0"/>
        <v>20186.579982891166</v>
      </c>
      <c r="AB17" s="82">
        <f t="shared" si="0"/>
        <v>20388.445782720079</v>
      </c>
      <c r="AC17" s="82">
        <f t="shared" si="0"/>
        <v>20592.330240547279</v>
      </c>
      <c r="AD17" s="82">
        <f t="shared" si="0"/>
        <v>20798.253542952752</v>
      </c>
      <c r="AE17" s="82">
        <f t="shared" si="0"/>
        <v>21006.236078382281</v>
      </c>
      <c r="AF17" s="82">
        <f t="shared" si="0"/>
        <v>21216.298439166105</v>
      </c>
      <c r="AG17" s="82">
        <f t="shared" si="0"/>
        <v>21428.461423557765</v>
      </c>
      <c r="AH17" s="82">
        <f t="shared" si="0"/>
        <v>21642.746037793342</v>
      </c>
      <c r="AI17" s="95">
        <f t="shared" si="0"/>
        <v>21859.173498171276</v>
      </c>
    </row>
    <row r="18" spans="2:35" x14ac:dyDescent="0.25">
      <c r="B18" s="185" t="s">
        <v>21</v>
      </c>
      <c r="C18" s="145"/>
      <c r="D18" s="43">
        <f>L8</f>
        <v>0.1</v>
      </c>
      <c r="E18" s="82">
        <f>SUM(-(L4*D18))</f>
        <v>-136.5</v>
      </c>
      <c r="F18" s="83">
        <f>SUM(-(F17*D18))</f>
        <v>-1638</v>
      </c>
      <c r="G18" s="111">
        <f>SUM(-(G17*$D$18))</f>
        <v>-1654.38</v>
      </c>
      <c r="H18" s="111">
        <f t="shared" ref="H18:AI18" si="1">SUM(-(H17*$D$18))</f>
        <v>-1670.9237999999998</v>
      </c>
      <c r="I18" s="111">
        <f t="shared" si="1"/>
        <v>-1687.6330379999997</v>
      </c>
      <c r="J18" s="111">
        <f t="shared" si="1"/>
        <v>-1704.5093683799996</v>
      </c>
      <c r="K18" s="111">
        <f t="shared" si="1"/>
        <v>-1721.5544620637993</v>
      </c>
      <c r="L18" s="111">
        <f t="shared" si="1"/>
        <v>-1738.7700066844372</v>
      </c>
      <c r="M18" s="111">
        <f t="shared" si="1"/>
        <v>-1756.1577067512817</v>
      </c>
      <c r="N18" s="111">
        <f t="shared" si="1"/>
        <v>-1773.7192838187946</v>
      </c>
      <c r="O18" s="111">
        <f t="shared" si="1"/>
        <v>-1791.4564766569824</v>
      </c>
      <c r="P18" s="111">
        <f t="shared" si="1"/>
        <v>-1809.371041423552</v>
      </c>
      <c r="Q18" s="111">
        <f t="shared" si="1"/>
        <v>-1827.4647518377876</v>
      </c>
      <c r="R18" s="111">
        <f t="shared" si="1"/>
        <v>-1845.7393993561654</v>
      </c>
      <c r="S18" s="111">
        <f t="shared" si="1"/>
        <v>-1864.1967933497272</v>
      </c>
      <c r="T18" s="111">
        <f t="shared" si="1"/>
        <v>-1882.8387612832246</v>
      </c>
      <c r="U18" s="111">
        <f t="shared" si="1"/>
        <v>-1901.6671488960569</v>
      </c>
      <c r="V18" s="111">
        <f t="shared" si="1"/>
        <v>-1920.6838203850175</v>
      </c>
      <c r="W18" s="111">
        <f t="shared" si="1"/>
        <v>-1939.8906585888676</v>
      </c>
      <c r="X18" s="111">
        <f t="shared" si="1"/>
        <v>-1959.2895651747565</v>
      </c>
      <c r="Y18" s="111">
        <f t="shared" si="1"/>
        <v>-1978.882460826504</v>
      </c>
      <c r="Z18" s="111">
        <f t="shared" si="1"/>
        <v>-1998.6712854347691</v>
      </c>
      <c r="AA18" s="111">
        <f t="shared" si="1"/>
        <v>-2018.6579982891167</v>
      </c>
      <c r="AB18" s="111">
        <f t="shared" si="1"/>
        <v>-2038.844578272008</v>
      </c>
      <c r="AC18" s="111">
        <f t="shared" si="1"/>
        <v>-2059.233024054728</v>
      </c>
      <c r="AD18" s="111">
        <f t="shared" si="1"/>
        <v>-2079.8253542952752</v>
      </c>
      <c r="AE18" s="111">
        <f t="shared" si="1"/>
        <v>-2100.6236078382281</v>
      </c>
      <c r="AF18" s="111">
        <f t="shared" si="1"/>
        <v>-2121.6298439166108</v>
      </c>
      <c r="AG18" s="111">
        <f t="shared" si="1"/>
        <v>-2142.8461423557765</v>
      </c>
      <c r="AH18" s="111">
        <f t="shared" si="1"/>
        <v>-2164.2746037793345</v>
      </c>
      <c r="AI18" s="112">
        <f t="shared" si="1"/>
        <v>-2185.9173498171276</v>
      </c>
    </row>
    <row r="19" spans="2:35" x14ac:dyDescent="0.25">
      <c r="B19" s="185" t="s">
        <v>60</v>
      </c>
      <c r="C19" s="145"/>
      <c r="D19" s="3"/>
      <c r="E19" s="82">
        <f>SUM(E17+E18)</f>
        <v>1228.5</v>
      </c>
      <c r="F19" s="83">
        <f>SUM(12*E19)</f>
        <v>14742</v>
      </c>
      <c r="G19" s="82">
        <f>SUM(G17+G18)</f>
        <v>14889.419999999998</v>
      </c>
      <c r="H19" s="82">
        <f>SUM(H17+H18)</f>
        <v>15038.314199999997</v>
      </c>
      <c r="I19" s="82">
        <f>SUM(I17+I18)</f>
        <v>15188.697341999996</v>
      </c>
      <c r="J19" s="82">
        <f t="shared" ref="J19:AI19" si="2">SUM(J17+J18)</f>
        <v>15340.584315419994</v>
      </c>
      <c r="K19" s="82">
        <f t="shared" si="2"/>
        <v>15493.990158574194</v>
      </c>
      <c r="L19" s="82">
        <f t="shared" si="2"/>
        <v>15648.930060159935</v>
      </c>
      <c r="M19" s="82">
        <f t="shared" si="2"/>
        <v>15805.419360761534</v>
      </c>
      <c r="N19" s="82">
        <f t="shared" si="2"/>
        <v>15963.473554369149</v>
      </c>
      <c r="O19" s="82">
        <f t="shared" si="2"/>
        <v>16123.108289912841</v>
      </c>
      <c r="P19" s="82">
        <f t="shared" si="2"/>
        <v>16284.339372811968</v>
      </c>
      <c r="Q19" s="82">
        <f t="shared" si="2"/>
        <v>16447.182766540089</v>
      </c>
      <c r="R19" s="82">
        <f t="shared" si="2"/>
        <v>16611.654594205487</v>
      </c>
      <c r="S19" s="82">
        <f t="shared" si="2"/>
        <v>16777.771140147546</v>
      </c>
      <c r="T19" s="82">
        <f t="shared" si="2"/>
        <v>16945.548851549021</v>
      </c>
      <c r="U19" s="82">
        <f t="shared" si="2"/>
        <v>17115.004340064512</v>
      </c>
      <c r="V19" s="82">
        <f t="shared" si="2"/>
        <v>17286.154383465157</v>
      </c>
      <c r="W19" s="82">
        <f t="shared" si="2"/>
        <v>17459.015927299806</v>
      </c>
      <c r="X19" s="82">
        <f t="shared" si="2"/>
        <v>17633.606086572807</v>
      </c>
      <c r="Y19" s="82">
        <f t="shared" si="2"/>
        <v>17809.942147438538</v>
      </c>
      <c r="Z19" s="82">
        <f t="shared" si="2"/>
        <v>17988.041568912922</v>
      </c>
      <c r="AA19" s="82">
        <f t="shared" si="2"/>
        <v>18167.92198460205</v>
      </c>
      <c r="AB19" s="82">
        <f t="shared" si="2"/>
        <v>18349.60120444807</v>
      </c>
      <c r="AC19" s="82">
        <f t="shared" si="2"/>
        <v>18533.097216492552</v>
      </c>
      <c r="AD19" s="82">
        <f t="shared" si="2"/>
        <v>18718.428188657475</v>
      </c>
      <c r="AE19" s="82">
        <f t="shared" si="2"/>
        <v>18905.612470544052</v>
      </c>
      <c r="AF19" s="82">
        <f t="shared" si="2"/>
        <v>19094.668595249495</v>
      </c>
      <c r="AG19" s="82">
        <f t="shared" si="2"/>
        <v>19285.615281201986</v>
      </c>
      <c r="AH19" s="82">
        <f t="shared" si="2"/>
        <v>19478.471434014009</v>
      </c>
      <c r="AI19" s="95">
        <f t="shared" si="2"/>
        <v>19673.25614835415</v>
      </c>
    </row>
    <row r="20" spans="2:35" x14ac:dyDescent="0.25">
      <c r="B20" s="188" t="s">
        <v>61</v>
      </c>
      <c r="C20" s="151"/>
      <c r="D20" s="3"/>
      <c r="E20" s="82">
        <f>L5</f>
        <v>0</v>
      </c>
      <c r="F20" s="83">
        <f>SUM(12*E20)</f>
        <v>0</v>
      </c>
      <c r="G20" s="82">
        <f>SUM(F20+(G11*F20))</f>
        <v>0</v>
      </c>
      <c r="H20" s="82">
        <f t="shared" ref="H20:AI20" si="3">SUM(G20+(H11*G20))</f>
        <v>0</v>
      </c>
      <c r="I20" s="82">
        <f t="shared" si="3"/>
        <v>0</v>
      </c>
      <c r="J20" s="82">
        <f t="shared" si="3"/>
        <v>0</v>
      </c>
      <c r="K20" s="82">
        <f t="shared" si="3"/>
        <v>0</v>
      </c>
      <c r="L20" s="82">
        <f t="shared" si="3"/>
        <v>0</v>
      </c>
      <c r="M20" s="82">
        <f t="shared" si="3"/>
        <v>0</v>
      </c>
      <c r="N20" s="82">
        <f t="shared" si="3"/>
        <v>0</v>
      </c>
      <c r="O20" s="82">
        <f t="shared" si="3"/>
        <v>0</v>
      </c>
      <c r="P20" s="82">
        <f t="shared" si="3"/>
        <v>0</v>
      </c>
      <c r="Q20" s="82">
        <f t="shared" si="3"/>
        <v>0</v>
      </c>
      <c r="R20" s="82">
        <f t="shared" si="3"/>
        <v>0</v>
      </c>
      <c r="S20" s="82">
        <f t="shared" si="3"/>
        <v>0</v>
      </c>
      <c r="T20" s="82">
        <f t="shared" si="3"/>
        <v>0</v>
      </c>
      <c r="U20" s="82">
        <f t="shared" si="3"/>
        <v>0</v>
      </c>
      <c r="V20" s="82">
        <f t="shared" si="3"/>
        <v>0</v>
      </c>
      <c r="W20" s="82">
        <f t="shared" si="3"/>
        <v>0</v>
      </c>
      <c r="X20" s="82">
        <f t="shared" si="3"/>
        <v>0</v>
      </c>
      <c r="Y20" s="82">
        <f t="shared" si="3"/>
        <v>0</v>
      </c>
      <c r="Z20" s="82">
        <f t="shared" si="3"/>
        <v>0</v>
      </c>
      <c r="AA20" s="82">
        <f t="shared" si="3"/>
        <v>0</v>
      </c>
      <c r="AB20" s="82">
        <f t="shared" si="3"/>
        <v>0</v>
      </c>
      <c r="AC20" s="82">
        <f t="shared" si="3"/>
        <v>0</v>
      </c>
      <c r="AD20" s="82">
        <f t="shared" si="3"/>
        <v>0</v>
      </c>
      <c r="AE20" s="82">
        <f t="shared" si="3"/>
        <v>0</v>
      </c>
      <c r="AF20" s="82">
        <f t="shared" si="3"/>
        <v>0</v>
      </c>
      <c r="AG20" s="82">
        <f t="shared" si="3"/>
        <v>0</v>
      </c>
      <c r="AH20" s="82">
        <f t="shared" si="3"/>
        <v>0</v>
      </c>
      <c r="AI20" s="95">
        <f t="shared" si="3"/>
        <v>0</v>
      </c>
    </row>
    <row r="21" spans="2:35" x14ac:dyDescent="0.25">
      <c r="B21" s="211" t="s">
        <v>62</v>
      </c>
      <c r="C21" s="212"/>
      <c r="D21" s="11"/>
      <c r="E21" s="85">
        <f>SUM(E19+E20)</f>
        <v>1228.5</v>
      </c>
      <c r="F21" s="123">
        <f>SUM(12*E21)</f>
        <v>14742</v>
      </c>
      <c r="G21" s="124">
        <f>SUM(G19:G20)</f>
        <v>14889.419999999998</v>
      </c>
      <c r="H21" s="124">
        <f>SUM(H19:H20)</f>
        <v>15038.314199999997</v>
      </c>
      <c r="I21" s="124">
        <f t="shared" ref="I21:AI21" si="4">SUM(I19:I20)</f>
        <v>15188.697341999996</v>
      </c>
      <c r="J21" s="124">
        <f t="shared" si="4"/>
        <v>15340.584315419994</v>
      </c>
      <c r="K21" s="124">
        <f t="shared" si="4"/>
        <v>15493.990158574194</v>
      </c>
      <c r="L21" s="124">
        <f t="shared" si="4"/>
        <v>15648.930060159935</v>
      </c>
      <c r="M21" s="124">
        <f t="shared" si="4"/>
        <v>15805.419360761534</v>
      </c>
      <c r="N21" s="124">
        <f t="shared" si="4"/>
        <v>15963.473554369149</v>
      </c>
      <c r="O21" s="124">
        <f t="shared" si="4"/>
        <v>16123.108289912841</v>
      </c>
      <c r="P21" s="124">
        <f t="shared" si="4"/>
        <v>16284.339372811968</v>
      </c>
      <c r="Q21" s="124">
        <f t="shared" si="4"/>
        <v>16447.182766540089</v>
      </c>
      <c r="R21" s="124">
        <f t="shared" si="4"/>
        <v>16611.654594205487</v>
      </c>
      <c r="S21" s="124">
        <f t="shared" si="4"/>
        <v>16777.771140147546</v>
      </c>
      <c r="T21" s="124">
        <f t="shared" si="4"/>
        <v>16945.548851549021</v>
      </c>
      <c r="U21" s="124">
        <f t="shared" si="4"/>
        <v>17115.004340064512</v>
      </c>
      <c r="V21" s="124">
        <f t="shared" si="4"/>
        <v>17286.154383465157</v>
      </c>
      <c r="W21" s="124">
        <f t="shared" si="4"/>
        <v>17459.015927299806</v>
      </c>
      <c r="X21" s="124">
        <f t="shared" si="4"/>
        <v>17633.606086572807</v>
      </c>
      <c r="Y21" s="124">
        <f t="shared" si="4"/>
        <v>17809.942147438538</v>
      </c>
      <c r="Z21" s="124">
        <f t="shared" si="4"/>
        <v>17988.041568912922</v>
      </c>
      <c r="AA21" s="124">
        <f t="shared" si="4"/>
        <v>18167.92198460205</v>
      </c>
      <c r="AB21" s="124">
        <f t="shared" si="4"/>
        <v>18349.60120444807</v>
      </c>
      <c r="AC21" s="124">
        <f t="shared" si="4"/>
        <v>18533.097216492552</v>
      </c>
      <c r="AD21" s="124">
        <f t="shared" si="4"/>
        <v>18718.428188657475</v>
      </c>
      <c r="AE21" s="124">
        <f t="shared" si="4"/>
        <v>18905.612470544052</v>
      </c>
      <c r="AF21" s="124">
        <f t="shared" si="4"/>
        <v>19094.668595249495</v>
      </c>
      <c r="AG21" s="124">
        <f t="shared" si="4"/>
        <v>19285.615281201986</v>
      </c>
      <c r="AH21" s="124">
        <f t="shared" si="4"/>
        <v>19478.471434014009</v>
      </c>
      <c r="AI21" s="125">
        <f t="shared" si="4"/>
        <v>19673.25614835415</v>
      </c>
    </row>
    <row r="22" spans="2:35" x14ac:dyDescent="0.25">
      <c r="F22" s="16"/>
      <c r="AI22" s="24"/>
    </row>
    <row r="23" spans="2:35" x14ac:dyDescent="0.25">
      <c r="B23" s="189" t="s">
        <v>63</v>
      </c>
      <c r="C23" s="190"/>
      <c r="D23" s="190"/>
      <c r="E23" s="190"/>
      <c r="F23" s="17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92"/>
    </row>
    <row r="24" spans="2:35" x14ac:dyDescent="0.25">
      <c r="B24" s="188" t="s">
        <v>64</v>
      </c>
      <c r="C24" s="151"/>
      <c r="D24" s="3" t="s">
        <v>74</v>
      </c>
      <c r="E24" s="140">
        <v>800</v>
      </c>
      <c r="F24" s="83">
        <f>SUM(E24+(E24*$F$12))</f>
        <v>800</v>
      </c>
      <c r="G24" s="111">
        <f>SUM(F24+(F24*G12))</f>
        <v>808</v>
      </c>
      <c r="H24" s="111">
        <f t="shared" ref="H24:AI24" si="5">SUM(G24+(G24*H12))</f>
        <v>816.08</v>
      </c>
      <c r="I24" s="111">
        <f t="shared" si="5"/>
        <v>824.24080000000004</v>
      </c>
      <c r="J24" s="111">
        <f t="shared" si="5"/>
        <v>832.48320799999999</v>
      </c>
      <c r="K24" s="111">
        <f t="shared" si="5"/>
        <v>840.80804007999996</v>
      </c>
      <c r="L24" s="111">
        <f t="shared" si="5"/>
        <v>849.21612048079999</v>
      </c>
      <c r="M24" s="111">
        <f t="shared" si="5"/>
        <v>857.70828168560797</v>
      </c>
      <c r="N24" s="111">
        <f t="shared" si="5"/>
        <v>866.28536450246406</v>
      </c>
      <c r="O24" s="111">
        <f t="shared" si="5"/>
        <v>874.94821814748866</v>
      </c>
      <c r="P24" s="111">
        <f t="shared" si="5"/>
        <v>883.69770032896349</v>
      </c>
      <c r="Q24" s="111">
        <f t="shared" si="5"/>
        <v>892.53467733225318</v>
      </c>
      <c r="R24" s="111">
        <f t="shared" si="5"/>
        <v>901.46002410557571</v>
      </c>
      <c r="S24" s="111">
        <f t="shared" si="5"/>
        <v>910.47462434663146</v>
      </c>
      <c r="T24" s="111">
        <f t="shared" si="5"/>
        <v>919.57937059009782</v>
      </c>
      <c r="U24" s="111">
        <f t="shared" si="5"/>
        <v>928.77516429599882</v>
      </c>
      <c r="V24" s="111">
        <f t="shared" si="5"/>
        <v>938.06291593895878</v>
      </c>
      <c r="W24" s="111">
        <f t="shared" si="5"/>
        <v>947.44354509834841</v>
      </c>
      <c r="X24" s="111">
        <f t="shared" si="5"/>
        <v>956.9179805493319</v>
      </c>
      <c r="Y24" s="111">
        <f t="shared" si="5"/>
        <v>966.48716035482516</v>
      </c>
      <c r="Z24" s="111">
        <f t="shared" si="5"/>
        <v>976.15203195837341</v>
      </c>
      <c r="AA24" s="111">
        <f t="shared" si="5"/>
        <v>985.91355227795714</v>
      </c>
      <c r="AB24" s="111">
        <f t="shared" si="5"/>
        <v>995.77268780073666</v>
      </c>
      <c r="AC24" s="111">
        <f t="shared" si="5"/>
        <v>1005.7304146787441</v>
      </c>
      <c r="AD24" s="111">
        <f t="shared" si="5"/>
        <v>1015.7877188255316</v>
      </c>
      <c r="AE24" s="111">
        <f t="shared" si="5"/>
        <v>1025.9455960137868</v>
      </c>
      <c r="AF24" s="111">
        <f t="shared" si="5"/>
        <v>1036.2050519739246</v>
      </c>
      <c r="AG24" s="111">
        <f t="shared" si="5"/>
        <v>1046.5671024936639</v>
      </c>
      <c r="AH24" s="111">
        <f t="shared" si="5"/>
        <v>1057.0327735186006</v>
      </c>
      <c r="AI24" s="112">
        <f t="shared" si="5"/>
        <v>1067.6031012537867</v>
      </c>
    </row>
    <row r="25" spans="2:35" x14ac:dyDescent="0.25">
      <c r="B25" s="188" t="s">
        <v>65</v>
      </c>
      <c r="C25" s="151"/>
      <c r="D25" s="3" t="s">
        <v>74</v>
      </c>
      <c r="E25" s="140">
        <v>900</v>
      </c>
      <c r="F25" s="83">
        <f>SUM(E25+(E25*$F$12))</f>
        <v>900</v>
      </c>
      <c r="G25" s="111">
        <f>SUM(F25+(F25*G12))</f>
        <v>909</v>
      </c>
      <c r="H25" s="111">
        <f t="shared" ref="H25:AI25" si="6">SUM(G25+(G25*H12))</f>
        <v>918.09</v>
      </c>
      <c r="I25" s="111">
        <f t="shared" si="6"/>
        <v>927.27089999999998</v>
      </c>
      <c r="J25" s="111">
        <f t="shared" si="6"/>
        <v>936.54360899999995</v>
      </c>
      <c r="K25" s="111">
        <f t="shared" si="6"/>
        <v>945.90904508999995</v>
      </c>
      <c r="L25" s="111">
        <f t="shared" si="6"/>
        <v>955.36813554089997</v>
      </c>
      <c r="M25" s="111">
        <f t="shared" si="6"/>
        <v>964.921816896309</v>
      </c>
      <c r="N25" s="111">
        <f t="shared" si="6"/>
        <v>974.5710350652721</v>
      </c>
      <c r="O25" s="111">
        <f t="shared" si="6"/>
        <v>984.31674541592486</v>
      </c>
      <c r="P25" s="111">
        <f t="shared" si="6"/>
        <v>994.1599128700841</v>
      </c>
      <c r="Q25" s="111">
        <f t="shared" si="6"/>
        <v>1004.101511998785</v>
      </c>
      <c r="R25" s="111">
        <f t="shared" si="6"/>
        <v>1014.1425271187728</v>
      </c>
      <c r="S25" s="111">
        <f t="shared" si="6"/>
        <v>1024.2839523899606</v>
      </c>
      <c r="T25" s="111">
        <f t="shared" si="6"/>
        <v>1034.5267919138603</v>
      </c>
      <c r="U25" s="111">
        <f t="shared" si="6"/>
        <v>1044.872059832999</v>
      </c>
      <c r="V25" s="111">
        <f t="shared" si="6"/>
        <v>1055.320780431329</v>
      </c>
      <c r="W25" s="111">
        <f t="shared" si="6"/>
        <v>1065.8739882356424</v>
      </c>
      <c r="X25" s="111">
        <f t="shared" si="6"/>
        <v>1076.5327281179989</v>
      </c>
      <c r="Y25" s="111">
        <f t="shared" si="6"/>
        <v>1087.2980553991788</v>
      </c>
      <c r="Z25" s="111">
        <f t="shared" si="6"/>
        <v>1098.1710359531705</v>
      </c>
      <c r="AA25" s="111">
        <f t="shared" si="6"/>
        <v>1109.1527463127022</v>
      </c>
      <c r="AB25" s="111">
        <f t="shared" si="6"/>
        <v>1120.2442737758292</v>
      </c>
      <c r="AC25" s="111">
        <f t="shared" si="6"/>
        <v>1131.4467165135875</v>
      </c>
      <c r="AD25" s="111">
        <f t="shared" si="6"/>
        <v>1142.7611836787235</v>
      </c>
      <c r="AE25" s="111">
        <f t="shared" si="6"/>
        <v>1154.1887955155107</v>
      </c>
      <c r="AF25" s="111">
        <f t="shared" si="6"/>
        <v>1165.7306834706658</v>
      </c>
      <c r="AG25" s="111">
        <f t="shared" si="6"/>
        <v>1177.3879903053723</v>
      </c>
      <c r="AH25" s="111">
        <f t="shared" si="6"/>
        <v>1189.1618702084261</v>
      </c>
      <c r="AI25" s="112">
        <f t="shared" si="6"/>
        <v>1201.0534889105104</v>
      </c>
    </row>
    <row r="26" spans="2:35" x14ac:dyDescent="0.25">
      <c r="B26" s="188" t="s">
        <v>66</v>
      </c>
      <c r="C26" s="151"/>
      <c r="D26" s="3" t="s">
        <v>75</v>
      </c>
      <c r="E26" s="36">
        <v>0.12</v>
      </c>
      <c r="F26" s="83">
        <f>SUM(F19*E26)</f>
        <v>1769.04</v>
      </c>
      <c r="G26" s="111">
        <f>SUM(E26*G19)</f>
        <v>1786.7303999999997</v>
      </c>
      <c r="H26" s="111">
        <f>SUM(E26*H19)</f>
        <v>1804.5977039999996</v>
      </c>
      <c r="I26" s="111">
        <f>SUM(E26*I19)</f>
        <v>1822.6436810399994</v>
      </c>
      <c r="J26" s="111">
        <f>SUM(E26*J19)</f>
        <v>1840.8701178503991</v>
      </c>
      <c r="K26" s="111">
        <f>SUM(E26*K19)</f>
        <v>1859.2788190289032</v>
      </c>
      <c r="L26" s="111">
        <f>SUM(E26*L19)</f>
        <v>1877.8716072191921</v>
      </c>
      <c r="M26" s="111">
        <f>SUM(E26*M19)</f>
        <v>1896.650323291384</v>
      </c>
      <c r="N26" s="111">
        <f>SUM(E26*N19)</f>
        <v>1915.6168265242979</v>
      </c>
      <c r="O26" s="111">
        <f>SUM(E26*O19)</f>
        <v>1934.7729947895409</v>
      </c>
      <c r="P26" s="111">
        <f>SUM(E26*P19)</f>
        <v>1954.1207247374361</v>
      </c>
      <c r="Q26" s="111">
        <f>SUM(E26*Q19)</f>
        <v>1973.6619319848105</v>
      </c>
      <c r="R26" s="111">
        <f>SUM(E26*R19)</f>
        <v>1993.3985513046584</v>
      </c>
      <c r="S26" s="111">
        <f>SUM(E26*S19)</f>
        <v>2013.3325368177054</v>
      </c>
      <c r="T26" s="111">
        <f>SUM(E26*T19)</f>
        <v>2033.4658621858825</v>
      </c>
      <c r="U26" s="111">
        <f>SUM(E26*U19)</f>
        <v>2053.8005208077411</v>
      </c>
      <c r="V26" s="111">
        <f>SUM(E26*V19)</f>
        <v>2074.3385260158188</v>
      </c>
      <c r="W26" s="111">
        <f>SUM(E26*W19)</f>
        <v>2095.0819112759768</v>
      </c>
      <c r="X26" s="111">
        <f>SUM(E26*X19)</f>
        <v>2116.0327303887366</v>
      </c>
      <c r="Y26" s="111">
        <f>SUM(E26*Y19)</f>
        <v>2137.1930576926243</v>
      </c>
      <c r="Z26" s="111">
        <f>SUM(E26*Z19)</f>
        <v>2158.5649882695507</v>
      </c>
      <c r="AA26" s="111">
        <f>SUM(E26*AA19)</f>
        <v>2180.1506381522458</v>
      </c>
      <c r="AB26" s="111">
        <f>SUM(E26*AB19)</f>
        <v>2201.9521445337682</v>
      </c>
      <c r="AC26" s="111">
        <f>SUM(E26*AC19)</f>
        <v>2223.9716659791061</v>
      </c>
      <c r="AD26" s="111">
        <f>SUM(E26*AD19)</f>
        <v>2246.2113826388968</v>
      </c>
      <c r="AE26" s="111">
        <f>SUM(E26*AE19)</f>
        <v>2268.673496465286</v>
      </c>
      <c r="AF26" s="111">
        <f>SUM(E26*AF19)</f>
        <v>2291.3602314299392</v>
      </c>
      <c r="AG26" s="111">
        <f>SUM(E26*AG19)</f>
        <v>2314.2738337442383</v>
      </c>
      <c r="AH26" s="111">
        <f>SUM(E26*AH19)</f>
        <v>2337.4165720816809</v>
      </c>
      <c r="AI26" s="112">
        <f>SUM(E26*AI19)</f>
        <v>2360.7907378024979</v>
      </c>
    </row>
    <row r="27" spans="2:35" x14ac:dyDescent="0.25">
      <c r="B27" s="188" t="s">
        <v>67</v>
      </c>
      <c r="C27" s="151"/>
      <c r="D27" s="15" t="s">
        <v>74</v>
      </c>
      <c r="E27" s="140">
        <v>1200</v>
      </c>
      <c r="F27" s="83">
        <f>SUM(E27+(E27*$F$12))</f>
        <v>1200</v>
      </c>
      <c r="G27" s="111">
        <f>SUM(F27+(F27*G12))</f>
        <v>1212</v>
      </c>
      <c r="H27" s="111">
        <f t="shared" ref="H27:AI27" si="7">SUM(G27+(G27*H12))</f>
        <v>1224.1199999999999</v>
      </c>
      <c r="I27" s="111">
        <f t="shared" si="7"/>
        <v>1236.3611999999998</v>
      </c>
      <c r="J27" s="111">
        <f t="shared" si="7"/>
        <v>1248.7248119999999</v>
      </c>
      <c r="K27" s="111">
        <f t="shared" si="7"/>
        <v>1261.2120601199999</v>
      </c>
      <c r="L27" s="111">
        <f t="shared" si="7"/>
        <v>1273.8241807212</v>
      </c>
      <c r="M27" s="111">
        <f t="shared" si="7"/>
        <v>1286.5624225284121</v>
      </c>
      <c r="N27" s="111">
        <f t="shared" si="7"/>
        <v>1299.4280467536962</v>
      </c>
      <c r="O27" s="111">
        <f t="shared" si="7"/>
        <v>1312.4223272212332</v>
      </c>
      <c r="P27" s="111">
        <f t="shared" si="7"/>
        <v>1325.5465504934455</v>
      </c>
      <c r="Q27" s="111">
        <f t="shared" si="7"/>
        <v>1338.8020159983798</v>
      </c>
      <c r="R27" s="111">
        <f t="shared" si="7"/>
        <v>1352.1900361583637</v>
      </c>
      <c r="S27" s="111">
        <f t="shared" si="7"/>
        <v>1365.7119365199474</v>
      </c>
      <c r="T27" s="111">
        <f t="shared" si="7"/>
        <v>1379.3690558851467</v>
      </c>
      <c r="U27" s="111">
        <f t="shared" si="7"/>
        <v>1393.1627464439982</v>
      </c>
      <c r="V27" s="111">
        <f t="shared" si="7"/>
        <v>1407.0943739084382</v>
      </c>
      <c r="W27" s="111">
        <f t="shared" si="7"/>
        <v>1421.1653176475227</v>
      </c>
      <c r="X27" s="111">
        <f t="shared" si="7"/>
        <v>1435.3769708239979</v>
      </c>
      <c r="Y27" s="111">
        <f t="shared" si="7"/>
        <v>1449.7307405322379</v>
      </c>
      <c r="Z27" s="111">
        <f t="shared" si="7"/>
        <v>1464.2280479375602</v>
      </c>
      <c r="AA27" s="111">
        <f t="shared" si="7"/>
        <v>1478.8703284169358</v>
      </c>
      <c r="AB27" s="111">
        <f t="shared" si="7"/>
        <v>1493.6590317011051</v>
      </c>
      <c r="AC27" s="111">
        <f t="shared" si="7"/>
        <v>1508.595622018116</v>
      </c>
      <c r="AD27" s="111">
        <f t="shared" si="7"/>
        <v>1523.6815782382971</v>
      </c>
      <c r="AE27" s="111">
        <f t="shared" si="7"/>
        <v>1538.9183940206801</v>
      </c>
      <c r="AF27" s="111">
        <f t="shared" si="7"/>
        <v>1554.3075779608869</v>
      </c>
      <c r="AG27" s="111">
        <f t="shared" si="7"/>
        <v>1569.8506537404958</v>
      </c>
      <c r="AH27" s="111">
        <f t="shared" si="7"/>
        <v>1585.5491602779007</v>
      </c>
      <c r="AI27" s="112">
        <f t="shared" si="7"/>
        <v>1601.4046518806797</v>
      </c>
    </row>
    <row r="28" spans="2:35" x14ac:dyDescent="0.25">
      <c r="B28" s="188" t="s">
        <v>68</v>
      </c>
      <c r="C28" s="151"/>
      <c r="D28" s="15" t="s">
        <v>74</v>
      </c>
      <c r="E28" s="140">
        <v>0</v>
      </c>
      <c r="F28" s="83">
        <f>SUM(E28+(E28*$F$12))</f>
        <v>0</v>
      </c>
      <c r="G28" s="111">
        <f t="shared" ref="G28:AI28" si="8">SUM(F28+(F28*G12))</f>
        <v>0</v>
      </c>
      <c r="H28" s="111">
        <f t="shared" si="8"/>
        <v>0</v>
      </c>
      <c r="I28" s="111">
        <f t="shared" si="8"/>
        <v>0</v>
      </c>
      <c r="J28" s="111">
        <f t="shared" si="8"/>
        <v>0</v>
      </c>
      <c r="K28" s="111">
        <f t="shared" si="8"/>
        <v>0</v>
      </c>
      <c r="L28" s="111">
        <f t="shared" si="8"/>
        <v>0</v>
      </c>
      <c r="M28" s="111">
        <f t="shared" si="8"/>
        <v>0</v>
      </c>
      <c r="N28" s="111">
        <f t="shared" si="8"/>
        <v>0</v>
      </c>
      <c r="O28" s="111">
        <f t="shared" si="8"/>
        <v>0</v>
      </c>
      <c r="P28" s="111">
        <f t="shared" si="8"/>
        <v>0</v>
      </c>
      <c r="Q28" s="111">
        <f t="shared" si="8"/>
        <v>0</v>
      </c>
      <c r="R28" s="111">
        <f t="shared" si="8"/>
        <v>0</v>
      </c>
      <c r="S28" s="111">
        <f t="shared" si="8"/>
        <v>0</v>
      </c>
      <c r="T28" s="111">
        <f t="shared" si="8"/>
        <v>0</v>
      </c>
      <c r="U28" s="111">
        <f t="shared" si="8"/>
        <v>0</v>
      </c>
      <c r="V28" s="111">
        <f t="shared" si="8"/>
        <v>0</v>
      </c>
      <c r="W28" s="111">
        <f t="shared" si="8"/>
        <v>0</v>
      </c>
      <c r="X28" s="111">
        <f t="shared" si="8"/>
        <v>0</v>
      </c>
      <c r="Y28" s="111">
        <f t="shared" si="8"/>
        <v>0</v>
      </c>
      <c r="Z28" s="111">
        <f t="shared" si="8"/>
        <v>0</v>
      </c>
      <c r="AA28" s="111">
        <f t="shared" si="8"/>
        <v>0</v>
      </c>
      <c r="AB28" s="111">
        <f t="shared" si="8"/>
        <v>0</v>
      </c>
      <c r="AC28" s="111">
        <f t="shared" si="8"/>
        <v>0</v>
      </c>
      <c r="AD28" s="111">
        <f t="shared" si="8"/>
        <v>0</v>
      </c>
      <c r="AE28" s="111">
        <f t="shared" si="8"/>
        <v>0</v>
      </c>
      <c r="AF28" s="111">
        <f t="shared" si="8"/>
        <v>0</v>
      </c>
      <c r="AG28" s="111">
        <f t="shared" si="8"/>
        <v>0</v>
      </c>
      <c r="AH28" s="111">
        <f t="shared" si="8"/>
        <v>0</v>
      </c>
      <c r="AI28" s="112">
        <f t="shared" si="8"/>
        <v>0</v>
      </c>
    </row>
    <row r="29" spans="2:35" x14ac:dyDescent="0.25">
      <c r="B29" s="188" t="s">
        <v>69</v>
      </c>
      <c r="C29" s="151"/>
      <c r="D29" s="15" t="s">
        <v>74</v>
      </c>
      <c r="E29" s="140">
        <v>1200</v>
      </c>
      <c r="F29" s="83">
        <f>SUM(E29+(E29*$F$12))</f>
        <v>1200</v>
      </c>
      <c r="G29" s="111">
        <f t="shared" ref="G29:AI29" si="9">SUM(F29+(F29*G12))</f>
        <v>1212</v>
      </c>
      <c r="H29" s="111">
        <f t="shared" si="9"/>
        <v>1224.1199999999999</v>
      </c>
      <c r="I29" s="111">
        <f t="shared" si="9"/>
        <v>1236.3611999999998</v>
      </c>
      <c r="J29" s="111">
        <f t="shared" si="9"/>
        <v>1248.7248119999999</v>
      </c>
      <c r="K29" s="111">
        <f t="shared" si="9"/>
        <v>1261.2120601199999</v>
      </c>
      <c r="L29" s="111">
        <f t="shared" si="9"/>
        <v>1273.8241807212</v>
      </c>
      <c r="M29" s="111">
        <f t="shared" si="9"/>
        <v>1286.5624225284121</v>
      </c>
      <c r="N29" s="111">
        <f t="shared" si="9"/>
        <v>1299.4280467536962</v>
      </c>
      <c r="O29" s="111">
        <f t="shared" si="9"/>
        <v>1312.4223272212332</v>
      </c>
      <c r="P29" s="111">
        <f t="shared" si="9"/>
        <v>1325.5465504934455</v>
      </c>
      <c r="Q29" s="111">
        <f t="shared" si="9"/>
        <v>1338.8020159983798</v>
      </c>
      <c r="R29" s="111">
        <f t="shared" si="9"/>
        <v>1352.1900361583637</v>
      </c>
      <c r="S29" s="111">
        <f t="shared" si="9"/>
        <v>1365.7119365199474</v>
      </c>
      <c r="T29" s="111">
        <f t="shared" si="9"/>
        <v>1379.3690558851467</v>
      </c>
      <c r="U29" s="111">
        <f t="shared" si="9"/>
        <v>1393.1627464439982</v>
      </c>
      <c r="V29" s="111">
        <f t="shared" si="9"/>
        <v>1407.0943739084382</v>
      </c>
      <c r="W29" s="111">
        <f t="shared" si="9"/>
        <v>1421.1653176475227</v>
      </c>
      <c r="X29" s="111">
        <f t="shared" si="9"/>
        <v>1435.3769708239979</v>
      </c>
      <c r="Y29" s="111">
        <f t="shared" si="9"/>
        <v>1449.7307405322379</v>
      </c>
      <c r="Z29" s="111">
        <f t="shared" si="9"/>
        <v>1464.2280479375602</v>
      </c>
      <c r="AA29" s="111">
        <f t="shared" si="9"/>
        <v>1478.8703284169358</v>
      </c>
      <c r="AB29" s="111">
        <f t="shared" si="9"/>
        <v>1493.6590317011051</v>
      </c>
      <c r="AC29" s="111">
        <f t="shared" si="9"/>
        <v>1508.595622018116</v>
      </c>
      <c r="AD29" s="111">
        <f t="shared" si="9"/>
        <v>1523.6815782382971</v>
      </c>
      <c r="AE29" s="111">
        <f t="shared" si="9"/>
        <v>1538.9183940206801</v>
      </c>
      <c r="AF29" s="111">
        <f t="shared" si="9"/>
        <v>1554.3075779608869</v>
      </c>
      <c r="AG29" s="111">
        <f t="shared" si="9"/>
        <v>1569.8506537404958</v>
      </c>
      <c r="AH29" s="111">
        <f t="shared" si="9"/>
        <v>1585.5491602779007</v>
      </c>
      <c r="AI29" s="112">
        <f t="shared" si="9"/>
        <v>1601.4046518806797</v>
      </c>
    </row>
    <row r="30" spans="2:35" x14ac:dyDescent="0.25">
      <c r="B30" s="188" t="s">
        <v>70</v>
      </c>
      <c r="C30" s="151"/>
      <c r="D30" s="15" t="s">
        <v>74</v>
      </c>
      <c r="E30" s="140">
        <v>0</v>
      </c>
      <c r="F30" s="83">
        <f>SUM(E30+(E30*$F$12))</f>
        <v>0</v>
      </c>
      <c r="G30" s="111">
        <f t="shared" ref="G30:AI30" si="10">SUM(F30+(F30*G12))</f>
        <v>0</v>
      </c>
      <c r="H30" s="111">
        <f t="shared" si="10"/>
        <v>0</v>
      </c>
      <c r="I30" s="111">
        <f t="shared" si="10"/>
        <v>0</v>
      </c>
      <c r="J30" s="111">
        <f t="shared" si="10"/>
        <v>0</v>
      </c>
      <c r="K30" s="111">
        <f t="shared" si="10"/>
        <v>0</v>
      </c>
      <c r="L30" s="111">
        <f t="shared" si="10"/>
        <v>0</v>
      </c>
      <c r="M30" s="111">
        <f t="shared" si="10"/>
        <v>0</v>
      </c>
      <c r="N30" s="111">
        <f t="shared" si="10"/>
        <v>0</v>
      </c>
      <c r="O30" s="111">
        <f t="shared" si="10"/>
        <v>0</v>
      </c>
      <c r="P30" s="111">
        <f t="shared" si="10"/>
        <v>0</v>
      </c>
      <c r="Q30" s="111">
        <f t="shared" si="10"/>
        <v>0</v>
      </c>
      <c r="R30" s="111">
        <f t="shared" si="10"/>
        <v>0</v>
      </c>
      <c r="S30" s="111">
        <f t="shared" si="10"/>
        <v>0</v>
      </c>
      <c r="T30" s="111">
        <f t="shared" si="10"/>
        <v>0</v>
      </c>
      <c r="U30" s="111">
        <f t="shared" si="10"/>
        <v>0</v>
      </c>
      <c r="V30" s="111">
        <f t="shared" si="10"/>
        <v>0</v>
      </c>
      <c r="W30" s="111">
        <f t="shared" si="10"/>
        <v>0</v>
      </c>
      <c r="X30" s="111">
        <f t="shared" si="10"/>
        <v>0</v>
      </c>
      <c r="Y30" s="111">
        <f t="shared" si="10"/>
        <v>0</v>
      </c>
      <c r="Z30" s="111">
        <f t="shared" si="10"/>
        <v>0</v>
      </c>
      <c r="AA30" s="111">
        <f t="shared" si="10"/>
        <v>0</v>
      </c>
      <c r="AB30" s="111">
        <f t="shared" si="10"/>
        <v>0</v>
      </c>
      <c r="AC30" s="111">
        <f t="shared" si="10"/>
        <v>0</v>
      </c>
      <c r="AD30" s="111">
        <f t="shared" si="10"/>
        <v>0</v>
      </c>
      <c r="AE30" s="111">
        <f t="shared" si="10"/>
        <v>0</v>
      </c>
      <c r="AF30" s="111">
        <f t="shared" si="10"/>
        <v>0</v>
      </c>
      <c r="AG30" s="111">
        <f t="shared" si="10"/>
        <v>0</v>
      </c>
      <c r="AH30" s="111">
        <f t="shared" si="10"/>
        <v>0</v>
      </c>
      <c r="AI30" s="112">
        <f t="shared" si="10"/>
        <v>0</v>
      </c>
    </row>
    <row r="31" spans="2:35" x14ac:dyDescent="0.25">
      <c r="B31" s="188" t="s">
        <v>71</v>
      </c>
      <c r="C31" s="151"/>
      <c r="D31" s="15" t="s">
        <v>27</v>
      </c>
      <c r="E31" s="140">
        <v>0</v>
      </c>
      <c r="F31" s="83">
        <f>SUM(12*(E31+(E31*$F$12)))</f>
        <v>0</v>
      </c>
      <c r="G31" s="111">
        <f t="shared" ref="G31:AI31" si="11">SUM(F31+(F31*G12))</f>
        <v>0</v>
      </c>
      <c r="H31" s="111">
        <f t="shared" si="11"/>
        <v>0</v>
      </c>
      <c r="I31" s="111">
        <f t="shared" si="11"/>
        <v>0</v>
      </c>
      <c r="J31" s="111">
        <f t="shared" si="11"/>
        <v>0</v>
      </c>
      <c r="K31" s="111">
        <f t="shared" si="11"/>
        <v>0</v>
      </c>
      <c r="L31" s="111">
        <f t="shared" si="11"/>
        <v>0</v>
      </c>
      <c r="M31" s="111">
        <f t="shared" si="11"/>
        <v>0</v>
      </c>
      <c r="N31" s="111">
        <f t="shared" si="11"/>
        <v>0</v>
      </c>
      <c r="O31" s="111">
        <f t="shared" si="11"/>
        <v>0</v>
      </c>
      <c r="P31" s="111">
        <f t="shared" si="11"/>
        <v>0</v>
      </c>
      <c r="Q31" s="111">
        <f t="shared" si="11"/>
        <v>0</v>
      </c>
      <c r="R31" s="111">
        <f t="shared" si="11"/>
        <v>0</v>
      </c>
      <c r="S31" s="111">
        <f t="shared" si="11"/>
        <v>0</v>
      </c>
      <c r="T31" s="111">
        <f t="shared" si="11"/>
        <v>0</v>
      </c>
      <c r="U31" s="111">
        <f t="shared" si="11"/>
        <v>0</v>
      </c>
      <c r="V31" s="111">
        <f t="shared" si="11"/>
        <v>0</v>
      </c>
      <c r="W31" s="111">
        <f t="shared" si="11"/>
        <v>0</v>
      </c>
      <c r="X31" s="111">
        <f t="shared" si="11"/>
        <v>0</v>
      </c>
      <c r="Y31" s="111">
        <f t="shared" si="11"/>
        <v>0</v>
      </c>
      <c r="Z31" s="111">
        <f t="shared" si="11"/>
        <v>0</v>
      </c>
      <c r="AA31" s="111">
        <f t="shared" si="11"/>
        <v>0</v>
      </c>
      <c r="AB31" s="111">
        <f t="shared" si="11"/>
        <v>0</v>
      </c>
      <c r="AC31" s="111">
        <f t="shared" si="11"/>
        <v>0</v>
      </c>
      <c r="AD31" s="111">
        <f t="shared" si="11"/>
        <v>0</v>
      </c>
      <c r="AE31" s="111">
        <f t="shared" si="11"/>
        <v>0</v>
      </c>
      <c r="AF31" s="111">
        <f t="shared" si="11"/>
        <v>0</v>
      </c>
      <c r="AG31" s="111">
        <f t="shared" si="11"/>
        <v>0</v>
      </c>
      <c r="AH31" s="111">
        <f t="shared" si="11"/>
        <v>0</v>
      </c>
      <c r="AI31" s="112">
        <f t="shared" si="11"/>
        <v>0</v>
      </c>
    </row>
    <row r="32" spans="2:35" x14ac:dyDescent="0.25">
      <c r="B32" s="188" t="s">
        <v>72</v>
      </c>
      <c r="C32" s="151"/>
      <c r="D32" s="15" t="s">
        <v>76</v>
      </c>
      <c r="E32" s="140">
        <v>0</v>
      </c>
      <c r="F32" s="83">
        <f>SUM(12*(E32+(E32*$F$12)))</f>
        <v>0</v>
      </c>
      <c r="G32" s="111">
        <f t="shared" ref="G32:AI32" si="12">SUM(F32+(F32*G12))</f>
        <v>0</v>
      </c>
      <c r="H32" s="111">
        <f t="shared" si="12"/>
        <v>0</v>
      </c>
      <c r="I32" s="111">
        <f t="shared" si="12"/>
        <v>0</v>
      </c>
      <c r="J32" s="111">
        <f t="shared" si="12"/>
        <v>0</v>
      </c>
      <c r="K32" s="111">
        <f t="shared" si="12"/>
        <v>0</v>
      </c>
      <c r="L32" s="111">
        <f t="shared" si="12"/>
        <v>0</v>
      </c>
      <c r="M32" s="111">
        <f t="shared" si="12"/>
        <v>0</v>
      </c>
      <c r="N32" s="111">
        <f t="shared" si="12"/>
        <v>0</v>
      </c>
      <c r="O32" s="111">
        <f t="shared" si="12"/>
        <v>0</v>
      </c>
      <c r="P32" s="111">
        <f t="shared" si="12"/>
        <v>0</v>
      </c>
      <c r="Q32" s="111">
        <f t="shared" si="12"/>
        <v>0</v>
      </c>
      <c r="R32" s="111">
        <f t="shared" si="12"/>
        <v>0</v>
      </c>
      <c r="S32" s="111">
        <f t="shared" si="12"/>
        <v>0</v>
      </c>
      <c r="T32" s="111">
        <f t="shared" si="12"/>
        <v>0</v>
      </c>
      <c r="U32" s="111">
        <f t="shared" si="12"/>
        <v>0</v>
      </c>
      <c r="V32" s="111">
        <f t="shared" si="12"/>
        <v>0</v>
      </c>
      <c r="W32" s="111">
        <f t="shared" si="12"/>
        <v>0</v>
      </c>
      <c r="X32" s="111">
        <f t="shared" si="12"/>
        <v>0</v>
      </c>
      <c r="Y32" s="111">
        <f t="shared" si="12"/>
        <v>0</v>
      </c>
      <c r="Z32" s="111">
        <f t="shared" si="12"/>
        <v>0</v>
      </c>
      <c r="AA32" s="111">
        <f t="shared" si="12"/>
        <v>0</v>
      </c>
      <c r="AB32" s="111">
        <f t="shared" si="12"/>
        <v>0</v>
      </c>
      <c r="AC32" s="111">
        <f t="shared" si="12"/>
        <v>0</v>
      </c>
      <c r="AD32" s="111">
        <f t="shared" si="12"/>
        <v>0</v>
      </c>
      <c r="AE32" s="111">
        <f t="shared" si="12"/>
        <v>0</v>
      </c>
      <c r="AF32" s="111">
        <f t="shared" si="12"/>
        <v>0</v>
      </c>
      <c r="AG32" s="111">
        <f t="shared" si="12"/>
        <v>0</v>
      </c>
      <c r="AH32" s="111">
        <f t="shared" si="12"/>
        <v>0</v>
      </c>
      <c r="AI32" s="112">
        <f t="shared" si="12"/>
        <v>0</v>
      </c>
    </row>
    <row r="33" spans="2:35" s="47" customFormat="1" x14ac:dyDescent="0.25">
      <c r="B33" s="46" t="s">
        <v>507</v>
      </c>
      <c r="C33" s="45"/>
      <c r="D33" s="45" t="s">
        <v>27</v>
      </c>
      <c r="E33" s="110">
        <f>CapEx!E15</f>
        <v>191.66666666666669</v>
      </c>
      <c r="F33" s="83">
        <f>SUM(12*(E33+(E33*$F$12)))</f>
        <v>2300</v>
      </c>
      <c r="G33" s="111">
        <f>SUM(F33+(F33*G12))</f>
        <v>2323</v>
      </c>
      <c r="H33" s="111">
        <f>SUM(G33+(G33*H12))</f>
        <v>2346.23</v>
      </c>
      <c r="I33" s="111">
        <f t="shared" ref="I33:AI33" si="13">SUM(H33+(H33*I12))</f>
        <v>2369.6923000000002</v>
      </c>
      <c r="J33" s="111">
        <f t="shared" si="13"/>
        <v>2393.3892230000001</v>
      </c>
      <c r="K33" s="111">
        <f t="shared" si="13"/>
        <v>2417.32311523</v>
      </c>
      <c r="L33" s="111">
        <f t="shared" si="13"/>
        <v>2441.4963463823001</v>
      </c>
      <c r="M33" s="111">
        <f t="shared" si="13"/>
        <v>2465.911309846123</v>
      </c>
      <c r="N33" s="111">
        <f t="shared" si="13"/>
        <v>2490.5704229445842</v>
      </c>
      <c r="O33" s="111">
        <f t="shared" si="13"/>
        <v>2515.4761271740299</v>
      </c>
      <c r="P33" s="111">
        <f t="shared" si="13"/>
        <v>2540.6308884457703</v>
      </c>
      <c r="Q33" s="111">
        <f t="shared" si="13"/>
        <v>2566.0371973302281</v>
      </c>
      <c r="R33" s="111">
        <f t="shared" si="13"/>
        <v>2591.6975693035301</v>
      </c>
      <c r="S33" s="111">
        <f t="shared" si="13"/>
        <v>2617.6145449965657</v>
      </c>
      <c r="T33" s="111">
        <f t="shared" si="13"/>
        <v>2643.7906904465312</v>
      </c>
      <c r="U33" s="111">
        <f t="shared" si="13"/>
        <v>2670.2285973509966</v>
      </c>
      <c r="V33" s="111">
        <f t="shared" si="13"/>
        <v>2696.9308833245063</v>
      </c>
      <c r="W33" s="111">
        <f t="shared" si="13"/>
        <v>2723.9001921577515</v>
      </c>
      <c r="X33" s="111">
        <f t="shared" si="13"/>
        <v>2751.1391940793292</v>
      </c>
      <c r="Y33" s="111">
        <f t="shared" si="13"/>
        <v>2778.6505860201223</v>
      </c>
      <c r="Z33" s="111">
        <f t="shared" si="13"/>
        <v>2806.4370918803234</v>
      </c>
      <c r="AA33" s="111">
        <f t="shared" si="13"/>
        <v>2834.5014627991268</v>
      </c>
      <c r="AB33" s="111">
        <f t="shared" si="13"/>
        <v>2862.8464774271179</v>
      </c>
      <c r="AC33" s="111">
        <f t="shared" si="13"/>
        <v>2891.4749422013892</v>
      </c>
      <c r="AD33" s="111">
        <f t="shared" si="13"/>
        <v>2920.389691623403</v>
      </c>
      <c r="AE33" s="111">
        <f t="shared" si="13"/>
        <v>2949.593588539637</v>
      </c>
      <c r="AF33" s="111">
        <f t="shared" si="13"/>
        <v>2979.0895244250332</v>
      </c>
      <c r="AG33" s="111">
        <f t="shared" si="13"/>
        <v>3008.8804196692836</v>
      </c>
      <c r="AH33" s="111">
        <f t="shared" si="13"/>
        <v>3038.9692238659763</v>
      </c>
      <c r="AI33" s="113">
        <f t="shared" si="13"/>
        <v>3069.3589161046361</v>
      </c>
    </row>
    <row r="34" spans="2:35" x14ac:dyDescent="0.25">
      <c r="B34" s="209" t="s">
        <v>73</v>
      </c>
      <c r="C34" s="210"/>
      <c r="D34" s="4"/>
      <c r="E34" s="141">
        <f>SUM(F34/12)</f>
        <v>680.75333333333333</v>
      </c>
      <c r="F34" s="114">
        <f>SUM(F24:F33)</f>
        <v>8169.04</v>
      </c>
      <c r="G34" s="115">
        <f>SUM(G24:G33)</f>
        <v>8250.7304000000004</v>
      </c>
      <c r="H34" s="115">
        <f t="shared" ref="H34:AI34" si="14">SUM(H24:H33)</f>
        <v>8333.2377039999992</v>
      </c>
      <c r="I34" s="115">
        <f t="shared" si="14"/>
        <v>8416.5700810399994</v>
      </c>
      <c r="J34" s="115">
        <f t="shared" si="14"/>
        <v>8500.7357818503988</v>
      </c>
      <c r="K34" s="115">
        <f t="shared" si="14"/>
        <v>8585.7431396689026</v>
      </c>
      <c r="L34" s="115">
        <f t="shared" si="14"/>
        <v>8671.6005710655918</v>
      </c>
      <c r="M34" s="115">
        <f t="shared" si="14"/>
        <v>8758.3165767762475</v>
      </c>
      <c r="N34" s="115">
        <f t="shared" si="14"/>
        <v>8845.8997425440102</v>
      </c>
      <c r="O34" s="115">
        <f t="shared" si="14"/>
        <v>8934.3587399694516</v>
      </c>
      <c r="P34" s="115">
        <f t="shared" si="14"/>
        <v>9023.7023273691448</v>
      </c>
      <c r="Q34" s="115">
        <f t="shared" si="14"/>
        <v>9113.9393506428351</v>
      </c>
      <c r="R34" s="115">
        <f t="shared" si="14"/>
        <v>9205.0787441492648</v>
      </c>
      <c r="S34" s="115">
        <f t="shared" si="14"/>
        <v>9297.1295315907573</v>
      </c>
      <c r="T34" s="115">
        <f t="shared" si="14"/>
        <v>9390.100826906666</v>
      </c>
      <c r="U34" s="115">
        <f t="shared" si="14"/>
        <v>9484.0018351757317</v>
      </c>
      <c r="V34" s="115">
        <f t="shared" si="14"/>
        <v>9578.8418535274905</v>
      </c>
      <c r="W34" s="115">
        <f t="shared" si="14"/>
        <v>9674.6302720627646</v>
      </c>
      <c r="X34" s="115">
        <f t="shared" si="14"/>
        <v>9771.3765747833932</v>
      </c>
      <c r="Y34" s="115">
        <f t="shared" si="14"/>
        <v>9869.0903405312274</v>
      </c>
      <c r="Z34" s="115">
        <f t="shared" si="14"/>
        <v>9967.7812439365389</v>
      </c>
      <c r="AA34" s="115">
        <f t="shared" si="14"/>
        <v>10067.459056375905</v>
      </c>
      <c r="AB34" s="115">
        <f t="shared" si="14"/>
        <v>10168.133646939663</v>
      </c>
      <c r="AC34" s="115">
        <f t="shared" si="14"/>
        <v>10269.814983409058</v>
      </c>
      <c r="AD34" s="115">
        <f t="shared" si="14"/>
        <v>10372.51313324315</v>
      </c>
      <c r="AE34" s="115">
        <f t="shared" si="14"/>
        <v>10476.238264575581</v>
      </c>
      <c r="AF34" s="115">
        <f t="shared" si="14"/>
        <v>10581.000647221337</v>
      </c>
      <c r="AG34" s="115">
        <f t="shared" si="14"/>
        <v>10686.810653693548</v>
      </c>
      <c r="AH34" s="115">
        <f t="shared" si="14"/>
        <v>10793.678760230483</v>
      </c>
      <c r="AI34" s="116">
        <f t="shared" si="14"/>
        <v>10901.615547832791</v>
      </c>
    </row>
    <row r="35" spans="2:35" x14ac:dyDescent="0.25">
      <c r="F35" s="117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2"/>
      <c r="AA35" s="82"/>
      <c r="AB35" s="82"/>
      <c r="AC35" s="82"/>
      <c r="AD35" s="82"/>
      <c r="AE35" s="82"/>
      <c r="AF35" s="82"/>
      <c r="AG35" s="82"/>
      <c r="AH35" s="82"/>
      <c r="AI35" s="118"/>
    </row>
    <row r="36" spans="2:35" x14ac:dyDescent="0.25">
      <c r="B36" s="186" t="s">
        <v>77</v>
      </c>
      <c r="C36" s="187"/>
      <c r="D36" s="187"/>
      <c r="E36" s="187"/>
      <c r="F36" s="114">
        <f>SUM(F21-F34)</f>
        <v>6572.96</v>
      </c>
      <c r="G36" s="119">
        <f t="shared" ref="G36:AI36" si="15">SUM(G21-G34)</f>
        <v>6638.6895999999979</v>
      </c>
      <c r="H36" s="119">
        <f t="shared" si="15"/>
        <v>6705.0764959999979</v>
      </c>
      <c r="I36" s="119">
        <f t="shared" si="15"/>
        <v>6772.1272609599964</v>
      </c>
      <c r="J36" s="119">
        <f t="shared" si="15"/>
        <v>6839.848533569595</v>
      </c>
      <c r="K36" s="119">
        <f t="shared" si="15"/>
        <v>6908.247018905291</v>
      </c>
      <c r="L36" s="119">
        <f t="shared" si="15"/>
        <v>6977.3294890943434</v>
      </c>
      <c r="M36" s="119">
        <f t="shared" si="15"/>
        <v>7047.1027839852868</v>
      </c>
      <c r="N36" s="119">
        <f t="shared" si="15"/>
        <v>7117.5738118251393</v>
      </c>
      <c r="O36" s="119">
        <f t="shared" si="15"/>
        <v>7188.7495499433899</v>
      </c>
      <c r="P36" s="119">
        <f t="shared" si="15"/>
        <v>7260.6370454428234</v>
      </c>
      <c r="Q36" s="119">
        <f t="shared" si="15"/>
        <v>7333.2434158972537</v>
      </c>
      <c r="R36" s="119">
        <f t="shared" si="15"/>
        <v>7406.5758500562224</v>
      </c>
      <c r="S36" s="119">
        <f t="shared" si="15"/>
        <v>7480.6416085567889</v>
      </c>
      <c r="T36" s="119">
        <f t="shared" si="15"/>
        <v>7555.4480246423554</v>
      </c>
      <c r="U36" s="119">
        <f t="shared" si="15"/>
        <v>7631.0025048887801</v>
      </c>
      <c r="V36" s="119">
        <f t="shared" si="15"/>
        <v>7707.3125299376661</v>
      </c>
      <c r="W36" s="119">
        <f t="shared" si="15"/>
        <v>7784.3856552370416</v>
      </c>
      <c r="X36" s="119">
        <f t="shared" si="15"/>
        <v>7862.2295117894137</v>
      </c>
      <c r="Y36" s="119">
        <f t="shared" si="15"/>
        <v>7940.8518069073107</v>
      </c>
      <c r="Z36" s="119">
        <f t="shared" si="15"/>
        <v>8020.2603249763833</v>
      </c>
      <c r="AA36" s="119">
        <f t="shared" si="15"/>
        <v>8100.4629282261449</v>
      </c>
      <c r="AB36" s="119">
        <f t="shared" si="15"/>
        <v>8181.4675575084075</v>
      </c>
      <c r="AC36" s="119">
        <f t="shared" si="15"/>
        <v>8263.2822330834933</v>
      </c>
      <c r="AD36" s="119">
        <f t="shared" si="15"/>
        <v>8345.9150554143253</v>
      </c>
      <c r="AE36" s="119">
        <f t="shared" si="15"/>
        <v>8429.3742059684719</v>
      </c>
      <c r="AF36" s="119">
        <f t="shared" si="15"/>
        <v>8513.6679480281582</v>
      </c>
      <c r="AG36" s="119">
        <f t="shared" si="15"/>
        <v>8598.804627508438</v>
      </c>
      <c r="AH36" s="119">
        <f t="shared" si="15"/>
        <v>8684.792673783526</v>
      </c>
      <c r="AI36" s="120">
        <f t="shared" si="15"/>
        <v>8771.6406005213594</v>
      </c>
    </row>
    <row r="37" spans="2:35" x14ac:dyDescent="0.25">
      <c r="F37" s="83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2"/>
      <c r="AA37" s="82"/>
      <c r="AB37" s="82"/>
      <c r="AC37" s="82"/>
      <c r="AD37" s="82"/>
      <c r="AE37" s="82"/>
      <c r="AF37" s="82"/>
      <c r="AG37" s="82"/>
      <c r="AH37" s="82"/>
      <c r="AI37" s="118"/>
    </row>
    <row r="38" spans="2:35" x14ac:dyDescent="0.25">
      <c r="B38" s="183" t="s">
        <v>78</v>
      </c>
      <c r="C38" s="184"/>
      <c r="D38" s="184"/>
      <c r="E38" s="184"/>
      <c r="F38" s="117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2"/>
    </row>
    <row r="39" spans="2:35" x14ac:dyDescent="0.25">
      <c r="B39" s="185" t="s">
        <v>79</v>
      </c>
      <c r="C39" s="145"/>
      <c r="D39" s="3"/>
      <c r="E39" s="82">
        <f>SUM(F36/12)</f>
        <v>547.74666666666667</v>
      </c>
      <c r="F39" s="83">
        <f>F36</f>
        <v>6572.96</v>
      </c>
      <c r="G39" s="82">
        <f t="shared" ref="G39:AI39" si="16">G36</f>
        <v>6638.6895999999979</v>
      </c>
      <c r="H39" s="82">
        <f t="shared" si="16"/>
        <v>6705.0764959999979</v>
      </c>
      <c r="I39" s="82">
        <f t="shared" si="16"/>
        <v>6772.1272609599964</v>
      </c>
      <c r="J39" s="82">
        <f t="shared" si="16"/>
        <v>6839.848533569595</v>
      </c>
      <c r="K39" s="82">
        <f t="shared" si="16"/>
        <v>6908.247018905291</v>
      </c>
      <c r="L39" s="82">
        <f t="shared" si="16"/>
        <v>6977.3294890943434</v>
      </c>
      <c r="M39" s="82">
        <f t="shared" si="16"/>
        <v>7047.1027839852868</v>
      </c>
      <c r="N39" s="82">
        <f t="shared" si="16"/>
        <v>7117.5738118251393</v>
      </c>
      <c r="O39" s="82">
        <f t="shared" si="16"/>
        <v>7188.7495499433899</v>
      </c>
      <c r="P39" s="82">
        <f t="shared" si="16"/>
        <v>7260.6370454428234</v>
      </c>
      <c r="Q39" s="82">
        <f t="shared" si="16"/>
        <v>7333.2434158972537</v>
      </c>
      <c r="R39" s="82">
        <f t="shared" si="16"/>
        <v>7406.5758500562224</v>
      </c>
      <c r="S39" s="82">
        <f t="shared" si="16"/>
        <v>7480.6416085567889</v>
      </c>
      <c r="T39" s="82">
        <f t="shared" si="16"/>
        <v>7555.4480246423554</v>
      </c>
      <c r="U39" s="82">
        <f t="shared" si="16"/>
        <v>7631.0025048887801</v>
      </c>
      <c r="V39" s="82">
        <f t="shared" si="16"/>
        <v>7707.3125299376661</v>
      </c>
      <c r="W39" s="82">
        <f t="shared" si="16"/>
        <v>7784.3856552370416</v>
      </c>
      <c r="X39" s="82">
        <f t="shared" si="16"/>
        <v>7862.2295117894137</v>
      </c>
      <c r="Y39" s="82">
        <f t="shared" si="16"/>
        <v>7940.8518069073107</v>
      </c>
      <c r="Z39" s="82">
        <f t="shared" si="16"/>
        <v>8020.2603249763833</v>
      </c>
      <c r="AA39" s="82">
        <f t="shared" si="16"/>
        <v>8100.4629282261449</v>
      </c>
      <c r="AB39" s="82">
        <f t="shared" si="16"/>
        <v>8181.4675575084075</v>
      </c>
      <c r="AC39" s="82">
        <f t="shared" si="16"/>
        <v>8263.2822330834933</v>
      </c>
      <c r="AD39" s="82">
        <f t="shared" si="16"/>
        <v>8345.9150554143253</v>
      </c>
      <c r="AE39" s="82">
        <f t="shared" si="16"/>
        <v>8429.3742059684719</v>
      </c>
      <c r="AF39" s="82">
        <f t="shared" si="16"/>
        <v>8513.6679480281582</v>
      </c>
      <c r="AG39" s="82">
        <f t="shared" si="16"/>
        <v>8598.804627508438</v>
      </c>
      <c r="AH39" s="82">
        <f t="shared" si="16"/>
        <v>8684.792673783526</v>
      </c>
      <c r="AI39" s="95">
        <f t="shared" si="16"/>
        <v>8771.6406005213594</v>
      </c>
    </row>
    <row r="40" spans="2:35" x14ac:dyDescent="0.25">
      <c r="B40" s="185" t="s">
        <v>80</v>
      </c>
      <c r="C40" s="145"/>
      <c r="D40" s="3"/>
      <c r="E40" s="82">
        <f>H8</f>
        <v>385.465009144085</v>
      </c>
      <c r="F40" s="83">
        <f>SUM(E40*12)</f>
        <v>4625.5801097290205</v>
      </c>
      <c r="G40" s="82">
        <f>SUM($E$40*12)</f>
        <v>4625.5801097290205</v>
      </c>
      <c r="H40" s="82">
        <f t="shared" ref="H40:AI40" si="17">SUM($E$40*12)</f>
        <v>4625.5801097290205</v>
      </c>
      <c r="I40" s="82">
        <f t="shared" si="17"/>
        <v>4625.5801097290205</v>
      </c>
      <c r="J40" s="82">
        <f t="shared" si="17"/>
        <v>4625.5801097290205</v>
      </c>
      <c r="K40" s="82">
        <f t="shared" si="17"/>
        <v>4625.5801097290205</v>
      </c>
      <c r="L40" s="82">
        <f t="shared" si="17"/>
        <v>4625.5801097290205</v>
      </c>
      <c r="M40" s="82">
        <f t="shared" si="17"/>
        <v>4625.5801097290205</v>
      </c>
      <c r="N40" s="82">
        <f t="shared" si="17"/>
        <v>4625.5801097290205</v>
      </c>
      <c r="O40" s="82">
        <f t="shared" si="17"/>
        <v>4625.5801097290205</v>
      </c>
      <c r="P40" s="82">
        <f t="shared" si="17"/>
        <v>4625.5801097290205</v>
      </c>
      <c r="Q40" s="82">
        <f t="shared" si="17"/>
        <v>4625.5801097290205</v>
      </c>
      <c r="R40" s="82">
        <f t="shared" si="17"/>
        <v>4625.5801097290205</v>
      </c>
      <c r="S40" s="82">
        <f t="shared" si="17"/>
        <v>4625.5801097290205</v>
      </c>
      <c r="T40" s="82">
        <f t="shared" si="17"/>
        <v>4625.5801097290205</v>
      </c>
      <c r="U40" s="82">
        <f t="shared" si="17"/>
        <v>4625.5801097290205</v>
      </c>
      <c r="V40" s="82">
        <f t="shared" si="17"/>
        <v>4625.5801097290205</v>
      </c>
      <c r="W40" s="82">
        <f t="shared" si="17"/>
        <v>4625.5801097290205</v>
      </c>
      <c r="X40" s="82">
        <f t="shared" si="17"/>
        <v>4625.5801097290205</v>
      </c>
      <c r="Y40" s="82">
        <f t="shared" si="17"/>
        <v>4625.5801097290205</v>
      </c>
      <c r="Z40" s="82">
        <f t="shared" si="17"/>
        <v>4625.5801097290205</v>
      </c>
      <c r="AA40" s="82">
        <f t="shared" si="17"/>
        <v>4625.5801097290205</v>
      </c>
      <c r="AB40" s="82">
        <f t="shared" si="17"/>
        <v>4625.5801097290205</v>
      </c>
      <c r="AC40" s="82">
        <f t="shared" si="17"/>
        <v>4625.5801097290205</v>
      </c>
      <c r="AD40" s="82">
        <f t="shared" si="17"/>
        <v>4625.5801097290205</v>
      </c>
      <c r="AE40" s="82">
        <f t="shared" si="17"/>
        <v>4625.5801097290205</v>
      </c>
      <c r="AF40" s="82">
        <f t="shared" si="17"/>
        <v>4625.5801097290205</v>
      </c>
      <c r="AG40" s="82">
        <f t="shared" si="17"/>
        <v>4625.5801097290205</v>
      </c>
      <c r="AH40" s="82">
        <f t="shared" si="17"/>
        <v>4625.5801097290205</v>
      </c>
      <c r="AI40" s="95">
        <f t="shared" si="17"/>
        <v>4625.5801097290205</v>
      </c>
    </row>
    <row r="41" spans="2:35" s="8" customFormat="1" x14ac:dyDescent="0.25">
      <c r="B41" s="176" t="s">
        <v>81</v>
      </c>
      <c r="C41" s="177"/>
      <c r="D41" s="28"/>
      <c r="E41" s="136">
        <f>SUM(E39-E40)</f>
        <v>162.28165752258167</v>
      </c>
      <c r="F41" s="135">
        <f>SUM(F39-F40)</f>
        <v>1947.3798902709796</v>
      </c>
      <c r="G41" s="136">
        <f>SUM(G39-G40)</f>
        <v>2013.1094902709774</v>
      </c>
      <c r="H41" s="136">
        <f>SUM(H39-H40)</f>
        <v>2079.4963862709774</v>
      </c>
      <c r="I41" s="136">
        <f t="shared" ref="I41:AI41" si="18">SUM(I39-I40)</f>
        <v>2146.5471512309759</v>
      </c>
      <c r="J41" s="136">
        <f t="shared" si="18"/>
        <v>2214.2684238405745</v>
      </c>
      <c r="K41" s="136">
        <f t="shared" si="18"/>
        <v>2282.6669091762706</v>
      </c>
      <c r="L41" s="136">
        <f t="shared" si="18"/>
        <v>2351.749379365323</v>
      </c>
      <c r="M41" s="136">
        <f t="shared" si="18"/>
        <v>2421.5226742562663</v>
      </c>
      <c r="N41" s="136">
        <f t="shared" si="18"/>
        <v>2491.9937020961188</v>
      </c>
      <c r="O41" s="136">
        <f t="shared" si="18"/>
        <v>2563.1694402143694</v>
      </c>
      <c r="P41" s="136">
        <f t="shared" si="18"/>
        <v>2635.0569357138029</v>
      </c>
      <c r="Q41" s="136">
        <f t="shared" si="18"/>
        <v>2707.6633061682332</v>
      </c>
      <c r="R41" s="136">
        <f t="shared" si="18"/>
        <v>2780.9957403272019</v>
      </c>
      <c r="S41" s="136">
        <f t="shared" si="18"/>
        <v>2855.0614988277684</v>
      </c>
      <c r="T41" s="136">
        <f t="shared" si="18"/>
        <v>2929.867914913335</v>
      </c>
      <c r="U41" s="136">
        <f t="shared" si="18"/>
        <v>3005.4223951597596</v>
      </c>
      <c r="V41" s="136">
        <f t="shared" si="18"/>
        <v>3081.7324202086456</v>
      </c>
      <c r="W41" s="136">
        <f t="shared" si="18"/>
        <v>3158.8055455080212</v>
      </c>
      <c r="X41" s="136">
        <f t="shared" si="18"/>
        <v>3236.6494020603932</v>
      </c>
      <c r="Y41" s="136">
        <f t="shared" si="18"/>
        <v>3315.2716971782902</v>
      </c>
      <c r="Z41" s="136">
        <f t="shared" si="18"/>
        <v>3394.6802152473629</v>
      </c>
      <c r="AA41" s="136">
        <f t="shared" si="18"/>
        <v>3474.8828184971244</v>
      </c>
      <c r="AB41" s="136">
        <f t="shared" si="18"/>
        <v>3555.887447779387</v>
      </c>
      <c r="AC41" s="136">
        <f t="shared" si="18"/>
        <v>3637.7021233544729</v>
      </c>
      <c r="AD41" s="136">
        <f t="shared" si="18"/>
        <v>3720.3349456853048</v>
      </c>
      <c r="AE41" s="136">
        <f t="shared" si="18"/>
        <v>3803.7940962394514</v>
      </c>
      <c r="AF41" s="136">
        <f t="shared" si="18"/>
        <v>3888.0878382991377</v>
      </c>
      <c r="AG41" s="136">
        <f t="shared" si="18"/>
        <v>3973.2245177794175</v>
      </c>
      <c r="AH41" s="136">
        <f t="shared" si="18"/>
        <v>4059.2125640545055</v>
      </c>
      <c r="AI41" s="137">
        <f t="shared" si="18"/>
        <v>4146.0604907923389</v>
      </c>
    </row>
    <row r="42" spans="2:35" s="33" customFormat="1" x14ac:dyDescent="0.25">
      <c r="B42" s="174" t="s">
        <v>453</v>
      </c>
      <c r="C42" s="175"/>
      <c r="D42" s="31"/>
      <c r="E42" s="31"/>
      <c r="F42" s="32">
        <f>SUM(F41/$H$9)</f>
        <v>0.10386026081445224</v>
      </c>
      <c r="G42" s="31">
        <f>SUM(G41/$H$9)</f>
        <v>0.10736583948111879</v>
      </c>
      <c r="H42" s="31">
        <f t="shared" ref="H42:AI42" si="19">SUM(H41/$H$9)</f>
        <v>0.11090647393445213</v>
      </c>
      <c r="I42" s="31">
        <f t="shared" si="19"/>
        <v>0.11448251473231871</v>
      </c>
      <c r="J42" s="31">
        <f t="shared" si="19"/>
        <v>0.11809431593816398</v>
      </c>
      <c r="K42" s="31">
        <f t="shared" si="19"/>
        <v>0.12174223515606776</v>
      </c>
      <c r="L42" s="31">
        <f t="shared" si="19"/>
        <v>0.12542663356615055</v>
      </c>
      <c r="M42" s="31">
        <f t="shared" si="19"/>
        <v>0.1291478759603342</v>
      </c>
      <c r="N42" s="31">
        <f t="shared" si="19"/>
        <v>0.13290633077845967</v>
      </c>
      <c r="O42" s="31">
        <f t="shared" si="19"/>
        <v>0.13670237014476636</v>
      </c>
      <c r="P42" s="31">
        <f t="shared" si="19"/>
        <v>0.14053636990473614</v>
      </c>
      <c r="Q42" s="31">
        <f t="shared" si="19"/>
        <v>0.14440870966230576</v>
      </c>
      <c r="R42" s="31">
        <f t="shared" si="19"/>
        <v>0.14831977281745076</v>
      </c>
      <c r="S42" s="31">
        <f t="shared" si="19"/>
        <v>0.15226994660414764</v>
      </c>
      <c r="T42" s="31">
        <f t="shared" si="19"/>
        <v>0.1562596221287112</v>
      </c>
      <c r="U42" s="31">
        <f t="shared" si="19"/>
        <v>0.16028919440852052</v>
      </c>
      <c r="V42" s="31">
        <f t="shared" si="19"/>
        <v>0.16435906241112777</v>
      </c>
      <c r="W42" s="31">
        <f t="shared" si="19"/>
        <v>0.16846962909376112</v>
      </c>
      <c r="X42" s="31">
        <f t="shared" si="19"/>
        <v>0.17262130144322096</v>
      </c>
      <c r="Y42" s="31">
        <f t="shared" si="19"/>
        <v>0.17681449051617548</v>
      </c>
      <c r="Z42" s="31">
        <f t="shared" si="19"/>
        <v>0.18104961147985935</v>
      </c>
      <c r="AA42" s="31">
        <f t="shared" si="19"/>
        <v>0.18532708365317996</v>
      </c>
      <c r="AB42" s="31">
        <f t="shared" si="19"/>
        <v>0.18964733054823396</v>
      </c>
      <c r="AC42" s="31">
        <f t="shared" si="19"/>
        <v>0.19401077991223856</v>
      </c>
      <c r="AD42" s="31">
        <f t="shared" si="19"/>
        <v>0.19841786376988294</v>
      </c>
      <c r="AE42" s="31">
        <f t="shared" si="19"/>
        <v>0.20286901846610408</v>
      </c>
      <c r="AF42" s="31">
        <f t="shared" si="19"/>
        <v>0.20736468470928734</v>
      </c>
      <c r="AG42" s="31">
        <f t="shared" si="19"/>
        <v>0.21190530761490226</v>
      </c>
      <c r="AH42" s="31">
        <f t="shared" si="19"/>
        <v>0.21649133674957363</v>
      </c>
      <c r="AI42" s="93">
        <f t="shared" si="19"/>
        <v>0.22112322617559141</v>
      </c>
    </row>
    <row r="43" spans="2:35" s="18" customFormat="1" x14ac:dyDescent="0.25">
      <c r="B43" s="146" t="s">
        <v>82</v>
      </c>
      <c r="C43" s="147"/>
      <c r="D43" s="64"/>
      <c r="E43" s="64"/>
      <c r="F43" s="117">
        <f>Amortization!D10</f>
        <v>1802.3981109594679</v>
      </c>
      <c r="G43" s="133">
        <f>Amortization!D11</f>
        <v>1923.1080504963029</v>
      </c>
      <c r="H43" s="133">
        <f>Amortization!D12</f>
        <v>2051.9021582390633</v>
      </c>
      <c r="I43" s="133">
        <f>Amortization!D13</f>
        <v>2189.3218459043346</v>
      </c>
      <c r="J43" s="133">
        <f>Amortization!D14</f>
        <v>2335.9447845541872</v>
      </c>
      <c r="K43" s="133">
        <f>Amortization!D15</f>
        <v>2492.3873329514608</v>
      </c>
      <c r="L43" s="133">
        <f>Amortization!D16</f>
        <v>2659.3071285469014</v>
      </c>
      <c r="M43" s="133">
        <f>Amortization!D17</f>
        <v>2837.4058519892496</v>
      </c>
      <c r="N43" s="133">
        <f>Amortization!D18</f>
        <v>3027.4321767798283</v>
      </c>
      <c r="O43" s="133">
        <f>Amortization!D19</f>
        <v>3230.1849164708583</v>
      </c>
      <c r="P43" s="133">
        <f>Amortization!D20</f>
        <v>3446.5163826376011</v>
      </c>
      <c r="Q43" s="133">
        <f>Amortization!D21</f>
        <v>3677.3359677399458</v>
      </c>
      <c r="R43" s="133">
        <f>Amortization!D22</f>
        <v>3923.6139679350581</v>
      </c>
      <c r="S43" s="133">
        <f>Amortization!D23</f>
        <v>4186.38566191072</v>
      </c>
      <c r="T43" s="133">
        <f>Amortization!D24</f>
        <v>4466.7556628857756</v>
      </c>
      <c r="U43" s="133">
        <f>Amortization!D25</f>
        <v>4765.9025620720868</v>
      </c>
      <c r="V43" s="133">
        <f>Amortization!D26</f>
        <v>5085.0838831177216</v>
      </c>
      <c r="W43" s="133">
        <f>Amortization!D27</f>
        <v>5425.6413683584069</v>
      </c>
      <c r="X43" s="133">
        <f>Amortization!D28</f>
        <v>5789.0066190989746</v>
      </c>
      <c r="Y43" s="133">
        <f>Amortization!D29</f>
        <v>6176.7071136350278</v>
      </c>
      <c r="Z43" s="133">
        <f>Amortization!D30</f>
        <v>6590.3726283124488</v>
      </c>
      <c r="AA43" s="133">
        <f>Amortization!D31</f>
        <v>7031.7420886174077</v>
      </c>
      <c r="AB43" s="133">
        <f>Amortization!D32</f>
        <v>7502.6708790963457</v>
      </c>
      <c r="AC43" s="133">
        <f>Amortization!D33</f>
        <v>8005.138642834987</v>
      </c>
      <c r="AD43" s="133">
        <f>Amortization!D34</f>
        <v>9278.337530780831</v>
      </c>
      <c r="AE43" s="133">
        <f>Amortization!D35</f>
        <v>8376.2015159073635</v>
      </c>
      <c r="AF43" s="133">
        <f>Amortization!D36</f>
        <v>9723.614779490701</v>
      </c>
      <c r="AG43" s="133">
        <f>Amortization!D37</f>
        <v>10374.823269432527</v>
      </c>
      <c r="AH43" s="133">
        <f>Amortization!D38</f>
        <v>11069.644397985481</v>
      </c>
      <c r="AI43" s="134">
        <f>Amortization!D39</f>
        <v>11810.998984328166</v>
      </c>
    </row>
    <row r="44" spans="2:35" s="18" customFormat="1" x14ac:dyDescent="0.25">
      <c r="B44" s="148" t="s">
        <v>83</v>
      </c>
      <c r="C44" s="149"/>
      <c r="D44" s="12"/>
      <c r="E44" s="12"/>
      <c r="F44" s="83">
        <f>SUM(F13*$D$8)</f>
        <v>630</v>
      </c>
      <c r="G44" s="82">
        <f>SUM(($D$8+F44)*G13)</f>
        <v>636.30000000000007</v>
      </c>
      <c r="H44" s="82">
        <f>SUM(H13*(SUM($F$44:G44)+$D$8))</f>
        <v>642.66300000000001</v>
      </c>
      <c r="I44" s="82">
        <f>SUM(I13*(SUM($F$44:H44)+$D$8))</f>
        <v>649.08963000000006</v>
      </c>
      <c r="J44" s="82">
        <f>SUM(J13*(SUM($F$44:I44)+$D$8))</f>
        <v>655.58052630000009</v>
      </c>
      <c r="K44" s="82">
        <f>SUM(K13*(SUM($F$44:J44)+$D$8))</f>
        <v>662.136331563</v>
      </c>
      <c r="L44" s="82">
        <f>SUM(L13*(SUM($F$44:K44)+$D$8))</f>
        <v>668.75769487862999</v>
      </c>
      <c r="M44" s="82">
        <f>SUM(M13*(SUM($F$44:L44)+$D$8))</f>
        <v>675.44527182741626</v>
      </c>
      <c r="N44" s="82">
        <f>SUM(N13*(SUM($F$44:M44)+$D$8))</f>
        <v>682.1997245456904</v>
      </c>
      <c r="O44" s="82">
        <f>SUM(O13*(SUM($F$44:N44)+$D$8))</f>
        <v>689.02172179114746</v>
      </c>
      <c r="P44" s="82">
        <f>SUM(P13*(SUM($F$44:O44)+$D$8))</f>
        <v>695.91193900905887</v>
      </c>
      <c r="Q44" s="82">
        <f>SUM(Q13*(SUM($F$44:P44)+$D$8))</f>
        <v>702.87105839914955</v>
      </c>
      <c r="R44" s="82">
        <f>SUM(R13*(SUM($F$44:Q44)+$D$8))</f>
        <v>709.89976898314103</v>
      </c>
      <c r="S44" s="82">
        <f>SUM(S13*(SUM($F$44:R44)+$D$8))</f>
        <v>716.99876667297247</v>
      </c>
      <c r="T44" s="82">
        <f>SUM(T13*(SUM($F$44:S44)+$D$8))</f>
        <v>724.1687543397021</v>
      </c>
      <c r="U44" s="82">
        <f>SUM(U13*(SUM($F$44:T44)+$D$8))</f>
        <v>731.41044188309911</v>
      </c>
      <c r="V44" s="82">
        <f>SUM(V13*(SUM($F$44:U44)+$D$8))</f>
        <v>738.7245463019301</v>
      </c>
      <c r="W44" s="82">
        <f>SUM(W13*(SUM($F$44:V44)+$D$8))</f>
        <v>746.11179176494943</v>
      </c>
      <c r="X44" s="82">
        <f>SUM(X13*(SUM($F$44:W44)+$D$8))</f>
        <v>753.57290968259883</v>
      </c>
      <c r="Y44" s="82">
        <f>SUM(Y13*(SUM($F$44:X44)+$D$8))</f>
        <v>761.10863877942484</v>
      </c>
      <c r="Z44" s="82">
        <f>SUM(Z13*(SUM($F$44:Y44)+$D$8))</f>
        <v>768.71972516721917</v>
      </c>
      <c r="AA44" s="82">
        <f>SUM(AA13*(SUM($F$44:Z44)+$D$8))</f>
        <v>776.40692241889133</v>
      </c>
      <c r="AB44" s="82">
        <f>SUM(AB13*(SUM($F$44:AA44)+$D$8))</f>
        <v>784.17099164308024</v>
      </c>
      <c r="AC44" s="82">
        <f>SUM(AC13*(SUM($F$44:AB44)+$D$8))</f>
        <v>792.01270155951102</v>
      </c>
      <c r="AD44" s="82">
        <f>SUM(AD13*(SUM($F$44:AC44)+$D$8))</f>
        <v>799.9328285751061</v>
      </c>
      <c r="AE44" s="82">
        <f>SUM(AE13*(SUM($F$44:AD44)+$D$8))</f>
        <v>807.93215686085728</v>
      </c>
      <c r="AF44" s="82">
        <f>SUM(AF13*(SUM($F$44:AE44)+$D$8))</f>
        <v>816.0114784294658</v>
      </c>
      <c r="AG44" s="82">
        <f>SUM(AG13*(SUM($F$44:AF44)+$D$8))</f>
        <v>824.1715932137605</v>
      </c>
      <c r="AH44" s="82">
        <f>SUM(AH13*(SUM($F$44:AG44)+$D$8))</f>
        <v>832.4133091458981</v>
      </c>
      <c r="AI44" s="95">
        <f>SUM(AI13*(SUM($F$44:AH44)+$D$8))</f>
        <v>840.73744223735707</v>
      </c>
    </row>
    <row r="45" spans="2:35" s="10" customFormat="1" x14ac:dyDescent="0.25">
      <c r="B45" s="176" t="s">
        <v>84</v>
      </c>
      <c r="C45" s="177"/>
      <c r="D45" s="28"/>
      <c r="E45" s="28"/>
      <c r="F45" s="135">
        <f t="shared" ref="F45:AI45" si="20">SUM(F41+F43+F44)</f>
        <v>4379.7780012304474</v>
      </c>
      <c r="G45" s="136">
        <f t="shared" si="20"/>
        <v>4572.5175407672805</v>
      </c>
      <c r="H45" s="136">
        <f t="shared" si="20"/>
        <v>4774.0615445100411</v>
      </c>
      <c r="I45" s="136">
        <f t="shared" si="20"/>
        <v>4984.958627135311</v>
      </c>
      <c r="J45" s="136">
        <f t="shared" si="20"/>
        <v>5205.793734694762</v>
      </c>
      <c r="K45" s="136">
        <f t="shared" si="20"/>
        <v>5437.1905736907311</v>
      </c>
      <c r="L45" s="136">
        <f t="shared" si="20"/>
        <v>5679.8142027908543</v>
      </c>
      <c r="M45" s="136">
        <f t="shared" si="20"/>
        <v>5934.373798072932</v>
      </c>
      <c r="N45" s="136">
        <f t="shared" si="20"/>
        <v>6201.6256034216376</v>
      </c>
      <c r="O45" s="136">
        <f t="shared" si="20"/>
        <v>6482.3760784763754</v>
      </c>
      <c r="P45" s="136">
        <f t="shared" si="20"/>
        <v>6777.485257360463</v>
      </c>
      <c r="Q45" s="136">
        <f t="shared" si="20"/>
        <v>7087.8703323073287</v>
      </c>
      <c r="R45" s="136">
        <f t="shared" si="20"/>
        <v>7414.5094772454013</v>
      </c>
      <c r="S45" s="136">
        <f t="shared" si="20"/>
        <v>7758.4459274114606</v>
      </c>
      <c r="T45" s="136">
        <f t="shared" si="20"/>
        <v>8120.7923321388125</v>
      </c>
      <c r="U45" s="136">
        <f t="shared" si="20"/>
        <v>8502.7353991149448</v>
      </c>
      <c r="V45" s="136">
        <f t="shared" si="20"/>
        <v>8905.540849628298</v>
      </c>
      <c r="W45" s="136">
        <f t="shared" si="20"/>
        <v>9330.558705631378</v>
      </c>
      <c r="X45" s="136">
        <f t="shared" si="20"/>
        <v>9779.2289308419658</v>
      </c>
      <c r="Y45" s="136">
        <f t="shared" si="20"/>
        <v>10253.087449592742</v>
      </c>
      <c r="Z45" s="136">
        <f t="shared" si="20"/>
        <v>10753.77256872703</v>
      </c>
      <c r="AA45" s="136">
        <f t="shared" si="20"/>
        <v>11283.031829533424</v>
      </c>
      <c r="AB45" s="136">
        <f t="shared" si="20"/>
        <v>11842.729318518814</v>
      </c>
      <c r="AC45" s="136">
        <f t="shared" si="20"/>
        <v>12434.853467748972</v>
      </c>
      <c r="AD45" s="136">
        <f t="shared" si="20"/>
        <v>13798.605305041241</v>
      </c>
      <c r="AE45" s="136">
        <f t="shared" si="20"/>
        <v>12987.927769007672</v>
      </c>
      <c r="AF45" s="136">
        <f t="shared" si="20"/>
        <v>14427.714096219304</v>
      </c>
      <c r="AG45" s="136">
        <f t="shared" si="20"/>
        <v>15172.219380425706</v>
      </c>
      <c r="AH45" s="136">
        <f t="shared" si="20"/>
        <v>15961.270271185886</v>
      </c>
      <c r="AI45" s="137">
        <f t="shared" si="20"/>
        <v>16797.79691735786</v>
      </c>
    </row>
    <row r="46" spans="2:35" s="33" customFormat="1" x14ac:dyDescent="0.25">
      <c r="B46" s="178" t="s">
        <v>452</v>
      </c>
      <c r="C46" s="179"/>
      <c r="D46" s="31"/>
      <c r="E46" s="31"/>
      <c r="F46" s="32">
        <f>SUM(F45/$H$9)</f>
        <v>0.23358816006562386</v>
      </c>
      <c r="G46" s="31">
        <f>SUM(G45/$H$9)</f>
        <v>0.24386760217425496</v>
      </c>
      <c r="H46" s="31">
        <f t="shared" ref="H46:AI46" si="21">SUM(H45/$H$9)</f>
        <v>0.25461661570720218</v>
      </c>
      <c r="I46" s="31">
        <f t="shared" si="21"/>
        <v>0.26586446011388326</v>
      </c>
      <c r="J46" s="31">
        <f t="shared" si="21"/>
        <v>0.27764233251705395</v>
      </c>
      <c r="K46" s="31">
        <f t="shared" si="21"/>
        <v>0.28998349726350564</v>
      </c>
      <c r="L46" s="31">
        <f t="shared" si="21"/>
        <v>0.30292342414884554</v>
      </c>
      <c r="M46" s="31">
        <f t="shared" si="21"/>
        <v>0.31649993589722303</v>
      </c>
      <c r="N46" s="31">
        <f t="shared" si="21"/>
        <v>0.33075336551582069</v>
      </c>
      <c r="O46" s="31">
        <f t="shared" si="21"/>
        <v>0.34572672418540668</v>
      </c>
      <c r="P46" s="31">
        <f t="shared" si="21"/>
        <v>0.361465880392558</v>
      </c>
      <c r="Q46" s="31">
        <f t="shared" si="21"/>
        <v>0.37801975105639085</v>
      </c>
      <c r="R46" s="31">
        <f t="shared" si="21"/>
        <v>0.39544050545308806</v>
      </c>
      <c r="S46" s="31">
        <f t="shared" si="21"/>
        <v>0.41378378279527789</v>
      </c>
      <c r="T46" s="31">
        <f t="shared" si="21"/>
        <v>0.43310892438073667</v>
      </c>
      <c r="U46" s="31">
        <f t="shared" si="21"/>
        <v>0.45347922128613039</v>
      </c>
      <c r="V46" s="31">
        <f t="shared" si="21"/>
        <v>0.47496217864684254</v>
      </c>
      <c r="W46" s="31">
        <f t="shared" si="21"/>
        <v>0.49762979763367349</v>
      </c>
      <c r="X46" s="31">
        <f t="shared" si="21"/>
        <v>0.5215588763115715</v>
      </c>
      <c r="Y46" s="31">
        <f t="shared" si="21"/>
        <v>0.54683133064494627</v>
      </c>
      <c r="Z46" s="31">
        <f t="shared" si="21"/>
        <v>0.57353453699877499</v>
      </c>
      <c r="AA46" s="31">
        <f t="shared" si="21"/>
        <v>0.60176169757511588</v>
      </c>
      <c r="AB46" s="31">
        <f t="shared" si="21"/>
        <v>0.63161223032100344</v>
      </c>
      <c r="AC46" s="31">
        <f t="shared" si="21"/>
        <v>0.66319218494661181</v>
      </c>
      <c r="AD46" s="31">
        <f t="shared" si="21"/>
        <v>0.73592561626886621</v>
      </c>
      <c r="AE46" s="31">
        <f t="shared" si="21"/>
        <v>0.6926894810137425</v>
      </c>
      <c r="AF46" s="31">
        <f t="shared" si="21"/>
        <v>0.76947808513169624</v>
      </c>
      <c r="AG46" s="31">
        <f t="shared" si="21"/>
        <v>0.80918503362270433</v>
      </c>
      <c r="AH46" s="31">
        <f t="shared" si="21"/>
        <v>0.85126774779658054</v>
      </c>
      <c r="AI46" s="93">
        <f t="shared" si="21"/>
        <v>0.89588250225908583</v>
      </c>
    </row>
    <row r="47" spans="2:35" x14ac:dyDescent="0.25">
      <c r="F47" s="16"/>
      <c r="AI47" s="24"/>
    </row>
    <row r="48" spans="2:35" x14ac:dyDescent="0.25">
      <c r="B48" s="79" t="s">
        <v>502</v>
      </c>
      <c r="C48" s="80"/>
      <c r="D48" s="80"/>
      <c r="E48" s="80"/>
      <c r="F48" s="81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94"/>
    </row>
    <row r="49" spans="2:35" s="84" customFormat="1" x14ac:dyDescent="0.25">
      <c r="B49" s="207" t="s">
        <v>503</v>
      </c>
      <c r="C49" s="208"/>
      <c r="D49" s="82"/>
      <c r="E49" s="82"/>
      <c r="F49" s="83">
        <f>V3</f>
        <v>60000</v>
      </c>
      <c r="G49" s="82">
        <f>SUM(F49+(F49*G13))</f>
        <v>60600</v>
      </c>
      <c r="H49" s="82">
        <f t="shared" ref="H49:AI49" si="22">SUM(G49+(G49*H13))</f>
        <v>61206</v>
      </c>
      <c r="I49" s="82">
        <f t="shared" si="22"/>
        <v>61818.06</v>
      </c>
      <c r="J49" s="82">
        <f t="shared" si="22"/>
        <v>62436.240599999997</v>
      </c>
      <c r="K49" s="82">
        <f t="shared" si="22"/>
        <v>63060.603005999998</v>
      </c>
      <c r="L49" s="82">
        <f t="shared" si="22"/>
        <v>63691.209036059998</v>
      </c>
      <c r="M49" s="82">
        <f t="shared" si="22"/>
        <v>64328.121126420599</v>
      </c>
      <c r="N49" s="82">
        <f t="shared" si="22"/>
        <v>64971.402337684805</v>
      </c>
      <c r="O49" s="82">
        <f t="shared" si="22"/>
        <v>65621.11636106165</v>
      </c>
      <c r="P49" s="82">
        <f t="shared" si="22"/>
        <v>66277.327524672262</v>
      </c>
      <c r="Q49" s="82">
        <f t="shared" si="22"/>
        <v>66940.10079991899</v>
      </c>
      <c r="R49" s="82">
        <f t="shared" si="22"/>
        <v>67609.501807918175</v>
      </c>
      <c r="S49" s="82">
        <f t="shared" si="22"/>
        <v>68285.59682599736</v>
      </c>
      <c r="T49" s="82">
        <f t="shared" si="22"/>
        <v>68968.452794257333</v>
      </c>
      <c r="U49" s="82">
        <f t="shared" si="22"/>
        <v>69658.137322199909</v>
      </c>
      <c r="V49" s="82">
        <f t="shared" si="22"/>
        <v>70354.718695421907</v>
      </c>
      <c r="W49" s="82">
        <f t="shared" si="22"/>
        <v>71058.26588237613</v>
      </c>
      <c r="X49" s="82">
        <f t="shared" si="22"/>
        <v>71768.848541199884</v>
      </c>
      <c r="Y49" s="82">
        <f t="shared" si="22"/>
        <v>72486.537026611884</v>
      </c>
      <c r="Z49" s="82">
        <f t="shared" si="22"/>
        <v>73211.402396878009</v>
      </c>
      <c r="AA49" s="82">
        <f t="shared" si="22"/>
        <v>73943.51642084679</v>
      </c>
      <c r="AB49" s="82">
        <f t="shared" si="22"/>
        <v>74682.951585055256</v>
      </c>
      <c r="AC49" s="82">
        <f t="shared" si="22"/>
        <v>75429.781100905806</v>
      </c>
      <c r="AD49" s="82">
        <f t="shared" si="22"/>
        <v>76184.078911914869</v>
      </c>
      <c r="AE49" s="82">
        <f t="shared" si="22"/>
        <v>76945.919701034014</v>
      </c>
      <c r="AF49" s="82">
        <f t="shared" si="22"/>
        <v>77715.37889804435</v>
      </c>
      <c r="AG49" s="82">
        <f t="shared" si="22"/>
        <v>78492.532687024795</v>
      </c>
      <c r="AH49" s="82">
        <f t="shared" si="22"/>
        <v>79277.45801389504</v>
      </c>
      <c r="AI49" s="95">
        <f t="shared" si="22"/>
        <v>80070.232594033994</v>
      </c>
    </row>
    <row r="50" spans="2:35" s="84" customFormat="1" x14ac:dyDescent="0.25">
      <c r="B50" s="172" t="s">
        <v>505</v>
      </c>
      <c r="C50" s="173"/>
      <c r="D50" s="85"/>
      <c r="E50" s="85"/>
      <c r="F50" s="86">
        <f>SUM(F49-Amortization!$B$10)</f>
        <v>17552.398110959468</v>
      </c>
      <c r="G50" s="85">
        <f>SUM(G49-Amortization!$B$11)</f>
        <v>20075.506161455771</v>
      </c>
      <c r="H50" s="85">
        <f>SUM(H49-Amortization!$B$12)</f>
        <v>22733.408319694834</v>
      </c>
      <c r="I50" s="85">
        <f>SUM(I49-Amortization!$B$12)</f>
        <v>23345.468319694832</v>
      </c>
      <c r="J50" s="85">
        <f>SUM(J49-Amortization!$B$13)</f>
        <v>26152.970765599166</v>
      </c>
      <c r="K50" s="85">
        <f>SUM(K49-Amortization!$B$15)</f>
        <v>31605.665289104814</v>
      </c>
      <c r="L50" s="85">
        <f>SUM(L49-Amortization!$B$16)</f>
        <v>34895.578447711712</v>
      </c>
      <c r="M50" s="85">
        <f>SUM(M49-Amortization!$B$17)</f>
        <v>38369.896390061564</v>
      </c>
      <c r="N50" s="85">
        <f>SUM(N49-Amortization!$B$17)</f>
        <v>39013.177601325777</v>
      </c>
      <c r="O50" s="85">
        <f>SUM(O49-Amortization!$B$19)</f>
        <v>45920.5087179533</v>
      </c>
      <c r="P50" s="85">
        <f>SUM(P49-Amortization!$B$20)</f>
        <v>50023.236264201521</v>
      </c>
      <c r="Q50" s="85">
        <f>SUM(Q49-Amortization!$B$21)</f>
        <v>54363.345507188191</v>
      </c>
      <c r="R50" s="85">
        <f>SUM(R49-Amortization!$B$22)</f>
        <v>58956.360483122437</v>
      </c>
      <c r="S50" s="85">
        <f>SUM(S49-Amortization!$B$23)</f>
        <v>63818.841163112338</v>
      </c>
      <c r="T50" s="85">
        <f>SUM(T49-Amortization!$B$24)</f>
        <v>68968.45279425809</v>
      </c>
      <c r="U50" s="85">
        <f>SUM(U49-Amortization!$B$25)</f>
        <v>74424.039884272745</v>
      </c>
      <c r="V50" s="85">
        <f>SUM(V49-Amortization!$B$26)</f>
        <v>80205.705140612466</v>
      </c>
      <c r="W50" s="85">
        <f>SUM(W49-Amortization!$B$27)</f>
        <v>86334.8936959251</v>
      </c>
      <c r="X50" s="85">
        <f>SUM(X49-Amortization!$B$28)</f>
        <v>92834.482973847829</v>
      </c>
      <c r="Y50" s="85">
        <f>SUM(Y49-Amortization!$B$29)</f>
        <v>99728.878572894857</v>
      </c>
      <c r="Z50" s="85">
        <f>SUM(Z49-Amortization!$B$30)</f>
        <v>107044.11657147342</v>
      </c>
      <c r="AA50" s="85">
        <f>SUM(AA49-Amortization!$B$31)</f>
        <v>114807.97268405961</v>
      </c>
      <c r="AB50" s="85">
        <f>SUM(AB49-Amortization!$B$32)</f>
        <v>123050.07872736442</v>
      </c>
      <c r="AC50" s="85">
        <f>SUM(AC49-Amortization!$B$33)</f>
        <v>131802.04688604997</v>
      </c>
      <c r="AD50" s="85">
        <f>SUM(AD49-Amortization!$B$34)</f>
        <v>141834.68222783986</v>
      </c>
      <c r="AE50" s="85">
        <f>SUM(AE49-Amortization!$B$35)</f>
        <v>150972.72453286638</v>
      </c>
      <c r="AF50" s="85">
        <f>SUM(AF49-Amortization!$B$36)</f>
        <v>161465.79850936739</v>
      </c>
      <c r="AG50" s="85">
        <f>SUM(AG49-Amortization!$B$37)</f>
        <v>172617.77556778037</v>
      </c>
      <c r="AH50" s="85">
        <f>SUM(AH49-Amortization!$B$38)</f>
        <v>184472.34529263611</v>
      </c>
      <c r="AI50" s="96">
        <f>SUM(AI49-Amortization!$B$39)</f>
        <v>197076.11885710323</v>
      </c>
    </row>
  </sheetData>
  <mergeCells count="66">
    <mergeCell ref="V2:X2"/>
    <mergeCell ref="V3:X3"/>
    <mergeCell ref="V5:X5"/>
    <mergeCell ref="V6:X6"/>
    <mergeCell ref="B49:C49"/>
    <mergeCell ref="B31:C31"/>
    <mergeCell ref="B32:C32"/>
    <mergeCell ref="B34:C34"/>
    <mergeCell ref="B17:C17"/>
    <mergeCell ref="B18:C18"/>
    <mergeCell ref="B19:C19"/>
    <mergeCell ref="B20:C20"/>
    <mergeCell ref="B21:C21"/>
    <mergeCell ref="N9:O9"/>
    <mergeCell ref="B11:D11"/>
    <mergeCell ref="B12:D12"/>
    <mergeCell ref="R2:T2"/>
    <mergeCell ref="B38:E38"/>
    <mergeCell ref="B39:C39"/>
    <mergeCell ref="B40:C40"/>
    <mergeCell ref="B41:C41"/>
    <mergeCell ref="B36:E36"/>
    <mergeCell ref="B24:C24"/>
    <mergeCell ref="B25:C25"/>
    <mergeCell ref="B26:C26"/>
    <mergeCell ref="B27:C27"/>
    <mergeCell ref="B28:C28"/>
    <mergeCell ref="B23:E23"/>
    <mergeCell ref="B29:C29"/>
    <mergeCell ref="B30:C30"/>
    <mergeCell ref="B16:E16"/>
    <mergeCell ref="F9:G9"/>
    <mergeCell ref="J7:K7"/>
    <mergeCell ref="J8:K8"/>
    <mergeCell ref="B50:C50"/>
    <mergeCell ref="B42:C42"/>
    <mergeCell ref="N8:O8"/>
    <mergeCell ref="B45:C45"/>
    <mergeCell ref="B46:C46"/>
    <mergeCell ref="N2:P2"/>
    <mergeCell ref="B3:C3"/>
    <mergeCell ref="F3:G3"/>
    <mergeCell ref="F4:G4"/>
    <mergeCell ref="J3:K3"/>
    <mergeCell ref="J4:K4"/>
    <mergeCell ref="B2:D2"/>
    <mergeCell ref="F2:H2"/>
    <mergeCell ref="N3:O3"/>
    <mergeCell ref="N4:O4"/>
    <mergeCell ref="J2:L2"/>
    <mergeCell ref="N5:O5"/>
    <mergeCell ref="N6:O6"/>
    <mergeCell ref="N7:O7"/>
    <mergeCell ref="B43:C43"/>
    <mergeCell ref="B44:C44"/>
    <mergeCell ref="F7:G7"/>
    <mergeCell ref="F5:G5"/>
    <mergeCell ref="F6:G6"/>
    <mergeCell ref="F8:G8"/>
    <mergeCell ref="B6:C6"/>
    <mergeCell ref="B7:C7"/>
    <mergeCell ref="B8:C8"/>
    <mergeCell ref="B9:C9"/>
    <mergeCell ref="J5:K5"/>
    <mergeCell ref="J6:K6"/>
    <mergeCell ref="B13:D13"/>
  </mergeCells>
  <conditionalFormatting sqref="R4">
    <cfRule type="expression" dxfId="7" priority="9">
      <formula>$L$3&gt;=2</formula>
    </cfRule>
  </conditionalFormatting>
  <conditionalFormatting sqref="R5">
    <cfRule type="expression" dxfId="6" priority="8">
      <formula>$L$3&gt;=3</formula>
    </cfRule>
  </conditionalFormatting>
  <conditionalFormatting sqref="R6">
    <cfRule type="expression" dxfId="5" priority="7">
      <formula>$L$3&gt;=4</formula>
    </cfRule>
  </conditionalFormatting>
  <conditionalFormatting sqref="R3">
    <cfRule type="expression" dxfId="4" priority="6">
      <formula>$L$3&gt;=1</formula>
    </cfRule>
  </conditionalFormatting>
  <conditionalFormatting sqref="T3">
    <cfRule type="expression" dxfId="3" priority="5">
      <formula>$L$3&gt;=1</formula>
    </cfRule>
  </conditionalFormatting>
  <conditionalFormatting sqref="T4">
    <cfRule type="expression" dxfId="2" priority="4">
      <formula>$L$3&gt;=2</formula>
    </cfRule>
  </conditionalFormatting>
  <conditionalFormatting sqref="T5">
    <cfRule type="expression" dxfId="1" priority="3">
      <formula>$L$3&gt;=3</formula>
    </cfRule>
  </conditionalFormatting>
  <conditionalFormatting sqref="T6">
    <cfRule type="expression" dxfId="0" priority="1">
      <formula>$L$3&gt;=4</formula>
    </cfRule>
  </conditionalFormatting>
  <pageMargins left="0.25" right="0.25" top="0.75" bottom="0.75" header="0.3" footer="0.3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W39"/>
  <sheetViews>
    <sheetView zoomScale="85" zoomScaleNormal="85" workbookViewId="0">
      <selection activeCell="D51" sqref="D51"/>
    </sheetView>
  </sheetViews>
  <sheetFormatPr defaultRowHeight="15" x14ac:dyDescent="0.25"/>
  <cols>
    <col min="1" max="1" width="9.28515625" style="2" bestFit="1" customWidth="1"/>
    <col min="2" max="2" width="11.85546875" customWidth="1"/>
    <col min="3" max="305" width="11.85546875" bestFit="1" customWidth="1"/>
    <col min="306" max="356" width="10.85546875" bestFit="1" customWidth="1"/>
    <col min="357" max="361" width="10.42578125" bestFit="1" customWidth="1"/>
  </cols>
  <sheetData>
    <row r="1" spans="1:361" x14ac:dyDescent="0.25">
      <c r="A1" s="215" t="s">
        <v>447</v>
      </c>
      <c r="B1" s="215"/>
      <c r="C1" s="30">
        <f>Analysis!H4</f>
        <v>44250</v>
      </c>
    </row>
    <row r="2" spans="1:361" x14ac:dyDescent="0.25">
      <c r="A2" s="215" t="s">
        <v>88</v>
      </c>
      <c r="B2" s="215"/>
      <c r="C2" s="30">
        <f>Analysis!H8</f>
        <v>385.465009144085</v>
      </c>
    </row>
    <row r="3" spans="1:361" x14ac:dyDescent="0.25">
      <c r="A3" s="216" t="s">
        <v>446</v>
      </c>
      <c r="B3" s="216"/>
      <c r="C3" s="29">
        <f>Analysis!H6/12</f>
        <v>5.4166666666666669E-3</v>
      </c>
    </row>
    <row r="5" spans="1:361" s="10" customFormat="1" x14ac:dyDescent="0.25">
      <c r="B5" s="10" t="s">
        <v>85</v>
      </c>
      <c r="C5" s="10" t="s">
        <v>86</v>
      </c>
      <c r="D5" s="10" t="s">
        <v>87</v>
      </c>
      <c r="E5" s="10" t="s">
        <v>89</v>
      </c>
      <c r="F5" s="10" t="s">
        <v>90</v>
      </c>
      <c r="G5" s="10" t="s">
        <v>91</v>
      </c>
      <c r="H5" s="10" t="s">
        <v>92</v>
      </c>
      <c r="I5" s="10" t="s">
        <v>93</v>
      </c>
      <c r="J5" s="10" t="s">
        <v>94</v>
      </c>
      <c r="K5" s="10" t="s">
        <v>95</v>
      </c>
      <c r="L5" s="10" t="s">
        <v>96</v>
      </c>
      <c r="M5" s="10" t="s">
        <v>97</v>
      </c>
      <c r="N5" s="10" t="s">
        <v>98</v>
      </c>
      <c r="O5" s="10" t="s">
        <v>99</v>
      </c>
      <c r="P5" s="10" t="s">
        <v>100</v>
      </c>
      <c r="Q5" s="10" t="s">
        <v>101</v>
      </c>
      <c r="R5" s="10" t="s">
        <v>102</v>
      </c>
      <c r="S5" s="10" t="s">
        <v>103</v>
      </c>
      <c r="T5" s="10" t="s">
        <v>104</v>
      </c>
      <c r="U5" s="10" t="s">
        <v>105</v>
      </c>
      <c r="V5" s="10" t="s">
        <v>106</v>
      </c>
      <c r="W5" s="10" t="s">
        <v>107</v>
      </c>
      <c r="X5" s="10" t="s">
        <v>108</v>
      </c>
      <c r="Y5" s="10" t="s">
        <v>109</v>
      </c>
      <c r="Z5" s="10" t="s">
        <v>110</v>
      </c>
      <c r="AA5" s="10" t="s">
        <v>111</v>
      </c>
      <c r="AB5" s="10" t="s">
        <v>112</v>
      </c>
      <c r="AC5" s="10" t="s">
        <v>113</v>
      </c>
      <c r="AD5" s="10" t="s">
        <v>114</v>
      </c>
      <c r="AE5" s="10" t="s">
        <v>115</v>
      </c>
      <c r="AF5" s="10" t="s">
        <v>116</v>
      </c>
      <c r="AG5" s="10" t="s">
        <v>117</v>
      </c>
      <c r="AH5" s="10" t="s">
        <v>118</v>
      </c>
      <c r="AI5" s="10" t="s">
        <v>119</v>
      </c>
      <c r="AJ5" s="10" t="s">
        <v>120</v>
      </c>
      <c r="AK5" s="10" t="s">
        <v>121</v>
      </c>
      <c r="AL5" s="10" t="s">
        <v>122</v>
      </c>
      <c r="AM5" s="10" t="s">
        <v>123</v>
      </c>
      <c r="AN5" s="10" t="s">
        <v>124</v>
      </c>
      <c r="AO5" s="10" t="s">
        <v>125</v>
      </c>
      <c r="AP5" s="10" t="s">
        <v>126</v>
      </c>
      <c r="AQ5" s="10" t="s">
        <v>127</v>
      </c>
      <c r="AR5" s="10" t="s">
        <v>128</v>
      </c>
      <c r="AS5" s="10" t="s">
        <v>129</v>
      </c>
      <c r="AT5" s="10" t="s">
        <v>130</v>
      </c>
      <c r="AU5" s="10" t="s">
        <v>131</v>
      </c>
      <c r="AV5" s="10" t="s">
        <v>132</v>
      </c>
      <c r="AW5" s="10" t="s">
        <v>133</v>
      </c>
      <c r="AX5" s="10" t="s">
        <v>134</v>
      </c>
      <c r="AY5" s="10" t="s">
        <v>135</v>
      </c>
      <c r="AZ5" s="10" t="s">
        <v>136</v>
      </c>
      <c r="BA5" s="10" t="s">
        <v>137</v>
      </c>
      <c r="BB5" s="10" t="s">
        <v>138</v>
      </c>
      <c r="BC5" s="10" t="s">
        <v>139</v>
      </c>
      <c r="BD5" s="10" t="s">
        <v>140</v>
      </c>
      <c r="BE5" s="10" t="s">
        <v>141</v>
      </c>
      <c r="BF5" s="10" t="s">
        <v>142</v>
      </c>
      <c r="BG5" s="10" t="s">
        <v>143</v>
      </c>
      <c r="BH5" s="10" t="s">
        <v>144</v>
      </c>
      <c r="BI5" s="10" t="s">
        <v>145</v>
      </c>
      <c r="BJ5" s="10" t="s">
        <v>146</v>
      </c>
      <c r="BK5" s="10" t="s">
        <v>147</v>
      </c>
      <c r="BL5" s="10" t="s">
        <v>148</v>
      </c>
      <c r="BM5" s="10" t="s">
        <v>149</v>
      </c>
      <c r="BN5" s="10" t="s">
        <v>150</v>
      </c>
      <c r="BO5" s="10" t="s">
        <v>151</v>
      </c>
      <c r="BP5" s="10" t="s">
        <v>152</v>
      </c>
      <c r="BQ5" s="10" t="s">
        <v>153</v>
      </c>
      <c r="BR5" s="10" t="s">
        <v>154</v>
      </c>
      <c r="BS5" s="10" t="s">
        <v>155</v>
      </c>
      <c r="BT5" s="10" t="s">
        <v>156</v>
      </c>
      <c r="BU5" s="10" t="s">
        <v>157</v>
      </c>
      <c r="BV5" s="10" t="s">
        <v>158</v>
      </c>
      <c r="BW5" s="10" t="s">
        <v>159</v>
      </c>
      <c r="BX5" s="10" t="s">
        <v>160</v>
      </c>
      <c r="BY5" s="10" t="s">
        <v>161</v>
      </c>
      <c r="BZ5" s="10" t="s">
        <v>162</v>
      </c>
      <c r="CA5" s="10" t="s">
        <v>163</v>
      </c>
      <c r="CB5" s="10" t="s">
        <v>164</v>
      </c>
      <c r="CC5" s="10" t="s">
        <v>165</v>
      </c>
      <c r="CD5" s="10" t="s">
        <v>166</v>
      </c>
      <c r="CE5" s="10" t="s">
        <v>167</v>
      </c>
      <c r="CF5" s="10" t="s">
        <v>168</v>
      </c>
      <c r="CG5" s="10" t="s">
        <v>169</v>
      </c>
      <c r="CH5" s="10" t="s">
        <v>170</v>
      </c>
      <c r="CI5" s="10" t="s">
        <v>171</v>
      </c>
      <c r="CJ5" s="10" t="s">
        <v>172</v>
      </c>
      <c r="CK5" s="10" t="s">
        <v>173</v>
      </c>
      <c r="CL5" s="10" t="s">
        <v>174</v>
      </c>
      <c r="CM5" s="10" t="s">
        <v>175</v>
      </c>
      <c r="CN5" s="10" t="s">
        <v>176</v>
      </c>
      <c r="CO5" s="10" t="s">
        <v>177</v>
      </c>
      <c r="CP5" s="10" t="s">
        <v>178</v>
      </c>
      <c r="CQ5" s="10" t="s">
        <v>179</v>
      </c>
      <c r="CR5" s="10" t="s">
        <v>180</v>
      </c>
      <c r="CS5" s="10" t="s">
        <v>181</v>
      </c>
      <c r="CT5" s="10" t="s">
        <v>182</v>
      </c>
      <c r="CU5" s="10" t="s">
        <v>183</v>
      </c>
      <c r="CV5" s="10" t="s">
        <v>184</v>
      </c>
      <c r="CW5" s="10" t="s">
        <v>185</v>
      </c>
      <c r="CX5" s="10" t="s">
        <v>186</v>
      </c>
      <c r="CY5" s="10" t="s">
        <v>187</v>
      </c>
      <c r="CZ5" s="10" t="s">
        <v>188</v>
      </c>
      <c r="DA5" s="10" t="s">
        <v>189</v>
      </c>
      <c r="DB5" s="10" t="s">
        <v>190</v>
      </c>
      <c r="DC5" s="10" t="s">
        <v>191</v>
      </c>
      <c r="DD5" s="10" t="s">
        <v>192</v>
      </c>
      <c r="DE5" s="10" t="s">
        <v>193</v>
      </c>
      <c r="DF5" s="10" t="s">
        <v>194</v>
      </c>
      <c r="DG5" s="10" t="s">
        <v>195</v>
      </c>
      <c r="DH5" s="10" t="s">
        <v>196</v>
      </c>
      <c r="DI5" s="10" t="s">
        <v>197</v>
      </c>
      <c r="DJ5" s="10" t="s">
        <v>198</v>
      </c>
      <c r="DK5" s="10" t="s">
        <v>199</v>
      </c>
      <c r="DL5" s="10" t="s">
        <v>200</v>
      </c>
      <c r="DM5" s="10" t="s">
        <v>201</v>
      </c>
      <c r="DN5" s="10" t="s">
        <v>202</v>
      </c>
      <c r="DO5" s="10" t="s">
        <v>203</v>
      </c>
      <c r="DP5" s="10" t="s">
        <v>204</v>
      </c>
      <c r="DQ5" s="10" t="s">
        <v>205</v>
      </c>
      <c r="DR5" s="10" t="s">
        <v>206</v>
      </c>
      <c r="DS5" s="10" t="s">
        <v>207</v>
      </c>
      <c r="DT5" s="10" t="s">
        <v>208</v>
      </c>
      <c r="DU5" s="10" t="s">
        <v>209</v>
      </c>
      <c r="DV5" s="10" t="s">
        <v>210</v>
      </c>
      <c r="DW5" s="10" t="s">
        <v>211</v>
      </c>
      <c r="DX5" s="10" t="s">
        <v>212</v>
      </c>
      <c r="DY5" s="10" t="s">
        <v>213</v>
      </c>
      <c r="DZ5" s="10" t="s">
        <v>214</v>
      </c>
      <c r="EA5" s="10" t="s">
        <v>215</v>
      </c>
      <c r="EB5" s="10" t="s">
        <v>216</v>
      </c>
      <c r="EC5" s="10" t="s">
        <v>217</v>
      </c>
      <c r="ED5" s="10" t="s">
        <v>218</v>
      </c>
      <c r="EE5" s="10" t="s">
        <v>219</v>
      </c>
      <c r="EF5" s="10" t="s">
        <v>220</v>
      </c>
      <c r="EG5" s="10" t="s">
        <v>221</v>
      </c>
      <c r="EH5" s="10" t="s">
        <v>222</v>
      </c>
      <c r="EI5" s="10" t="s">
        <v>223</v>
      </c>
      <c r="EJ5" s="10" t="s">
        <v>224</v>
      </c>
      <c r="EK5" s="10" t="s">
        <v>225</v>
      </c>
      <c r="EL5" s="10" t="s">
        <v>226</v>
      </c>
      <c r="EM5" s="10" t="s">
        <v>227</v>
      </c>
      <c r="EN5" s="10" t="s">
        <v>228</v>
      </c>
      <c r="EO5" s="10" t="s">
        <v>229</v>
      </c>
      <c r="EP5" s="10" t="s">
        <v>230</v>
      </c>
      <c r="EQ5" s="10" t="s">
        <v>231</v>
      </c>
      <c r="ER5" s="10" t="s">
        <v>232</v>
      </c>
      <c r="ES5" s="10" t="s">
        <v>233</v>
      </c>
      <c r="ET5" s="10" t="s">
        <v>234</v>
      </c>
      <c r="EU5" s="10" t="s">
        <v>235</v>
      </c>
      <c r="EV5" s="10" t="s">
        <v>236</v>
      </c>
      <c r="EW5" s="10" t="s">
        <v>237</v>
      </c>
      <c r="EX5" s="10" t="s">
        <v>238</v>
      </c>
      <c r="EY5" s="10" t="s">
        <v>239</v>
      </c>
      <c r="EZ5" s="10" t="s">
        <v>240</v>
      </c>
      <c r="FA5" s="10" t="s">
        <v>241</v>
      </c>
      <c r="FB5" s="10" t="s">
        <v>242</v>
      </c>
      <c r="FC5" s="10" t="s">
        <v>243</v>
      </c>
      <c r="FD5" s="10" t="s">
        <v>244</v>
      </c>
      <c r="FE5" s="10" t="s">
        <v>245</v>
      </c>
      <c r="FF5" s="10" t="s">
        <v>246</v>
      </c>
      <c r="FG5" s="10" t="s">
        <v>247</v>
      </c>
      <c r="FH5" s="10" t="s">
        <v>248</v>
      </c>
      <c r="FI5" s="10" t="s">
        <v>249</v>
      </c>
      <c r="FJ5" s="10" t="s">
        <v>250</v>
      </c>
      <c r="FK5" s="10" t="s">
        <v>251</v>
      </c>
      <c r="FL5" s="10" t="s">
        <v>252</v>
      </c>
      <c r="FM5" s="10" t="s">
        <v>253</v>
      </c>
      <c r="FN5" s="10" t="s">
        <v>254</v>
      </c>
      <c r="FO5" s="10" t="s">
        <v>255</v>
      </c>
      <c r="FP5" s="10" t="s">
        <v>256</v>
      </c>
      <c r="FQ5" s="10" t="s">
        <v>257</v>
      </c>
      <c r="FR5" s="10" t="s">
        <v>258</v>
      </c>
      <c r="FS5" s="10" t="s">
        <v>259</v>
      </c>
      <c r="FT5" s="10" t="s">
        <v>260</v>
      </c>
      <c r="FU5" s="10" t="s">
        <v>261</v>
      </c>
      <c r="FV5" s="10" t="s">
        <v>262</v>
      </c>
      <c r="FW5" s="10" t="s">
        <v>263</v>
      </c>
      <c r="FX5" s="10" t="s">
        <v>264</v>
      </c>
      <c r="FY5" s="10" t="s">
        <v>265</v>
      </c>
      <c r="FZ5" s="10" t="s">
        <v>266</v>
      </c>
      <c r="GA5" s="10" t="s">
        <v>267</v>
      </c>
      <c r="GB5" s="10" t="s">
        <v>268</v>
      </c>
      <c r="GC5" s="10" t="s">
        <v>269</v>
      </c>
      <c r="GD5" s="10" t="s">
        <v>270</v>
      </c>
      <c r="GE5" s="10" t="s">
        <v>271</v>
      </c>
      <c r="GF5" s="10" t="s">
        <v>272</v>
      </c>
      <c r="GG5" s="10" t="s">
        <v>273</v>
      </c>
      <c r="GH5" s="10" t="s">
        <v>274</v>
      </c>
      <c r="GI5" s="10" t="s">
        <v>275</v>
      </c>
      <c r="GJ5" s="10" t="s">
        <v>276</v>
      </c>
      <c r="GK5" s="10" t="s">
        <v>277</v>
      </c>
      <c r="GL5" s="10" t="s">
        <v>278</v>
      </c>
      <c r="GM5" s="10" t="s">
        <v>279</v>
      </c>
      <c r="GN5" s="10" t="s">
        <v>280</v>
      </c>
      <c r="GO5" s="10" t="s">
        <v>281</v>
      </c>
      <c r="GP5" s="10" t="s">
        <v>282</v>
      </c>
      <c r="GQ5" s="10" t="s">
        <v>283</v>
      </c>
      <c r="GR5" s="10" t="s">
        <v>284</v>
      </c>
      <c r="GS5" s="10" t="s">
        <v>285</v>
      </c>
      <c r="GT5" s="10" t="s">
        <v>286</v>
      </c>
      <c r="GU5" s="10" t="s">
        <v>287</v>
      </c>
      <c r="GV5" s="10" t="s">
        <v>288</v>
      </c>
      <c r="GW5" s="10" t="s">
        <v>289</v>
      </c>
      <c r="GX5" s="10" t="s">
        <v>290</v>
      </c>
      <c r="GY5" s="10" t="s">
        <v>291</v>
      </c>
      <c r="GZ5" s="10" t="s">
        <v>292</v>
      </c>
      <c r="HA5" s="10" t="s">
        <v>293</v>
      </c>
      <c r="HB5" s="10" t="s">
        <v>294</v>
      </c>
      <c r="HC5" s="10" t="s">
        <v>295</v>
      </c>
      <c r="HD5" s="10" t="s">
        <v>296</v>
      </c>
      <c r="HE5" s="10" t="s">
        <v>297</v>
      </c>
      <c r="HF5" s="10" t="s">
        <v>298</v>
      </c>
      <c r="HG5" s="10" t="s">
        <v>299</v>
      </c>
      <c r="HH5" s="10" t="s">
        <v>300</v>
      </c>
      <c r="HI5" s="10" t="s">
        <v>301</v>
      </c>
      <c r="HJ5" s="10" t="s">
        <v>302</v>
      </c>
      <c r="HK5" s="10" t="s">
        <v>303</v>
      </c>
      <c r="HL5" s="10" t="s">
        <v>304</v>
      </c>
      <c r="HM5" s="10" t="s">
        <v>305</v>
      </c>
      <c r="HN5" s="10" t="s">
        <v>306</v>
      </c>
      <c r="HO5" s="10" t="s">
        <v>307</v>
      </c>
      <c r="HP5" s="10" t="s">
        <v>308</v>
      </c>
      <c r="HQ5" s="10" t="s">
        <v>309</v>
      </c>
      <c r="HR5" s="10" t="s">
        <v>310</v>
      </c>
      <c r="HS5" s="10" t="s">
        <v>311</v>
      </c>
      <c r="HT5" s="10" t="s">
        <v>312</v>
      </c>
      <c r="HU5" s="10" t="s">
        <v>313</v>
      </c>
      <c r="HV5" s="10" t="s">
        <v>314</v>
      </c>
      <c r="HW5" s="10" t="s">
        <v>315</v>
      </c>
      <c r="HX5" s="10" t="s">
        <v>316</v>
      </c>
      <c r="HY5" s="10" t="s">
        <v>317</v>
      </c>
      <c r="HZ5" s="10" t="s">
        <v>318</v>
      </c>
      <c r="IA5" s="10" t="s">
        <v>319</v>
      </c>
      <c r="IB5" s="10" t="s">
        <v>320</v>
      </c>
      <c r="IC5" s="10" t="s">
        <v>321</v>
      </c>
      <c r="ID5" s="10" t="s">
        <v>322</v>
      </c>
      <c r="IE5" s="10" t="s">
        <v>323</v>
      </c>
      <c r="IF5" s="10" t="s">
        <v>324</v>
      </c>
      <c r="IG5" s="10" t="s">
        <v>325</v>
      </c>
      <c r="IH5" s="10" t="s">
        <v>326</v>
      </c>
      <c r="II5" s="10" t="s">
        <v>327</v>
      </c>
      <c r="IJ5" s="10" t="s">
        <v>328</v>
      </c>
      <c r="IK5" s="10" t="s">
        <v>329</v>
      </c>
      <c r="IL5" s="10" t="s">
        <v>330</v>
      </c>
      <c r="IM5" s="10" t="s">
        <v>331</v>
      </c>
      <c r="IN5" s="10" t="s">
        <v>332</v>
      </c>
      <c r="IO5" s="10" t="s">
        <v>333</v>
      </c>
      <c r="IP5" s="10" t="s">
        <v>334</v>
      </c>
      <c r="IQ5" s="10" t="s">
        <v>335</v>
      </c>
      <c r="IR5" s="10" t="s">
        <v>336</v>
      </c>
      <c r="IS5" s="10" t="s">
        <v>337</v>
      </c>
      <c r="IT5" s="10" t="s">
        <v>338</v>
      </c>
      <c r="IU5" s="10" t="s">
        <v>339</v>
      </c>
      <c r="IV5" s="10" t="s">
        <v>340</v>
      </c>
      <c r="IW5" s="10" t="s">
        <v>341</v>
      </c>
      <c r="IX5" s="10" t="s">
        <v>342</v>
      </c>
      <c r="IY5" s="10" t="s">
        <v>343</v>
      </c>
      <c r="IZ5" s="10" t="s">
        <v>344</v>
      </c>
      <c r="JA5" s="10" t="s">
        <v>345</v>
      </c>
      <c r="JB5" s="10" t="s">
        <v>346</v>
      </c>
      <c r="JC5" s="10" t="s">
        <v>347</v>
      </c>
      <c r="JD5" s="10" t="s">
        <v>348</v>
      </c>
      <c r="JE5" s="10" t="s">
        <v>349</v>
      </c>
      <c r="JF5" s="10" t="s">
        <v>350</v>
      </c>
      <c r="JG5" s="10" t="s">
        <v>351</v>
      </c>
      <c r="JH5" s="10" t="s">
        <v>352</v>
      </c>
      <c r="JI5" s="10" t="s">
        <v>353</v>
      </c>
      <c r="JJ5" s="10" t="s">
        <v>354</v>
      </c>
      <c r="JK5" s="10" t="s">
        <v>355</v>
      </c>
      <c r="JL5" s="10" t="s">
        <v>356</v>
      </c>
      <c r="JM5" s="10" t="s">
        <v>357</v>
      </c>
      <c r="JN5" s="10" t="s">
        <v>358</v>
      </c>
      <c r="JO5" s="10" t="s">
        <v>359</v>
      </c>
      <c r="JP5" s="10" t="s">
        <v>360</v>
      </c>
      <c r="JQ5" s="10" t="s">
        <v>361</v>
      </c>
      <c r="JR5" s="10" t="s">
        <v>362</v>
      </c>
      <c r="JS5" s="10" t="s">
        <v>363</v>
      </c>
      <c r="JT5" s="10" t="s">
        <v>364</v>
      </c>
      <c r="JU5" s="10" t="s">
        <v>365</v>
      </c>
      <c r="JV5" s="10" t="s">
        <v>366</v>
      </c>
      <c r="JW5" s="10" t="s">
        <v>367</v>
      </c>
      <c r="JX5" s="10" t="s">
        <v>368</v>
      </c>
      <c r="JY5" s="10" t="s">
        <v>369</v>
      </c>
      <c r="JZ5" s="10" t="s">
        <v>370</v>
      </c>
      <c r="KA5" s="10" t="s">
        <v>371</v>
      </c>
      <c r="KB5" s="10" t="s">
        <v>372</v>
      </c>
      <c r="KC5" s="10" t="s">
        <v>373</v>
      </c>
      <c r="KD5" s="10" t="s">
        <v>374</v>
      </c>
      <c r="KE5" s="10" t="s">
        <v>375</v>
      </c>
      <c r="KF5" s="10" t="s">
        <v>376</v>
      </c>
      <c r="KG5" s="10" t="s">
        <v>377</v>
      </c>
      <c r="KH5" s="10" t="s">
        <v>378</v>
      </c>
      <c r="KI5" s="10" t="s">
        <v>379</v>
      </c>
      <c r="KJ5" s="10" t="s">
        <v>380</v>
      </c>
      <c r="KK5" s="10" t="s">
        <v>381</v>
      </c>
      <c r="KL5" s="10" t="s">
        <v>382</v>
      </c>
      <c r="KM5" s="10" t="s">
        <v>383</v>
      </c>
      <c r="KN5" s="10" t="s">
        <v>384</v>
      </c>
      <c r="KO5" s="10" t="s">
        <v>385</v>
      </c>
      <c r="KP5" s="10" t="s">
        <v>386</v>
      </c>
      <c r="KQ5" s="10" t="s">
        <v>387</v>
      </c>
      <c r="KR5" s="10" t="s">
        <v>388</v>
      </c>
      <c r="KS5" s="10" t="s">
        <v>389</v>
      </c>
      <c r="KT5" s="10" t="s">
        <v>390</v>
      </c>
      <c r="KU5" s="10" t="s">
        <v>391</v>
      </c>
      <c r="KV5" s="10" t="s">
        <v>392</v>
      </c>
      <c r="KW5" s="10" t="s">
        <v>393</v>
      </c>
      <c r="KX5" s="10" t="s">
        <v>394</v>
      </c>
      <c r="KY5" s="10" t="s">
        <v>395</v>
      </c>
      <c r="KZ5" s="10" t="s">
        <v>396</v>
      </c>
      <c r="LA5" s="10" t="s">
        <v>397</v>
      </c>
      <c r="LB5" s="10" t="s">
        <v>398</v>
      </c>
      <c r="LC5" s="10" t="s">
        <v>399</v>
      </c>
      <c r="LD5" s="10" t="s">
        <v>400</v>
      </c>
      <c r="LE5" s="10" t="s">
        <v>401</v>
      </c>
      <c r="LF5" s="10" t="s">
        <v>402</v>
      </c>
      <c r="LG5" s="10" t="s">
        <v>403</v>
      </c>
      <c r="LH5" s="10" t="s">
        <v>404</v>
      </c>
      <c r="LI5" s="10" t="s">
        <v>405</v>
      </c>
      <c r="LJ5" s="10" t="s">
        <v>406</v>
      </c>
      <c r="LK5" s="10" t="s">
        <v>407</v>
      </c>
      <c r="LL5" s="10" t="s">
        <v>408</v>
      </c>
      <c r="LM5" s="10" t="s">
        <v>409</v>
      </c>
      <c r="LN5" s="10" t="s">
        <v>410</v>
      </c>
      <c r="LO5" s="10" t="s">
        <v>411</v>
      </c>
      <c r="LP5" s="10" t="s">
        <v>412</v>
      </c>
      <c r="LQ5" s="10" t="s">
        <v>413</v>
      </c>
      <c r="LR5" s="10" t="s">
        <v>414</v>
      </c>
      <c r="LS5" s="10" t="s">
        <v>415</v>
      </c>
      <c r="LT5" s="10" t="s">
        <v>416</v>
      </c>
      <c r="LU5" s="10" t="s">
        <v>417</v>
      </c>
      <c r="LV5" s="10" t="s">
        <v>418</v>
      </c>
      <c r="LW5" s="10" t="s">
        <v>419</v>
      </c>
      <c r="LX5" s="10" t="s">
        <v>420</v>
      </c>
      <c r="LY5" s="10" t="s">
        <v>421</v>
      </c>
      <c r="LZ5" s="10" t="s">
        <v>422</v>
      </c>
      <c r="MA5" s="10" t="s">
        <v>423</v>
      </c>
      <c r="MB5" s="10" t="s">
        <v>424</v>
      </c>
      <c r="MC5" s="10" t="s">
        <v>425</v>
      </c>
      <c r="MD5" s="10" t="s">
        <v>426</v>
      </c>
      <c r="ME5" s="10" t="s">
        <v>427</v>
      </c>
      <c r="MF5" s="10" t="s">
        <v>428</v>
      </c>
      <c r="MG5" s="10" t="s">
        <v>429</v>
      </c>
      <c r="MH5" s="10" t="s">
        <v>430</v>
      </c>
      <c r="MI5" s="10" t="s">
        <v>431</v>
      </c>
      <c r="MJ5" s="10" t="s">
        <v>432</v>
      </c>
      <c r="MK5" s="10" t="s">
        <v>433</v>
      </c>
      <c r="ML5" s="10" t="s">
        <v>434</v>
      </c>
      <c r="MM5" s="10" t="s">
        <v>435</v>
      </c>
      <c r="MN5" s="10" t="s">
        <v>436</v>
      </c>
      <c r="MO5" s="10" t="s">
        <v>437</v>
      </c>
      <c r="MP5" s="10" t="s">
        <v>438</v>
      </c>
      <c r="MQ5" s="10" t="s">
        <v>439</v>
      </c>
      <c r="MR5" s="10" t="s">
        <v>440</v>
      </c>
      <c r="MS5" s="10" t="s">
        <v>441</v>
      </c>
      <c r="MT5" s="10" t="s">
        <v>442</v>
      </c>
      <c r="MU5" s="10" t="s">
        <v>443</v>
      </c>
      <c r="MV5" s="10" t="s">
        <v>444</v>
      </c>
      <c r="MW5" s="10" t="s">
        <v>445</v>
      </c>
    </row>
    <row r="6" spans="1:361" x14ac:dyDescent="0.25">
      <c r="A6" s="2" t="s">
        <v>448</v>
      </c>
      <c r="B6" s="30">
        <f>SUM(C2-(C1*C3))</f>
        <v>145.777509144085</v>
      </c>
      <c r="C6" s="30">
        <f>SUM($C$2-(B7*$C$3))</f>
        <v>146.56713731861547</v>
      </c>
      <c r="D6" s="30">
        <f t="shared" ref="D6:BO6" si="0">SUM($C$2-(C7*$C$3))</f>
        <v>147.36104264575795</v>
      </c>
      <c r="E6" s="30">
        <f t="shared" si="0"/>
        <v>148.15924829342248</v>
      </c>
      <c r="F6" s="30">
        <f t="shared" si="0"/>
        <v>148.96177755501185</v>
      </c>
      <c r="G6" s="30">
        <f t="shared" si="0"/>
        <v>149.76865385010149</v>
      </c>
      <c r="H6" s="30">
        <f t="shared" si="0"/>
        <v>150.57990072512288</v>
      </c>
      <c r="I6" s="30">
        <f t="shared" si="0"/>
        <v>151.39554185405063</v>
      </c>
      <c r="J6" s="30">
        <f t="shared" si="0"/>
        <v>152.2156010390934</v>
      </c>
      <c r="K6" s="30">
        <f t="shared" si="0"/>
        <v>153.04010221138847</v>
      </c>
      <c r="L6" s="30">
        <f t="shared" si="0"/>
        <v>153.86906943170015</v>
      </c>
      <c r="M6" s="30">
        <f t="shared" si="0"/>
        <v>154.70252689112186</v>
      </c>
      <c r="N6" s="30">
        <f t="shared" si="0"/>
        <v>155.54049891178212</v>
      </c>
      <c r="O6" s="30">
        <f t="shared" si="0"/>
        <v>156.38300994755426</v>
      </c>
      <c r="P6" s="30">
        <f t="shared" si="0"/>
        <v>157.23008458477017</v>
      </c>
      <c r="Q6" s="30">
        <f t="shared" si="0"/>
        <v>158.08174754293768</v>
      </c>
      <c r="R6" s="30">
        <f t="shared" si="0"/>
        <v>158.93802367546192</v>
      </c>
      <c r="S6" s="30">
        <f t="shared" si="0"/>
        <v>159.79893797037064</v>
      </c>
      <c r="T6" s="30">
        <f t="shared" si="0"/>
        <v>160.66451555104351</v>
      </c>
      <c r="U6" s="30">
        <f t="shared" si="0"/>
        <v>161.53478167694499</v>
      </c>
      <c r="V6" s="30">
        <f t="shared" si="0"/>
        <v>162.40976174436176</v>
      </c>
      <c r="W6" s="30">
        <f t="shared" si="0"/>
        <v>163.2894812871437</v>
      </c>
      <c r="X6" s="30">
        <f t="shared" si="0"/>
        <v>164.17396597744909</v>
      </c>
      <c r="Y6" s="30">
        <f t="shared" si="0"/>
        <v>165.06324162649358</v>
      </c>
      <c r="Z6" s="30">
        <f t="shared" si="0"/>
        <v>165.95733418530375</v>
      </c>
      <c r="AA6" s="30">
        <f t="shared" si="0"/>
        <v>166.85626974547415</v>
      </c>
      <c r="AB6" s="30">
        <f t="shared" si="0"/>
        <v>167.76007453992881</v>
      </c>
      <c r="AC6" s="30">
        <f t="shared" si="0"/>
        <v>168.66877494368677</v>
      </c>
      <c r="AD6" s="30">
        <f t="shared" si="0"/>
        <v>169.58239747463176</v>
      </c>
      <c r="AE6" s="30">
        <f t="shared" si="0"/>
        <v>170.500968794286</v>
      </c>
      <c r="AF6" s="30">
        <f t="shared" si="0"/>
        <v>171.42451570858839</v>
      </c>
      <c r="AG6" s="30">
        <f t="shared" si="0"/>
        <v>172.35306516867661</v>
      </c>
      <c r="AH6" s="30">
        <f t="shared" si="0"/>
        <v>173.28664427167357</v>
      </c>
      <c r="AI6" s="30">
        <f t="shared" si="0"/>
        <v>174.2252802614785</v>
      </c>
      <c r="AJ6" s="30">
        <f t="shared" si="0"/>
        <v>175.16900052956152</v>
      </c>
      <c r="AK6" s="30">
        <f t="shared" si="0"/>
        <v>176.11783261576332</v>
      </c>
      <c r="AL6" s="30">
        <f t="shared" si="0"/>
        <v>177.07180420909867</v>
      </c>
      <c r="AM6" s="30">
        <f t="shared" si="0"/>
        <v>178.0309431485646</v>
      </c>
      <c r="AN6" s="30">
        <f t="shared" si="0"/>
        <v>178.99527742395267</v>
      </c>
      <c r="AO6" s="30">
        <f t="shared" si="0"/>
        <v>179.96483517666573</v>
      </c>
      <c r="AP6" s="30">
        <f t="shared" si="0"/>
        <v>180.93964470053936</v>
      </c>
      <c r="AQ6" s="30">
        <f t="shared" si="0"/>
        <v>181.91973444266728</v>
      </c>
      <c r="AR6" s="30">
        <f t="shared" si="0"/>
        <v>182.90513300423171</v>
      </c>
      <c r="AS6" s="30">
        <f t="shared" si="0"/>
        <v>183.89586914133798</v>
      </c>
      <c r="AT6" s="30">
        <f t="shared" si="0"/>
        <v>184.89197176585355</v>
      </c>
      <c r="AU6" s="30">
        <f t="shared" si="0"/>
        <v>185.89346994625191</v>
      </c>
      <c r="AV6" s="30">
        <f t="shared" si="0"/>
        <v>186.90039290846079</v>
      </c>
      <c r="AW6" s="30">
        <f t="shared" si="0"/>
        <v>187.91277003671493</v>
      </c>
      <c r="AX6" s="30">
        <f t="shared" si="0"/>
        <v>188.93063087441382</v>
      </c>
      <c r="AY6" s="30">
        <f t="shared" si="0"/>
        <v>189.95400512498355</v>
      </c>
      <c r="AZ6" s="30">
        <f t="shared" si="0"/>
        <v>190.98292265274389</v>
      </c>
      <c r="BA6" s="30">
        <f t="shared" si="0"/>
        <v>192.01741348377959</v>
      </c>
      <c r="BB6" s="30">
        <f t="shared" si="0"/>
        <v>193.05750780681674</v>
      </c>
      <c r="BC6" s="30">
        <f t="shared" si="0"/>
        <v>194.10323597410365</v>
      </c>
      <c r="BD6" s="30">
        <f t="shared" si="0"/>
        <v>195.1546285022967</v>
      </c>
      <c r="BE6" s="30">
        <f t="shared" si="0"/>
        <v>196.2117160733508</v>
      </c>
      <c r="BF6" s="30">
        <f t="shared" si="0"/>
        <v>197.27452953541481</v>
      </c>
      <c r="BG6" s="30">
        <f t="shared" si="0"/>
        <v>198.34309990373166</v>
      </c>
      <c r="BH6" s="30">
        <f t="shared" si="0"/>
        <v>199.41745836154354</v>
      </c>
      <c r="BI6" s="30">
        <f t="shared" si="0"/>
        <v>200.4976362610019</v>
      </c>
      <c r="BJ6" s="30">
        <f t="shared" si="0"/>
        <v>201.58366512408233</v>
      </c>
      <c r="BK6" s="30">
        <f t="shared" si="0"/>
        <v>202.67557664350446</v>
      </c>
      <c r="BL6" s="30">
        <f t="shared" si="0"/>
        <v>203.77340268365674</v>
      </c>
      <c r="BM6" s="30">
        <f t="shared" si="0"/>
        <v>204.87717528152655</v>
      </c>
      <c r="BN6" s="30">
        <f t="shared" si="0"/>
        <v>205.98692664763485</v>
      </c>
      <c r="BO6" s="30">
        <f t="shared" si="0"/>
        <v>207.10268916697621</v>
      </c>
      <c r="BP6" s="30">
        <f t="shared" ref="BP6:EA6" si="1">SUM($C$2-(BO7*$C$3))</f>
        <v>208.22449539996398</v>
      </c>
      <c r="BQ6" s="30">
        <f t="shared" si="1"/>
        <v>209.35237808338047</v>
      </c>
      <c r="BR6" s="30">
        <f t="shared" si="1"/>
        <v>210.48637013133214</v>
      </c>
      <c r="BS6" s="30">
        <f t="shared" si="1"/>
        <v>211.62650463621017</v>
      </c>
      <c r="BT6" s="30">
        <f t="shared" si="1"/>
        <v>212.77281486965632</v>
      </c>
      <c r="BU6" s="30">
        <f t="shared" si="1"/>
        <v>213.92533428353363</v>
      </c>
      <c r="BV6" s="30">
        <f t="shared" si="1"/>
        <v>215.08409651090275</v>
      </c>
      <c r="BW6" s="30">
        <f t="shared" si="1"/>
        <v>216.24913536700348</v>
      </c>
      <c r="BX6" s="30">
        <f t="shared" si="1"/>
        <v>217.42048485024142</v>
      </c>
      <c r="BY6" s="30">
        <f t="shared" si="1"/>
        <v>218.59817914318023</v>
      </c>
      <c r="BZ6" s="30">
        <f t="shared" si="1"/>
        <v>219.78225261353913</v>
      </c>
      <c r="CA6" s="30">
        <f t="shared" si="1"/>
        <v>220.97273981519578</v>
      </c>
      <c r="CB6" s="30">
        <f t="shared" si="1"/>
        <v>222.16967548919476</v>
      </c>
      <c r="CC6" s="30">
        <f t="shared" si="1"/>
        <v>223.37309456476123</v>
      </c>
      <c r="CD6" s="30">
        <f t="shared" si="1"/>
        <v>224.58303216032036</v>
      </c>
      <c r="CE6" s="30">
        <f t="shared" si="1"/>
        <v>225.79952358452209</v>
      </c>
      <c r="CF6" s="30">
        <f t="shared" si="1"/>
        <v>227.02260433727162</v>
      </c>
      <c r="CG6" s="30">
        <f t="shared" si="1"/>
        <v>228.25231011076517</v>
      </c>
      <c r="CH6" s="30">
        <f t="shared" si="1"/>
        <v>229.4886767905318</v>
      </c>
      <c r="CI6" s="30">
        <f t="shared" si="1"/>
        <v>230.73174045648051</v>
      </c>
      <c r="CJ6" s="30">
        <f t="shared" si="1"/>
        <v>231.98153738395311</v>
      </c>
      <c r="CK6" s="30">
        <f t="shared" si="1"/>
        <v>233.23810404478286</v>
      </c>
      <c r="CL6" s="30">
        <f t="shared" si="1"/>
        <v>234.50147710835876</v>
      </c>
      <c r="CM6" s="30">
        <f t="shared" si="1"/>
        <v>235.77169344269572</v>
      </c>
      <c r="CN6" s="30">
        <f t="shared" si="1"/>
        <v>237.04879011551031</v>
      </c>
      <c r="CO6" s="30">
        <f t="shared" si="1"/>
        <v>238.33280439530267</v>
      </c>
      <c r="CP6" s="30">
        <f t="shared" si="1"/>
        <v>239.6237737524439</v>
      </c>
      <c r="CQ6" s="30">
        <f t="shared" si="1"/>
        <v>240.92173586026962</v>
      </c>
      <c r="CR6" s="30">
        <f t="shared" si="1"/>
        <v>242.22672859617941</v>
      </c>
      <c r="CS6" s="30">
        <f t="shared" si="1"/>
        <v>243.53879004274205</v>
      </c>
      <c r="CT6" s="30">
        <f t="shared" si="1"/>
        <v>244.8579584888069</v>
      </c>
      <c r="CU6" s="30">
        <f t="shared" si="1"/>
        <v>246.18427243062126</v>
      </c>
      <c r="CV6" s="30">
        <f t="shared" si="1"/>
        <v>247.51777057295382</v>
      </c>
      <c r="CW6" s="30">
        <f t="shared" si="1"/>
        <v>248.85849183022398</v>
      </c>
      <c r="CX6" s="30">
        <f t="shared" si="1"/>
        <v>250.20647532763769</v>
      </c>
      <c r="CY6" s="30">
        <f t="shared" si="1"/>
        <v>251.56176040232907</v>
      </c>
      <c r="CZ6" s="30">
        <f t="shared" si="1"/>
        <v>252.92438660450836</v>
      </c>
      <c r="DA6" s="30">
        <f t="shared" si="1"/>
        <v>254.29439369861609</v>
      </c>
      <c r="DB6" s="30">
        <f t="shared" si="1"/>
        <v>255.67182166448359</v>
      </c>
      <c r="DC6" s="30">
        <f t="shared" si="1"/>
        <v>257.05671069849956</v>
      </c>
      <c r="DD6" s="30">
        <f t="shared" si="1"/>
        <v>258.44910121478307</v>
      </c>
      <c r="DE6" s="30">
        <f t="shared" si="1"/>
        <v>259.84903384636317</v>
      </c>
      <c r="DF6" s="30">
        <f t="shared" si="1"/>
        <v>261.25654944636432</v>
      </c>
      <c r="DG6" s="30">
        <f t="shared" si="1"/>
        <v>262.67168908919876</v>
      </c>
      <c r="DH6" s="30">
        <f t="shared" si="1"/>
        <v>264.09449407176527</v>
      </c>
      <c r="DI6" s="30">
        <f t="shared" si="1"/>
        <v>265.525005914654</v>
      </c>
      <c r="DJ6" s="30">
        <f t="shared" si="1"/>
        <v>266.96326636335834</v>
      </c>
      <c r="DK6" s="30">
        <f t="shared" si="1"/>
        <v>268.40931738949325</v>
      </c>
      <c r="DL6" s="30">
        <f t="shared" si="1"/>
        <v>269.86320119201969</v>
      </c>
      <c r="DM6" s="30">
        <f t="shared" si="1"/>
        <v>271.32496019847645</v>
      </c>
      <c r="DN6" s="30">
        <f t="shared" si="1"/>
        <v>272.79463706621817</v>
      </c>
      <c r="DO6" s="30">
        <f t="shared" si="1"/>
        <v>274.27227468366016</v>
      </c>
      <c r="DP6" s="30">
        <f t="shared" si="1"/>
        <v>275.75791617152998</v>
      </c>
      <c r="DQ6" s="30">
        <f t="shared" si="1"/>
        <v>277.25160488412575</v>
      </c>
      <c r="DR6" s="30">
        <f t="shared" si="1"/>
        <v>278.75338441058148</v>
      </c>
      <c r="DS6" s="30">
        <f t="shared" si="1"/>
        <v>280.26329857613877</v>
      </c>
      <c r="DT6" s="30">
        <f t="shared" si="1"/>
        <v>281.78139144342617</v>
      </c>
      <c r="DU6" s="30">
        <f t="shared" si="1"/>
        <v>283.30770731374474</v>
      </c>
      <c r="DV6" s="30">
        <f t="shared" si="1"/>
        <v>284.84229072836087</v>
      </c>
      <c r="DW6" s="30">
        <f t="shared" si="1"/>
        <v>286.38518646980617</v>
      </c>
      <c r="DX6" s="30">
        <f t="shared" si="1"/>
        <v>287.93643956318425</v>
      </c>
      <c r="DY6" s="30">
        <f t="shared" si="1"/>
        <v>289.49609527748487</v>
      </c>
      <c r="DZ6" s="30">
        <f t="shared" si="1"/>
        <v>291.06419912690455</v>
      </c>
      <c r="EA6" s="30">
        <f t="shared" si="1"/>
        <v>292.64079687217532</v>
      </c>
      <c r="EB6" s="30">
        <f t="shared" ref="EB6:GM6" si="2">SUM($C$2-(EA7*$C$3))</f>
        <v>294.2259345218996</v>
      </c>
      <c r="EC6" s="30">
        <f t="shared" si="2"/>
        <v>295.81965833389319</v>
      </c>
      <c r="ED6" s="30">
        <f t="shared" si="2"/>
        <v>297.42201481653512</v>
      </c>
      <c r="EE6" s="30">
        <f t="shared" si="2"/>
        <v>299.03305073012473</v>
      </c>
      <c r="EF6" s="30">
        <f t="shared" si="2"/>
        <v>300.65281308824621</v>
      </c>
      <c r="EG6" s="30">
        <f t="shared" si="2"/>
        <v>302.28134915914086</v>
      </c>
      <c r="EH6" s="30">
        <f t="shared" si="2"/>
        <v>303.91870646708622</v>
      </c>
      <c r="EI6" s="30">
        <f t="shared" si="2"/>
        <v>305.56493279378293</v>
      </c>
      <c r="EJ6" s="30">
        <f t="shared" si="2"/>
        <v>307.22007617974924</v>
      </c>
      <c r="EK6" s="30">
        <f t="shared" si="2"/>
        <v>308.88418492572288</v>
      </c>
      <c r="EL6" s="30">
        <f t="shared" si="2"/>
        <v>310.55730759407055</v>
      </c>
      <c r="EM6" s="30">
        <f t="shared" si="2"/>
        <v>312.23949301020514</v>
      </c>
      <c r="EN6" s="30">
        <f t="shared" si="2"/>
        <v>313.9307902640104</v>
      </c>
      <c r="EO6" s="30">
        <f t="shared" si="2"/>
        <v>315.63124871127377</v>
      </c>
      <c r="EP6" s="30">
        <f t="shared" si="2"/>
        <v>317.3409179751265</v>
      </c>
      <c r="EQ6" s="30">
        <f t="shared" si="2"/>
        <v>319.05984794749179</v>
      </c>
      <c r="ER6" s="30">
        <f t="shared" si="2"/>
        <v>320.78808879054071</v>
      </c>
      <c r="ES6" s="30">
        <f t="shared" si="2"/>
        <v>322.52569093815612</v>
      </c>
      <c r="ET6" s="30">
        <f t="shared" si="2"/>
        <v>324.27270509740447</v>
      </c>
      <c r="EU6" s="30">
        <f t="shared" si="2"/>
        <v>326.02918225001542</v>
      </c>
      <c r="EV6" s="30">
        <f t="shared" si="2"/>
        <v>327.79517365386965</v>
      </c>
      <c r="EW6" s="30">
        <f t="shared" si="2"/>
        <v>329.57073084449479</v>
      </c>
      <c r="EX6" s="30">
        <f t="shared" si="2"/>
        <v>331.3559056365691</v>
      </c>
      <c r="EY6" s="30">
        <f t="shared" si="2"/>
        <v>333.15075012543389</v>
      </c>
      <c r="EZ6" s="30">
        <f t="shared" si="2"/>
        <v>334.95531668861332</v>
      </c>
      <c r="FA6" s="30">
        <f t="shared" si="2"/>
        <v>336.76965798734329</v>
      </c>
      <c r="FB6" s="30">
        <f t="shared" si="2"/>
        <v>338.59382696810809</v>
      </c>
      <c r="FC6" s="30">
        <f t="shared" si="2"/>
        <v>340.42787686418535</v>
      </c>
      <c r="FD6" s="30">
        <f t="shared" si="2"/>
        <v>342.27186119719966</v>
      </c>
      <c r="FE6" s="30">
        <f t="shared" si="2"/>
        <v>344.12583377868452</v>
      </c>
      <c r="FF6" s="30">
        <f t="shared" si="2"/>
        <v>345.98984871165237</v>
      </c>
      <c r="FG6" s="30">
        <f t="shared" si="2"/>
        <v>347.86396039217379</v>
      </c>
      <c r="FH6" s="30">
        <f t="shared" si="2"/>
        <v>349.74822351096475</v>
      </c>
      <c r="FI6" s="30">
        <f t="shared" si="2"/>
        <v>351.64269305498249</v>
      </c>
      <c r="FJ6" s="30">
        <f t="shared" si="2"/>
        <v>353.5474243090303</v>
      </c>
      <c r="FK6" s="30">
        <f t="shared" si="2"/>
        <v>355.46247285737087</v>
      </c>
      <c r="FL6" s="30">
        <f t="shared" si="2"/>
        <v>357.38789458534831</v>
      </c>
      <c r="FM6" s="30">
        <f t="shared" si="2"/>
        <v>359.32374568101898</v>
      </c>
      <c r="FN6" s="30">
        <f t="shared" si="2"/>
        <v>361.27008263679113</v>
      </c>
      <c r="FO6" s="30">
        <f t="shared" si="2"/>
        <v>363.22696225107376</v>
      </c>
      <c r="FP6" s="30">
        <f t="shared" si="2"/>
        <v>365.19444162993375</v>
      </c>
      <c r="FQ6" s="30">
        <f t="shared" si="2"/>
        <v>367.17257818876254</v>
      </c>
      <c r="FR6" s="30">
        <f t="shared" si="2"/>
        <v>369.1614296539517</v>
      </c>
      <c r="FS6" s="30">
        <f t="shared" si="2"/>
        <v>371.16105406457723</v>
      </c>
      <c r="FT6" s="30">
        <f t="shared" si="2"/>
        <v>373.17150977409369</v>
      </c>
      <c r="FU6" s="30">
        <f t="shared" si="2"/>
        <v>375.19285545203672</v>
      </c>
      <c r="FV6" s="30">
        <f t="shared" si="2"/>
        <v>377.22515008573527</v>
      </c>
      <c r="FW6" s="30">
        <f t="shared" si="2"/>
        <v>379.26845298203301</v>
      </c>
      <c r="FX6" s="30">
        <f t="shared" si="2"/>
        <v>381.32282376901901</v>
      </c>
      <c r="FY6" s="30">
        <f t="shared" si="2"/>
        <v>383.38832239776787</v>
      </c>
      <c r="FZ6" s="30">
        <f t="shared" si="2"/>
        <v>385.46500914408909</v>
      </c>
      <c r="GA6" s="30">
        <f t="shared" si="2"/>
        <v>387.55294461028626</v>
      </c>
      <c r="GB6" s="30">
        <f t="shared" si="2"/>
        <v>389.65218972692531</v>
      </c>
      <c r="GC6" s="30">
        <f t="shared" si="2"/>
        <v>391.76280575461283</v>
      </c>
      <c r="GD6" s="30">
        <f t="shared" si="2"/>
        <v>393.8848542857836</v>
      </c>
      <c r="GE6" s="30">
        <f t="shared" si="2"/>
        <v>396.0183972464983</v>
      </c>
      <c r="GF6" s="30">
        <f t="shared" si="2"/>
        <v>398.16349689825017</v>
      </c>
      <c r="GG6" s="30">
        <f t="shared" si="2"/>
        <v>400.32021583978235</v>
      </c>
      <c r="GH6" s="30">
        <f t="shared" si="2"/>
        <v>402.4886170089145</v>
      </c>
      <c r="GI6" s="30">
        <f t="shared" si="2"/>
        <v>404.66876368437943</v>
      </c>
      <c r="GJ6" s="30">
        <f t="shared" si="2"/>
        <v>406.86071948766983</v>
      </c>
      <c r="GK6" s="30">
        <f t="shared" si="2"/>
        <v>409.06454838489469</v>
      </c>
      <c r="GL6" s="30">
        <f t="shared" si="2"/>
        <v>411.28031468864623</v>
      </c>
      <c r="GM6" s="30">
        <f t="shared" si="2"/>
        <v>413.50808305987641</v>
      </c>
      <c r="GN6" s="30">
        <f t="shared" ref="GN6:IY6" si="3">SUM($C$2-(GM7*$C$3))</f>
        <v>415.74791850978409</v>
      </c>
      <c r="GO6" s="30">
        <f t="shared" si="3"/>
        <v>417.99988640171205</v>
      </c>
      <c r="GP6" s="30">
        <f t="shared" si="3"/>
        <v>420.26405245305466</v>
      </c>
      <c r="GQ6" s="30">
        <f t="shared" si="3"/>
        <v>422.54048273717535</v>
      </c>
      <c r="GR6" s="30">
        <f t="shared" si="3"/>
        <v>424.82924368533509</v>
      </c>
      <c r="GS6" s="30">
        <f t="shared" si="3"/>
        <v>427.13040208863066</v>
      </c>
      <c r="GT6" s="30">
        <f t="shared" si="3"/>
        <v>429.44402509994404</v>
      </c>
      <c r="GU6" s="30">
        <f t="shared" si="3"/>
        <v>431.7701802359021</v>
      </c>
      <c r="GV6" s="30">
        <f t="shared" si="3"/>
        <v>434.10893537884658</v>
      </c>
      <c r="GW6" s="30">
        <f t="shared" si="3"/>
        <v>436.4603587788153</v>
      </c>
      <c r="GX6" s="30">
        <f t="shared" si="3"/>
        <v>438.82451905553387</v>
      </c>
      <c r="GY6" s="30">
        <f t="shared" si="3"/>
        <v>441.20148520041801</v>
      </c>
      <c r="GZ6" s="30">
        <f t="shared" si="3"/>
        <v>443.59132657858697</v>
      </c>
      <c r="HA6" s="30">
        <f t="shared" si="3"/>
        <v>445.99411293088764</v>
      </c>
      <c r="HB6" s="30">
        <f t="shared" si="3"/>
        <v>448.40991437592993</v>
      </c>
      <c r="HC6" s="30">
        <f t="shared" si="3"/>
        <v>450.83880141213291</v>
      </c>
      <c r="HD6" s="30">
        <f t="shared" si="3"/>
        <v>453.280844919782</v>
      </c>
      <c r="HE6" s="30">
        <f t="shared" si="3"/>
        <v>455.73611616309745</v>
      </c>
      <c r="HF6" s="30">
        <f t="shared" si="3"/>
        <v>458.20468679231425</v>
      </c>
      <c r="HG6" s="30">
        <f t="shared" si="3"/>
        <v>460.68662884577259</v>
      </c>
      <c r="HH6" s="30">
        <f t="shared" si="3"/>
        <v>463.18201475202056</v>
      </c>
      <c r="HI6" s="30">
        <f t="shared" si="3"/>
        <v>465.69091733192732</v>
      </c>
      <c r="HJ6" s="30">
        <f t="shared" si="3"/>
        <v>468.21340980080856</v>
      </c>
      <c r="HK6" s="30">
        <f t="shared" si="3"/>
        <v>470.74956577056298</v>
      </c>
      <c r="HL6" s="30">
        <f t="shared" si="3"/>
        <v>473.29945925182017</v>
      </c>
      <c r="HM6" s="30">
        <f t="shared" si="3"/>
        <v>475.86316465610088</v>
      </c>
      <c r="HN6" s="30">
        <f t="shared" si="3"/>
        <v>478.44075679798812</v>
      </c>
      <c r="HO6" s="30">
        <f t="shared" si="3"/>
        <v>481.03231089731054</v>
      </c>
      <c r="HP6" s="30">
        <f t="shared" si="3"/>
        <v>483.63790258133758</v>
      </c>
      <c r="HQ6" s="30">
        <f t="shared" si="3"/>
        <v>486.25760788698653</v>
      </c>
      <c r="HR6" s="30">
        <f t="shared" si="3"/>
        <v>488.89150326304105</v>
      </c>
      <c r="HS6" s="30">
        <f t="shared" si="3"/>
        <v>491.53966557238249</v>
      </c>
      <c r="HT6" s="30">
        <f t="shared" si="3"/>
        <v>494.20217209423288</v>
      </c>
      <c r="HU6" s="30">
        <f t="shared" si="3"/>
        <v>496.87910052640996</v>
      </c>
      <c r="HV6" s="30">
        <f t="shared" si="3"/>
        <v>499.57052898759468</v>
      </c>
      <c r="HW6" s="30">
        <f t="shared" si="3"/>
        <v>502.27653601961083</v>
      </c>
      <c r="HX6" s="30">
        <f t="shared" si="3"/>
        <v>504.99720058971707</v>
      </c>
      <c r="HY6" s="30">
        <f t="shared" si="3"/>
        <v>507.73260209291141</v>
      </c>
      <c r="HZ6" s="30">
        <f t="shared" si="3"/>
        <v>510.48282035424796</v>
      </c>
      <c r="IA6" s="30">
        <f t="shared" si="3"/>
        <v>513.2479356311668</v>
      </c>
      <c r="IB6" s="30">
        <f t="shared" si="3"/>
        <v>516.02802861583564</v>
      </c>
      <c r="IC6" s="30">
        <f t="shared" si="3"/>
        <v>518.82318043750479</v>
      </c>
      <c r="ID6" s="30">
        <f t="shared" si="3"/>
        <v>521.6334726648746</v>
      </c>
      <c r="IE6" s="30">
        <f t="shared" si="3"/>
        <v>524.45898730847603</v>
      </c>
      <c r="IF6" s="30">
        <f t="shared" si="3"/>
        <v>527.29980682306359</v>
      </c>
      <c r="IG6" s="30">
        <f t="shared" si="3"/>
        <v>530.15601411002183</v>
      </c>
      <c r="IH6" s="30">
        <f t="shared" si="3"/>
        <v>533.02769251978441</v>
      </c>
      <c r="II6" s="30">
        <f t="shared" si="3"/>
        <v>535.91492585426658</v>
      </c>
      <c r="IJ6" s="30">
        <f t="shared" si="3"/>
        <v>538.81779836931059</v>
      </c>
      <c r="IK6" s="30">
        <f t="shared" si="3"/>
        <v>541.73639477714437</v>
      </c>
      <c r="IL6" s="30">
        <f t="shared" si="3"/>
        <v>544.67080024885388</v>
      </c>
      <c r="IM6" s="30">
        <f t="shared" si="3"/>
        <v>547.62110041686844</v>
      </c>
      <c r="IN6" s="30">
        <f t="shared" si="3"/>
        <v>550.58738137745979</v>
      </c>
      <c r="IO6" s="30">
        <f t="shared" si="3"/>
        <v>553.56972969325443</v>
      </c>
      <c r="IP6" s="30">
        <f t="shared" si="3"/>
        <v>556.56823239575954</v>
      </c>
      <c r="IQ6" s="30">
        <f t="shared" si="3"/>
        <v>559.58297698790329</v>
      </c>
      <c r="IR6" s="30">
        <f t="shared" si="3"/>
        <v>562.61405144658772</v>
      </c>
      <c r="IS6" s="30">
        <f t="shared" si="3"/>
        <v>565.66154422525676</v>
      </c>
      <c r="IT6" s="30">
        <f t="shared" si="3"/>
        <v>568.72554425647684</v>
      </c>
      <c r="IU6" s="30">
        <f t="shared" si="3"/>
        <v>571.80614095453279</v>
      </c>
      <c r="IV6" s="30">
        <f t="shared" si="3"/>
        <v>574.90342421803655</v>
      </c>
      <c r="IW6" s="30">
        <f t="shared" si="3"/>
        <v>578.01748443255087</v>
      </c>
      <c r="IX6" s="30">
        <f t="shared" si="3"/>
        <v>581.14841247322715</v>
      </c>
      <c r="IY6" s="30">
        <f t="shared" si="3"/>
        <v>584.29629970745714</v>
      </c>
      <c r="IZ6" s="30">
        <f t="shared" ref="IZ6:LK6" si="4">SUM($C$2-(IY7*$C$3))</f>
        <v>587.46123799753923</v>
      </c>
      <c r="JA6" s="30">
        <f t="shared" si="4"/>
        <v>590.64331970335923</v>
      </c>
      <c r="JB6" s="30">
        <f t="shared" si="4"/>
        <v>593.84263768508583</v>
      </c>
      <c r="JC6" s="30">
        <f t="shared" si="4"/>
        <v>597.05928530587994</v>
      </c>
      <c r="JD6" s="30">
        <f t="shared" si="4"/>
        <v>600.29335643462014</v>
      </c>
      <c r="JE6" s="30">
        <f t="shared" si="4"/>
        <v>603.54494544864099</v>
      </c>
      <c r="JF6" s="30">
        <f t="shared" si="4"/>
        <v>606.81414723648777</v>
      </c>
      <c r="JG6" s="30">
        <f t="shared" si="4"/>
        <v>610.10105720068555</v>
      </c>
      <c r="JH6" s="30">
        <f t="shared" si="4"/>
        <v>613.40577126052256</v>
      </c>
      <c r="JI6" s="30">
        <f t="shared" si="4"/>
        <v>616.72838585485033</v>
      </c>
      <c r="JJ6" s="30">
        <f t="shared" si="4"/>
        <v>620.06899794489743</v>
      </c>
      <c r="JK6" s="30">
        <f t="shared" si="4"/>
        <v>623.4277050170989</v>
      </c>
      <c r="JL6" s="30">
        <f t="shared" si="4"/>
        <v>626.8046050859416</v>
      </c>
      <c r="JM6" s="30">
        <f t="shared" si="4"/>
        <v>630.1997966968238</v>
      </c>
      <c r="JN6" s="30">
        <f t="shared" si="4"/>
        <v>633.61337892893152</v>
      </c>
      <c r="JO6" s="30">
        <f t="shared" si="4"/>
        <v>637.0454513981299</v>
      </c>
      <c r="JP6" s="30">
        <f t="shared" si="4"/>
        <v>640.49611425986984</v>
      </c>
      <c r="JQ6" s="30">
        <f t="shared" si="4"/>
        <v>643.96546821211075</v>
      </c>
      <c r="JR6" s="30">
        <f t="shared" si="4"/>
        <v>647.45361449825964</v>
      </c>
      <c r="JS6" s="30">
        <f t="shared" si="4"/>
        <v>650.9606549101253</v>
      </c>
      <c r="JT6" s="30">
        <f t="shared" si="4"/>
        <v>654.48669179088847</v>
      </c>
      <c r="JU6" s="30">
        <f t="shared" si="4"/>
        <v>658.03182803808909</v>
      </c>
      <c r="JV6" s="30">
        <f t="shared" si="4"/>
        <v>661.59616710662874</v>
      </c>
      <c r="JW6" s="30">
        <f t="shared" si="4"/>
        <v>665.17981301178963</v>
      </c>
      <c r="JX6" s="30">
        <f t="shared" si="4"/>
        <v>668.78287033227025</v>
      </c>
      <c r="JY6" s="30">
        <f t="shared" si="4"/>
        <v>672.40544421323671</v>
      </c>
      <c r="JZ6" s="30">
        <f t="shared" si="4"/>
        <v>676.04764036939173</v>
      </c>
      <c r="KA6" s="30">
        <f t="shared" si="4"/>
        <v>679.70956508805921</v>
      </c>
      <c r="KB6" s="30">
        <f t="shared" si="4"/>
        <v>683.39132523228614</v>
      </c>
      <c r="KC6" s="30">
        <f t="shared" si="4"/>
        <v>687.09302824396104</v>
      </c>
      <c r="KD6" s="30">
        <f t="shared" si="4"/>
        <v>690.81478214694926</v>
      </c>
      <c r="KE6" s="30">
        <f t="shared" si="4"/>
        <v>694.55669555024519</v>
      </c>
      <c r="KF6" s="30">
        <f t="shared" si="4"/>
        <v>698.31887765114232</v>
      </c>
      <c r="KG6" s="30">
        <f t="shared" si="4"/>
        <v>702.10143823841941</v>
      </c>
      <c r="KH6" s="30">
        <f t="shared" si="4"/>
        <v>705.90448769554405</v>
      </c>
      <c r="KI6" s="30">
        <f t="shared" si="4"/>
        <v>709.72813700389497</v>
      </c>
      <c r="KJ6" s="30">
        <f t="shared" si="4"/>
        <v>713.5724977459995</v>
      </c>
      <c r="KK6" s="30">
        <f t="shared" si="4"/>
        <v>717.43768210879034</v>
      </c>
      <c r="KL6" s="30">
        <f t="shared" si="4"/>
        <v>721.32380288687955</v>
      </c>
      <c r="KM6" s="30">
        <f t="shared" si="4"/>
        <v>725.2309734858502</v>
      </c>
      <c r="KN6" s="30">
        <f t="shared" si="4"/>
        <v>729.15930792556514</v>
      </c>
      <c r="KO6" s="30">
        <f t="shared" si="4"/>
        <v>733.1089208434953</v>
      </c>
      <c r="KP6" s="30">
        <f t="shared" si="4"/>
        <v>737.07992749806431</v>
      </c>
      <c r="KQ6" s="30">
        <f t="shared" si="4"/>
        <v>741.07244377201209</v>
      </c>
      <c r="KR6" s="30">
        <f t="shared" si="4"/>
        <v>745.08658617577703</v>
      </c>
      <c r="KS6" s="30">
        <f t="shared" si="4"/>
        <v>749.12247185089586</v>
      </c>
      <c r="KT6" s="30">
        <f t="shared" si="4"/>
        <v>753.1802185734216</v>
      </c>
      <c r="KU6" s="30">
        <f t="shared" si="4"/>
        <v>757.25994475736093</v>
      </c>
      <c r="KV6" s="30">
        <f t="shared" si="4"/>
        <v>761.36176945812997</v>
      </c>
      <c r="KW6" s="30">
        <f t="shared" si="4"/>
        <v>765.48581237602821</v>
      </c>
      <c r="KX6" s="30">
        <f t="shared" si="4"/>
        <v>769.63219385973173</v>
      </c>
      <c r="KY6" s="30">
        <f t="shared" si="4"/>
        <v>773.80103490980514</v>
      </c>
      <c r="KZ6" s="30">
        <f t="shared" si="4"/>
        <v>777.99245718223324</v>
      </c>
      <c r="LA6" s="30">
        <f t="shared" si="4"/>
        <v>782.20658299197044</v>
      </c>
      <c r="LB6" s="30">
        <f t="shared" si="4"/>
        <v>786.44353531651029</v>
      </c>
      <c r="LC6" s="30">
        <f t="shared" si="4"/>
        <v>790.70343779947473</v>
      </c>
      <c r="LD6" s="30">
        <f t="shared" si="4"/>
        <v>794.98641475422187</v>
      </c>
      <c r="LE6" s="30">
        <f t="shared" si="4"/>
        <v>799.29259116747392</v>
      </c>
      <c r="LF6" s="30">
        <f t="shared" si="4"/>
        <v>803.62209270296444</v>
      </c>
      <c r="LG6" s="30">
        <f t="shared" si="4"/>
        <v>807.97504570510546</v>
      </c>
      <c r="LH6" s="30">
        <f t="shared" si="4"/>
        <v>812.35157720267489</v>
      </c>
      <c r="LI6" s="30">
        <f t="shared" si="4"/>
        <v>816.7518149125226</v>
      </c>
      <c r="LJ6" s="30">
        <f t="shared" si="4"/>
        <v>821.1758872432988</v>
      </c>
      <c r="LK6" s="30">
        <f t="shared" si="4"/>
        <v>825.62392329919999</v>
      </c>
      <c r="LL6" s="30">
        <f t="shared" ref="LL6:MW6" si="5">SUM($C$2-(LK7*$C$3))</f>
        <v>830.09605288373723</v>
      </c>
      <c r="LM6" s="30">
        <f t="shared" si="5"/>
        <v>834.59240650352422</v>
      </c>
      <c r="LN6" s="30">
        <f t="shared" si="5"/>
        <v>839.11311537208485</v>
      </c>
      <c r="LO6" s="30">
        <f t="shared" si="5"/>
        <v>843.65831141368369</v>
      </c>
      <c r="LP6" s="30">
        <f t="shared" si="5"/>
        <v>848.2281272671745</v>
      </c>
      <c r="LQ6" s="30">
        <f t="shared" si="5"/>
        <v>852.8226962898716</v>
      </c>
      <c r="LR6" s="30">
        <f t="shared" si="5"/>
        <v>857.44215256144184</v>
      </c>
      <c r="LS6" s="30">
        <f t="shared" si="5"/>
        <v>862.08663088781623</v>
      </c>
      <c r="LT6" s="30">
        <f t="shared" si="5"/>
        <v>866.75626680512528</v>
      </c>
      <c r="LU6" s="30">
        <f t="shared" si="5"/>
        <v>871.45119658365309</v>
      </c>
      <c r="LV6" s="30">
        <f t="shared" si="5"/>
        <v>876.17155723181463</v>
      </c>
      <c r="LW6" s="30">
        <f t="shared" si="5"/>
        <v>880.91748650015359</v>
      </c>
      <c r="LX6" s="30">
        <f t="shared" si="5"/>
        <v>885.68912288536274</v>
      </c>
      <c r="LY6" s="30">
        <f t="shared" si="5"/>
        <v>890.48660563432509</v>
      </c>
      <c r="LZ6" s="30">
        <f t="shared" si="5"/>
        <v>895.31007474817784</v>
      </c>
      <c r="MA6" s="30">
        <f t="shared" si="5"/>
        <v>900.15967098639703</v>
      </c>
      <c r="MB6" s="30">
        <f t="shared" si="5"/>
        <v>905.03553587090676</v>
      </c>
      <c r="MC6" s="30">
        <f t="shared" si="5"/>
        <v>909.93781169020747</v>
      </c>
      <c r="MD6" s="30">
        <f t="shared" si="5"/>
        <v>914.86664150352942</v>
      </c>
      <c r="ME6" s="30">
        <f t="shared" si="5"/>
        <v>919.8221691450068</v>
      </c>
      <c r="MF6" s="30">
        <f t="shared" si="5"/>
        <v>924.80453922787558</v>
      </c>
      <c r="MG6" s="30">
        <f t="shared" si="5"/>
        <v>929.81389714869329</v>
      </c>
      <c r="MH6" s="30">
        <f t="shared" si="5"/>
        <v>934.85038909158197</v>
      </c>
      <c r="MI6" s="30">
        <f t="shared" si="5"/>
        <v>939.9141620324948</v>
      </c>
      <c r="MJ6" s="30">
        <f t="shared" si="5"/>
        <v>945.00536374350418</v>
      </c>
      <c r="MK6" s="30">
        <f t="shared" si="5"/>
        <v>950.12414279711481</v>
      </c>
      <c r="ML6" s="30">
        <f t="shared" si="5"/>
        <v>955.27064857059918</v>
      </c>
      <c r="MM6" s="30">
        <f t="shared" si="5"/>
        <v>960.44503125035658</v>
      </c>
      <c r="MN6" s="30">
        <f t="shared" si="5"/>
        <v>965.64744183629603</v>
      </c>
      <c r="MO6" s="30">
        <f t="shared" si="5"/>
        <v>970.87803214624262</v>
      </c>
      <c r="MP6" s="30">
        <f t="shared" si="5"/>
        <v>976.13695482036803</v>
      </c>
      <c r="MQ6" s="30">
        <f t="shared" si="5"/>
        <v>981.424363325645</v>
      </c>
      <c r="MR6" s="30">
        <f t="shared" si="5"/>
        <v>986.74041196032556</v>
      </c>
      <c r="MS6" s="30">
        <f t="shared" si="5"/>
        <v>992.08525585844404</v>
      </c>
      <c r="MT6" s="30">
        <f t="shared" si="5"/>
        <v>997.45905099434401</v>
      </c>
      <c r="MU6" s="30">
        <f t="shared" si="5"/>
        <v>1002.8619541872299</v>
      </c>
      <c r="MV6" s="30">
        <f t="shared" si="5"/>
        <v>1008.2941231057441</v>
      </c>
      <c r="MW6" s="30">
        <f t="shared" si="5"/>
        <v>1013.7557162725669</v>
      </c>
    </row>
    <row r="7" spans="1:361" x14ac:dyDescent="0.25">
      <c r="A7" s="2" t="s">
        <v>449</v>
      </c>
      <c r="B7" s="30">
        <f>SUM(C1-B6)</f>
        <v>44104.222490855915</v>
      </c>
      <c r="C7" s="30">
        <f>SUM(B7-C6)</f>
        <v>43957.655353537302</v>
      </c>
      <c r="D7" s="30">
        <f t="shared" ref="D7:BO7" si="6">SUM(C7-D6)</f>
        <v>43810.294310891542</v>
      </c>
      <c r="E7" s="30">
        <f t="shared" si="6"/>
        <v>43662.135062598121</v>
      </c>
      <c r="F7" s="30">
        <f t="shared" si="6"/>
        <v>43513.173285043107</v>
      </c>
      <c r="G7" s="30">
        <f t="shared" si="6"/>
        <v>43363.404631193007</v>
      </c>
      <c r="H7" s="30">
        <f t="shared" si="6"/>
        <v>43212.824730467881</v>
      </c>
      <c r="I7" s="30">
        <f t="shared" si="6"/>
        <v>43061.429188613831</v>
      </c>
      <c r="J7" s="30">
        <f t="shared" si="6"/>
        <v>42909.213587574741</v>
      </c>
      <c r="K7" s="30">
        <f t="shared" si="6"/>
        <v>42756.173485363353</v>
      </c>
      <c r="L7" s="30">
        <f t="shared" si="6"/>
        <v>42602.304415931656</v>
      </c>
      <c r="M7" s="30">
        <f t="shared" si="6"/>
        <v>42447.601889040532</v>
      </c>
      <c r="N7" s="30">
        <f t="shared" si="6"/>
        <v>42292.061390128751</v>
      </c>
      <c r="O7" s="30">
        <f t="shared" si="6"/>
        <v>42135.678380181198</v>
      </c>
      <c r="P7" s="30">
        <f t="shared" si="6"/>
        <v>41978.448295596427</v>
      </c>
      <c r="Q7" s="30">
        <f t="shared" si="6"/>
        <v>41820.366548053491</v>
      </c>
      <c r="R7" s="30">
        <f t="shared" si="6"/>
        <v>41661.428524378032</v>
      </c>
      <c r="S7" s="30">
        <f t="shared" si="6"/>
        <v>41501.62958640766</v>
      </c>
      <c r="T7" s="30">
        <f t="shared" si="6"/>
        <v>41340.965070856619</v>
      </c>
      <c r="U7" s="30">
        <f t="shared" si="6"/>
        <v>41179.430289179676</v>
      </c>
      <c r="V7" s="30">
        <f t="shared" si="6"/>
        <v>41017.020527435314</v>
      </c>
      <c r="W7" s="30">
        <f t="shared" si="6"/>
        <v>40853.731046148168</v>
      </c>
      <c r="X7" s="30">
        <f t="shared" si="6"/>
        <v>40689.557080170722</v>
      </c>
      <c r="Y7" s="30">
        <f t="shared" si="6"/>
        <v>40524.493838544229</v>
      </c>
      <c r="Z7" s="30">
        <f t="shared" si="6"/>
        <v>40358.536504358926</v>
      </c>
      <c r="AA7" s="30">
        <f t="shared" si="6"/>
        <v>40191.68023461345</v>
      </c>
      <c r="AB7" s="30">
        <f t="shared" si="6"/>
        <v>40023.920160073518</v>
      </c>
      <c r="AC7" s="30">
        <f t="shared" si="6"/>
        <v>39855.251385129828</v>
      </c>
      <c r="AD7" s="30">
        <f t="shared" si="6"/>
        <v>39685.668987655197</v>
      </c>
      <c r="AE7" s="30">
        <f t="shared" si="6"/>
        <v>39515.16801886091</v>
      </c>
      <c r="AF7" s="30">
        <f t="shared" si="6"/>
        <v>39343.74350315232</v>
      </c>
      <c r="AG7" s="30">
        <f t="shared" si="6"/>
        <v>39171.390437983646</v>
      </c>
      <c r="AH7" s="30">
        <f t="shared" si="6"/>
        <v>38998.103793711969</v>
      </c>
      <c r="AI7" s="30">
        <f t="shared" si="6"/>
        <v>38823.878513450487</v>
      </c>
      <c r="AJ7" s="30">
        <f t="shared" si="6"/>
        <v>38648.709512920926</v>
      </c>
      <c r="AK7" s="30">
        <f t="shared" si="6"/>
        <v>38472.591680305166</v>
      </c>
      <c r="AL7" s="30">
        <f t="shared" si="6"/>
        <v>38295.51987609607</v>
      </c>
      <c r="AM7" s="30">
        <f t="shared" si="6"/>
        <v>38117.488932947505</v>
      </c>
      <c r="AN7" s="30">
        <f t="shared" si="6"/>
        <v>37938.493655523554</v>
      </c>
      <c r="AO7" s="30">
        <f t="shared" si="6"/>
        <v>37758.528820346888</v>
      </c>
      <c r="AP7" s="30">
        <f t="shared" si="6"/>
        <v>37577.589175646346</v>
      </c>
      <c r="AQ7" s="30">
        <f t="shared" si="6"/>
        <v>37395.669441203681</v>
      </c>
      <c r="AR7" s="30">
        <f t="shared" si="6"/>
        <v>37212.764308199447</v>
      </c>
      <c r="AS7" s="30">
        <f t="shared" si="6"/>
        <v>37028.868439058111</v>
      </c>
      <c r="AT7" s="30">
        <f t="shared" si="6"/>
        <v>36843.976467292261</v>
      </c>
      <c r="AU7" s="30">
        <f t="shared" si="6"/>
        <v>36658.082997346006</v>
      </c>
      <c r="AV7" s="30">
        <f t="shared" si="6"/>
        <v>36471.182604437548</v>
      </c>
      <c r="AW7" s="30">
        <f t="shared" si="6"/>
        <v>36283.269834400831</v>
      </c>
      <c r="AX7" s="30">
        <f t="shared" si="6"/>
        <v>36094.339203526419</v>
      </c>
      <c r="AY7" s="30">
        <f t="shared" si="6"/>
        <v>35904.385198401433</v>
      </c>
      <c r="AZ7" s="30">
        <f t="shared" si="6"/>
        <v>35713.402275748689</v>
      </c>
      <c r="BA7" s="30">
        <f t="shared" si="6"/>
        <v>35521.384862264909</v>
      </c>
      <c r="BB7" s="30">
        <f t="shared" si="6"/>
        <v>35328.327354458095</v>
      </c>
      <c r="BC7" s="30">
        <f t="shared" si="6"/>
        <v>35134.224118483995</v>
      </c>
      <c r="BD7" s="30">
        <f t="shared" si="6"/>
        <v>34939.069489981695</v>
      </c>
      <c r="BE7" s="30">
        <f t="shared" si="6"/>
        <v>34742.857773908341</v>
      </c>
      <c r="BF7" s="30">
        <f t="shared" si="6"/>
        <v>34545.583244372923</v>
      </c>
      <c r="BG7" s="30">
        <f t="shared" si="6"/>
        <v>34347.240144469193</v>
      </c>
      <c r="BH7" s="30">
        <f t="shared" si="6"/>
        <v>34147.822686107647</v>
      </c>
      <c r="BI7" s="30">
        <f t="shared" si="6"/>
        <v>33947.325049846644</v>
      </c>
      <c r="BJ7" s="30">
        <f t="shared" si="6"/>
        <v>33745.741384722562</v>
      </c>
      <c r="BK7" s="30">
        <f t="shared" si="6"/>
        <v>33543.06580807906</v>
      </c>
      <c r="BL7" s="30">
        <f t="shared" si="6"/>
        <v>33339.292405395405</v>
      </c>
      <c r="BM7" s="30">
        <f t="shared" si="6"/>
        <v>33134.415230113875</v>
      </c>
      <c r="BN7" s="30">
        <f t="shared" si="6"/>
        <v>32928.428303466237</v>
      </c>
      <c r="BO7" s="30">
        <f t="shared" si="6"/>
        <v>32721.325614299261</v>
      </c>
      <c r="BP7" s="30">
        <f t="shared" ref="BP7:EA7" si="7">SUM(BO7-BP6)</f>
        <v>32513.101118899296</v>
      </c>
      <c r="BQ7" s="30">
        <f t="shared" si="7"/>
        <v>32303.748740815914</v>
      </c>
      <c r="BR7" s="30">
        <f t="shared" si="7"/>
        <v>32093.262370684581</v>
      </c>
      <c r="BS7" s="30">
        <f t="shared" si="7"/>
        <v>31881.635866048371</v>
      </c>
      <c r="BT7" s="30">
        <f t="shared" si="7"/>
        <v>31668.863051178716</v>
      </c>
      <c r="BU7" s="30">
        <f t="shared" si="7"/>
        <v>31454.937716895183</v>
      </c>
      <c r="BV7" s="30">
        <f t="shared" si="7"/>
        <v>31239.853620384281</v>
      </c>
      <c r="BW7" s="30">
        <f t="shared" si="7"/>
        <v>31023.604485017277</v>
      </c>
      <c r="BX7" s="30">
        <f t="shared" si="7"/>
        <v>30806.184000167035</v>
      </c>
      <c r="BY7" s="30">
        <f t="shared" si="7"/>
        <v>30587.585821023855</v>
      </c>
      <c r="BZ7" s="30">
        <f t="shared" si="7"/>
        <v>30367.803568410316</v>
      </c>
      <c r="CA7" s="30">
        <f t="shared" si="7"/>
        <v>30146.830828595121</v>
      </c>
      <c r="CB7" s="30">
        <f t="shared" si="7"/>
        <v>29924.661153105924</v>
      </c>
      <c r="CC7" s="30">
        <f t="shared" si="7"/>
        <v>29701.288058541162</v>
      </c>
      <c r="CD7" s="30">
        <f t="shared" si="7"/>
        <v>29476.705026380841</v>
      </c>
      <c r="CE7" s="30">
        <f t="shared" si="7"/>
        <v>29250.905502796319</v>
      </c>
      <c r="CF7" s="30">
        <f t="shared" si="7"/>
        <v>29023.882898459047</v>
      </c>
      <c r="CG7" s="30">
        <f t="shared" si="7"/>
        <v>28795.630588348282</v>
      </c>
      <c r="CH7" s="30">
        <f t="shared" si="7"/>
        <v>28566.141911557752</v>
      </c>
      <c r="CI7" s="30">
        <f t="shared" si="7"/>
        <v>28335.41017110127</v>
      </c>
      <c r="CJ7" s="30">
        <f t="shared" si="7"/>
        <v>28103.428633717318</v>
      </c>
      <c r="CK7" s="30">
        <f t="shared" si="7"/>
        <v>27870.190529672534</v>
      </c>
      <c r="CL7" s="30">
        <f t="shared" si="7"/>
        <v>27635.689052564176</v>
      </c>
      <c r="CM7" s="30">
        <f t="shared" si="7"/>
        <v>27399.917359121479</v>
      </c>
      <c r="CN7" s="30">
        <f t="shared" si="7"/>
        <v>27162.868569005968</v>
      </c>
      <c r="CO7" s="30">
        <f t="shared" si="7"/>
        <v>26924.535764610664</v>
      </c>
      <c r="CP7" s="30">
        <f t="shared" si="7"/>
        <v>26684.911990858222</v>
      </c>
      <c r="CQ7" s="30">
        <f t="shared" si="7"/>
        <v>26443.990254997952</v>
      </c>
      <c r="CR7" s="30">
        <f t="shared" si="7"/>
        <v>26201.763526401774</v>
      </c>
      <c r="CS7" s="30">
        <f t="shared" si="7"/>
        <v>25958.224736359032</v>
      </c>
      <c r="CT7" s="30">
        <f t="shared" si="7"/>
        <v>25713.366777870226</v>
      </c>
      <c r="CU7" s="30">
        <f t="shared" si="7"/>
        <v>25467.182505439603</v>
      </c>
      <c r="CV7" s="30">
        <f t="shared" si="7"/>
        <v>25219.664734866648</v>
      </c>
      <c r="CW7" s="30">
        <f t="shared" si="7"/>
        <v>24970.806243036426</v>
      </c>
      <c r="CX7" s="30">
        <f t="shared" si="7"/>
        <v>24720.599767708787</v>
      </c>
      <c r="CY7" s="30">
        <f t="shared" si="7"/>
        <v>24469.038007306459</v>
      </c>
      <c r="CZ7" s="30">
        <f t="shared" si="7"/>
        <v>24216.113620701952</v>
      </c>
      <c r="DA7" s="30">
        <f t="shared" si="7"/>
        <v>23961.819227003336</v>
      </c>
      <c r="DB7" s="30">
        <f t="shared" si="7"/>
        <v>23706.147405338852</v>
      </c>
      <c r="DC7" s="30">
        <f t="shared" si="7"/>
        <v>23449.090694640352</v>
      </c>
      <c r="DD7" s="30">
        <f t="shared" si="7"/>
        <v>23190.641593425567</v>
      </c>
      <c r="DE7" s="30">
        <f t="shared" si="7"/>
        <v>22930.792559579204</v>
      </c>
      <c r="DF7" s="30">
        <f t="shared" si="7"/>
        <v>22669.536010132841</v>
      </c>
      <c r="DG7" s="30">
        <f t="shared" si="7"/>
        <v>22406.864321043642</v>
      </c>
      <c r="DH7" s="30">
        <f t="shared" si="7"/>
        <v>22142.769826971879</v>
      </c>
      <c r="DI7" s="30">
        <f t="shared" si="7"/>
        <v>21877.244821057226</v>
      </c>
      <c r="DJ7" s="30">
        <f t="shared" si="7"/>
        <v>21610.281554693865</v>
      </c>
      <c r="DK7" s="30">
        <f t="shared" si="7"/>
        <v>21341.872237304371</v>
      </c>
      <c r="DL7" s="30">
        <f t="shared" si="7"/>
        <v>21072.009036112351</v>
      </c>
      <c r="DM7" s="30">
        <f t="shared" si="7"/>
        <v>20800.684075913876</v>
      </c>
      <c r="DN7" s="30">
        <f t="shared" si="7"/>
        <v>20527.889438847658</v>
      </c>
      <c r="DO7" s="30">
        <f t="shared" si="7"/>
        <v>20253.617164163999</v>
      </c>
      <c r="DP7" s="30">
        <f t="shared" si="7"/>
        <v>19977.85924799247</v>
      </c>
      <c r="DQ7" s="30">
        <f t="shared" si="7"/>
        <v>19700.607643108346</v>
      </c>
      <c r="DR7" s="30">
        <f t="shared" si="7"/>
        <v>19421.854258697764</v>
      </c>
      <c r="DS7" s="30">
        <f t="shared" si="7"/>
        <v>19141.590960121626</v>
      </c>
      <c r="DT7" s="30">
        <f t="shared" si="7"/>
        <v>18859.8095686782</v>
      </c>
      <c r="DU7" s="30">
        <f t="shared" si="7"/>
        <v>18576.501861364453</v>
      </c>
      <c r="DV7" s="30">
        <f t="shared" si="7"/>
        <v>18291.659570636093</v>
      </c>
      <c r="DW7" s="30">
        <f t="shared" si="7"/>
        <v>18005.274384166289</v>
      </c>
      <c r="DX7" s="30">
        <f t="shared" si="7"/>
        <v>17717.337944603103</v>
      </c>
      <c r="DY7" s="30">
        <f t="shared" si="7"/>
        <v>17427.841849325618</v>
      </c>
      <c r="DZ7" s="30">
        <f t="shared" si="7"/>
        <v>17136.777650198714</v>
      </c>
      <c r="EA7" s="30">
        <f t="shared" si="7"/>
        <v>16844.136853326538</v>
      </c>
      <c r="EB7" s="30">
        <f t="shared" ref="EB7:GM7" si="8">SUM(EA7-EB6)</f>
        <v>16549.910918804639</v>
      </c>
      <c r="EC7" s="30">
        <f t="shared" si="8"/>
        <v>16254.091260470745</v>
      </c>
      <c r="ED7" s="30">
        <f t="shared" si="8"/>
        <v>15956.66924565421</v>
      </c>
      <c r="EE7" s="30">
        <f t="shared" si="8"/>
        <v>15657.636194924085</v>
      </c>
      <c r="EF7" s="30">
        <f t="shared" si="8"/>
        <v>15356.983381835838</v>
      </c>
      <c r="EG7" s="30">
        <f t="shared" si="8"/>
        <v>15054.702032676698</v>
      </c>
      <c r="EH7" s="30">
        <f t="shared" si="8"/>
        <v>14750.783326209612</v>
      </c>
      <c r="EI7" s="30">
        <f t="shared" si="8"/>
        <v>14445.218393415829</v>
      </c>
      <c r="EJ7" s="30">
        <f t="shared" si="8"/>
        <v>14137.998317236081</v>
      </c>
      <c r="EK7" s="30">
        <f t="shared" si="8"/>
        <v>13829.114132310358</v>
      </c>
      <c r="EL7" s="30">
        <f t="shared" si="8"/>
        <v>13518.556824716288</v>
      </c>
      <c r="EM7" s="30">
        <f t="shared" si="8"/>
        <v>13206.317331706083</v>
      </c>
      <c r="EN7" s="30">
        <f t="shared" si="8"/>
        <v>12892.386541442072</v>
      </c>
      <c r="EO7" s="30">
        <f t="shared" si="8"/>
        <v>12576.755292730799</v>
      </c>
      <c r="EP7" s="30">
        <f t="shared" si="8"/>
        <v>12259.414374755672</v>
      </c>
      <c r="EQ7" s="30">
        <f t="shared" si="8"/>
        <v>11940.35452680818</v>
      </c>
      <c r="ER7" s="30">
        <f t="shared" si="8"/>
        <v>11619.566438017639</v>
      </c>
      <c r="ES7" s="30">
        <f t="shared" si="8"/>
        <v>11297.040747079482</v>
      </c>
      <c r="ET7" s="30">
        <f t="shared" si="8"/>
        <v>10972.768041982077</v>
      </c>
      <c r="EU7" s="30">
        <f t="shared" si="8"/>
        <v>10646.738859732062</v>
      </c>
      <c r="EV7" s="30">
        <f t="shared" si="8"/>
        <v>10318.943686078193</v>
      </c>
      <c r="EW7" s="30">
        <f t="shared" si="8"/>
        <v>9989.372955233699</v>
      </c>
      <c r="EX7" s="30">
        <f t="shared" si="8"/>
        <v>9658.0170495971306</v>
      </c>
      <c r="EY7" s="30">
        <f t="shared" si="8"/>
        <v>9324.866299471696</v>
      </c>
      <c r="EZ7" s="30">
        <f t="shared" si="8"/>
        <v>8989.9109827830835</v>
      </c>
      <c r="FA7" s="30">
        <f t="shared" si="8"/>
        <v>8653.1413247957407</v>
      </c>
      <c r="FB7" s="30">
        <f t="shared" si="8"/>
        <v>8314.5474978276325</v>
      </c>
      <c r="FC7" s="30">
        <f t="shared" si="8"/>
        <v>7974.1196209634472</v>
      </c>
      <c r="FD7" s="30">
        <f t="shared" si="8"/>
        <v>7631.8477597662477</v>
      </c>
      <c r="FE7" s="30">
        <f t="shared" si="8"/>
        <v>7287.7219259875628</v>
      </c>
      <c r="FF7" s="30">
        <f t="shared" si="8"/>
        <v>6941.7320772759103</v>
      </c>
      <c r="FG7" s="30">
        <f t="shared" si="8"/>
        <v>6593.8681168837365</v>
      </c>
      <c r="FH7" s="30">
        <f t="shared" si="8"/>
        <v>6244.1198933727719</v>
      </c>
      <c r="FI7" s="30">
        <f t="shared" si="8"/>
        <v>5892.4772003177895</v>
      </c>
      <c r="FJ7" s="30">
        <f t="shared" si="8"/>
        <v>5538.9297760087593</v>
      </c>
      <c r="FK7" s="30">
        <f t="shared" si="8"/>
        <v>5183.4673031513885</v>
      </c>
      <c r="FL7" s="30">
        <f t="shared" si="8"/>
        <v>4826.07940856604</v>
      </c>
      <c r="FM7" s="30">
        <f t="shared" si="8"/>
        <v>4466.7556628850207</v>
      </c>
      <c r="FN7" s="30">
        <f t="shared" si="8"/>
        <v>4105.4855802482298</v>
      </c>
      <c r="FO7" s="30">
        <f t="shared" si="8"/>
        <v>3742.2586179971559</v>
      </c>
      <c r="FP7" s="30">
        <f t="shared" si="8"/>
        <v>3377.064176367222</v>
      </c>
      <c r="FQ7" s="30">
        <f t="shared" si="8"/>
        <v>3009.8915981784594</v>
      </c>
      <c r="FR7" s="30">
        <f t="shared" si="8"/>
        <v>2640.7301685245075</v>
      </c>
      <c r="FS7" s="30">
        <f t="shared" si="8"/>
        <v>2269.5691144599305</v>
      </c>
      <c r="FT7" s="30">
        <f t="shared" si="8"/>
        <v>1896.3976046858368</v>
      </c>
      <c r="FU7" s="30">
        <f t="shared" si="8"/>
        <v>1521.2047492338002</v>
      </c>
      <c r="FV7" s="30">
        <f t="shared" si="8"/>
        <v>1143.9795991480648</v>
      </c>
      <c r="FW7" s="30">
        <f t="shared" si="8"/>
        <v>764.71114616603177</v>
      </c>
      <c r="FX7" s="30">
        <f t="shared" si="8"/>
        <v>383.38832239701276</v>
      </c>
      <c r="FY7" s="30">
        <f t="shared" si="8"/>
        <v>-7.5510797614697367E-10</v>
      </c>
      <c r="FZ7" s="30">
        <f t="shared" si="8"/>
        <v>-385.4650091448442</v>
      </c>
      <c r="GA7" s="30">
        <f t="shared" si="8"/>
        <v>-773.01795375513052</v>
      </c>
      <c r="GB7" s="30">
        <f t="shared" si="8"/>
        <v>-1162.6701434820559</v>
      </c>
      <c r="GC7" s="30">
        <f t="shared" si="8"/>
        <v>-1554.4329492366687</v>
      </c>
      <c r="GD7" s="30">
        <f t="shared" si="8"/>
        <v>-1948.3178035224523</v>
      </c>
      <c r="GE7" s="30">
        <f t="shared" si="8"/>
        <v>-2344.3362007689507</v>
      </c>
      <c r="GF7" s="30">
        <f t="shared" si="8"/>
        <v>-2742.499697667201</v>
      </c>
      <c r="GG7" s="30">
        <f t="shared" si="8"/>
        <v>-3142.8199135069835</v>
      </c>
      <c r="GH7" s="30">
        <f t="shared" si="8"/>
        <v>-3545.3085305158979</v>
      </c>
      <c r="GI7" s="30">
        <f t="shared" si="8"/>
        <v>-3949.9772942002774</v>
      </c>
      <c r="GJ7" s="30">
        <f t="shared" si="8"/>
        <v>-4356.8380136879468</v>
      </c>
      <c r="GK7" s="30">
        <f t="shared" si="8"/>
        <v>-4765.9025620728416</v>
      </c>
      <c r="GL7" s="30">
        <f t="shared" si="8"/>
        <v>-5177.1828767614879</v>
      </c>
      <c r="GM7" s="30">
        <f t="shared" si="8"/>
        <v>-5590.6909598213642</v>
      </c>
      <c r="GN7" s="30">
        <f t="shared" ref="GN7:IY7" si="9">SUM(GM7-GN6)</f>
        <v>-6006.4388783311479</v>
      </c>
      <c r="GO7" s="30">
        <f t="shared" si="9"/>
        <v>-6424.4387647328604</v>
      </c>
      <c r="GP7" s="30">
        <f t="shared" si="9"/>
        <v>-6844.7028171859147</v>
      </c>
      <c r="GQ7" s="30">
        <f t="shared" si="9"/>
        <v>-7267.2432999230896</v>
      </c>
      <c r="GR7" s="30">
        <f t="shared" si="9"/>
        <v>-7692.0725436084249</v>
      </c>
      <c r="GS7" s="30">
        <f t="shared" si="9"/>
        <v>-8119.2029456970558</v>
      </c>
      <c r="GT7" s="30">
        <f t="shared" si="9"/>
        <v>-8548.6469707969991</v>
      </c>
      <c r="GU7" s="30">
        <f t="shared" si="9"/>
        <v>-8980.4171510329015</v>
      </c>
      <c r="GV7" s="30">
        <f t="shared" si="9"/>
        <v>-9414.5260864117481</v>
      </c>
      <c r="GW7" s="30">
        <f t="shared" si="9"/>
        <v>-9850.9864451905632</v>
      </c>
      <c r="GX7" s="30">
        <f t="shared" si="9"/>
        <v>-10289.810964246097</v>
      </c>
      <c r="GY7" s="30">
        <f t="shared" si="9"/>
        <v>-10731.012449446514</v>
      </c>
      <c r="GZ7" s="30">
        <f t="shared" si="9"/>
        <v>-11174.603776025102</v>
      </c>
      <c r="HA7" s="30">
        <f t="shared" si="9"/>
        <v>-11620.59788895599</v>
      </c>
      <c r="HB7" s="30">
        <f t="shared" si="9"/>
        <v>-12069.007803331921</v>
      </c>
      <c r="HC7" s="30">
        <f t="shared" si="9"/>
        <v>-12519.846604744054</v>
      </c>
      <c r="HD7" s="30">
        <f t="shared" si="9"/>
        <v>-12973.127449663836</v>
      </c>
      <c r="HE7" s="30">
        <f t="shared" si="9"/>
        <v>-13428.863565826934</v>
      </c>
      <c r="HF7" s="30">
        <f t="shared" si="9"/>
        <v>-13887.068252619249</v>
      </c>
      <c r="HG7" s="30">
        <f t="shared" si="9"/>
        <v>-14347.754881465022</v>
      </c>
      <c r="HH7" s="30">
        <f t="shared" si="9"/>
        <v>-14810.936896217043</v>
      </c>
      <c r="HI7" s="30">
        <f t="shared" si="9"/>
        <v>-15276.62781354897</v>
      </c>
      <c r="HJ7" s="30">
        <f t="shared" si="9"/>
        <v>-15744.841223349778</v>
      </c>
      <c r="HK7" s="30">
        <f t="shared" si="9"/>
        <v>-16215.590789120341</v>
      </c>
      <c r="HL7" s="30">
        <f t="shared" si="9"/>
        <v>-16688.890248372161</v>
      </c>
      <c r="HM7" s="30">
        <f t="shared" si="9"/>
        <v>-17164.753413028262</v>
      </c>
      <c r="HN7" s="30">
        <f t="shared" si="9"/>
        <v>-17643.194169826249</v>
      </c>
      <c r="HO7" s="30">
        <f t="shared" si="9"/>
        <v>-18124.226480723559</v>
      </c>
      <c r="HP7" s="30">
        <f t="shared" si="9"/>
        <v>-18607.864383304895</v>
      </c>
      <c r="HQ7" s="30">
        <f t="shared" si="9"/>
        <v>-19094.121991191882</v>
      </c>
      <c r="HR7" s="30">
        <f t="shared" si="9"/>
        <v>-19583.013494454921</v>
      </c>
      <c r="HS7" s="30">
        <f t="shared" si="9"/>
        <v>-20074.553160027303</v>
      </c>
      <c r="HT7" s="30">
        <f t="shared" si="9"/>
        <v>-20568.755332121535</v>
      </c>
      <c r="HU7" s="30">
        <f t="shared" si="9"/>
        <v>-21065.634432647945</v>
      </c>
      <c r="HV7" s="30">
        <f t="shared" si="9"/>
        <v>-21565.20496163554</v>
      </c>
      <c r="HW7" s="30">
        <f t="shared" si="9"/>
        <v>-22067.48149765515</v>
      </c>
      <c r="HX7" s="30">
        <f t="shared" si="9"/>
        <v>-22572.478698244868</v>
      </c>
      <c r="HY7" s="30">
        <f t="shared" si="9"/>
        <v>-23080.211300337778</v>
      </c>
      <c r="HZ7" s="30">
        <f t="shared" si="9"/>
        <v>-23590.694120692027</v>
      </c>
      <c r="IA7" s="30">
        <f t="shared" si="9"/>
        <v>-24103.942056323194</v>
      </c>
      <c r="IB7" s="30">
        <f t="shared" si="9"/>
        <v>-24619.970084939028</v>
      </c>
      <c r="IC7" s="30">
        <f t="shared" si="9"/>
        <v>-25138.793265376535</v>
      </c>
      <c r="ID7" s="30">
        <f t="shared" si="9"/>
        <v>-25660.426738041409</v>
      </c>
      <c r="IE7" s="30">
        <f t="shared" si="9"/>
        <v>-26184.885725349886</v>
      </c>
      <c r="IF7" s="30">
        <f t="shared" si="9"/>
        <v>-26712.185532172949</v>
      </c>
      <c r="IG7" s="30">
        <f t="shared" si="9"/>
        <v>-27242.341546282973</v>
      </c>
      <c r="IH7" s="30">
        <f t="shared" si="9"/>
        <v>-27775.369238802756</v>
      </c>
      <c r="II7" s="30">
        <f t="shared" si="9"/>
        <v>-28311.284164657023</v>
      </c>
      <c r="IJ7" s="30">
        <f t="shared" si="9"/>
        <v>-28850.101963026333</v>
      </c>
      <c r="IK7" s="30">
        <f t="shared" si="9"/>
        <v>-29391.838357803477</v>
      </c>
      <c r="IL7" s="30">
        <f t="shared" si="9"/>
        <v>-29936.509158052329</v>
      </c>
      <c r="IM7" s="30">
        <f t="shared" si="9"/>
        <v>-30484.130258469198</v>
      </c>
      <c r="IN7" s="30">
        <f t="shared" si="9"/>
        <v>-31034.717639846658</v>
      </c>
      <c r="IO7" s="30">
        <f t="shared" si="9"/>
        <v>-31588.287369539914</v>
      </c>
      <c r="IP7" s="30">
        <f t="shared" si="9"/>
        <v>-32144.855601935673</v>
      </c>
      <c r="IQ7" s="30">
        <f t="shared" si="9"/>
        <v>-32704.438578923575</v>
      </c>
      <c r="IR7" s="30">
        <f t="shared" si="9"/>
        <v>-33267.052630370163</v>
      </c>
      <c r="IS7" s="30">
        <f t="shared" si="9"/>
        <v>-33832.714174595421</v>
      </c>
      <c r="IT7" s="30">
        <f t="shared" si="9"/>
        <v>-34401.4397188519</v>
      </c>
      <c r="IU7" s="30">
        <f t="shared" si="9"/>
        <v>-34973.245859806433</v>
      </c>
      <c r="IV7" s="30">
        <f t="shared" si="9"/>
        <v>-35548.149284024468</v>
      </c>
      <c r="IW7" s="30">
        <f t="shared" si="9"/>
        <v>-36126.16676845702</v>
      </c>
      <c r="IX7" s="30">
        <f t="shared" si="9"/>
        <v>-36707.315180930251</v>
      </c>
      <c r="IY7" s="30">
        <f t="shared" si="9"/>
        <v>-37291.611480637708</v>
      </c>
      <c r="IZ7" s="30">
        <f t="shared" ref="IZ7:LK7" si="10">SUM(IY7-IZ6)</f>
        <v>-37879.072718635245</v>
      </c>
      <c r="JA7" s="30">
        <f t="shared" si="10"/>
        <v>-38469.716038338607</v>
      </c>
      <c r="JB7" s="30">
        <f t="shared" si="10"/>
        <v>-39063.558676023691</v>
      </c>
      <c r="JC7" s="30">
        <f t="shared" si="10"/>
        <v>-39660.617961329568</v>
      </c>
      <c r="JD7" s="30">
        <f t="shared" si="10"/>
        <v>-40260.911317764185</v>
      </c>
      <c r="JE7" s="30">
        <f t="shared" si="10"/>
        <v>-40864.456263212829</v>
      </c>
      <c r="JF7" s="30">
        <f t="shared" si="10"/>
        <v>-41471.270410449317</v>
      </c>
      <c r="JG7" s="30">
        <f t="shared" si="10"/>
        <v>-42081.371467650002</v>
      </c>
      <c r="JH7" s="30">
        <f t="shared" si="10"/>
        <v>-42694.777238910523</v>
      </c>
      <c r="JI7" s="30">
        <f t="shared" si="10"/>
        <v>-43311.50562476537</v>
      </c>
      <c r="JJ7" s="30">
        <f t="shared" si="10"/>
        <v>-43931.574622710265</v>
      </c>
      <c r="JK7" s="30">
        <f t="shared" si="10"/>
        <v>-44555.002327727365</v>
      </c>
      <c r="JL7" s="30">
        <f t="shared" si="10"/>
        <v>-45181.806932813306</v>
      </c>
      <c r="JM7" s="30">
        <f t="shared" si="10"/>
        <v>-45812.006729510133</v>
      </c>
      <c r="JN7" s="30">
        <f t="shared" si="10"/>
        <v>-46445.620108439063</v>
      </c>
      <c r="JO7" s="30">
        <f t="shared" si="10"/>
        <v>-47082.665559837194</v>
      </c>
      <c r="JP7" s="30">
        <f t="shared" si="10"/>
        <v>-47723.161674097064</v>
      </c>
      <c r="JQ7" s="30">
        <f t="shared" si="10"/>
        <v>-48367.127142309175</v>
      </c>
      <c r="JR7" s="30">
        <f t="shared" si="10"/>
        <v>-49014.580756807438</v>
      </c>
      <c r="JS7" s="30">
        <f t="shared" si="10"/>
        <v>-49665.541411717561</v>
      </c>
      <c r="JT7" s="30">
        <f t="shared" si="10"/>
        <v>-50320.028103508448</v>
      </c>
      <c r="JU7" s="30">
        <f t="shared" si="10"/>
        <v>-50978.059931546537</v>
      </c>
      <c r="JV7" s="30">
        <f t="shared" si="10"/>
        <v>-51639.656098653162</v>
      </c>
      <c r="JW7" s="30">
        <f t="shared" si="10"/>
        <v>-52304.835911664952</v>
      </c>
      <c r="JX7" s="30">
        <f t="shared" si="10"/>
        <v>-52973.618781997226</v>
      </c>
      <c r="JY7" s="30">
        <f t="shared" si="10"/>
        <v>-53646.024226210466</v>
      </c>
      <c r="JZ7" s="30">
        <f t="shared" si="10"/>
        <v>-54322.071866579856</v>
      </c>
      <c r="KA7" s="30">
        <f t="shared" si="10"/>
        <v>-55001.781431667914</v>
      </c>
      <c r="KB7" s="30">
        <f t="shared" si="10"/>
        <v>-55685.172756900203</v>
      </c>
      <c r="KC7" s="30">
        <f t="shared" si="10"/>
        <v>-56372.265785144162</v>
      </c>
      <c r="KD7" s="30">
        <f t="shared" si="10"/>
        <v>-57063.080567291108</v>
      </c>
      <c r="KE7" s="30">
        <f t="shared" si="10"/>
        <v>-57757.637262841352</v>
      </c>
      <c r="KF7" s="30">
        <f t="shared" si="10"/>
        <v>-58455.956140492497</v>
      </c>
      <c r="KG7" s="30">
        <f t="shared" si="10"/>
        <v>-59158.057578730914</v>
      </c>
      <c r="KH7" s="30">
        <f t="shared" si="10"/>
        <v>-59863.962066426458</v>
      </c>
      <c r="KI7" s="30">
        <f t="shared" si="10"/>
        <v>-60573.690203430357</v>
      </c>
      <c r="KJ7" s="30">
        <f t="shared" si="10"/>
        <v>-61287.262701176354</v>
      </c>
      <c r="KK7" s="30">
        <f t="shared" si="10"/>
        <v>-62004.700383285148</v>
      </c>
      <c r="KL7" s="30">
        <f t="shared" si="10"/>
        <v>-62726.024186172028</v>
      </c>
      <c r="KM7" s="30">
        <f t="shared" si="10"/>
        <v>-63451.255159657878</v>
      </c>
      <c r="KN7" s="30">
        <f t="shared" si="10"/>
        <v>-64180.41446758344</v>
      </c>
      <c r="KO7" s="30">
        <f t="shared" si="10"/>
        <v>-64913.523388426933</v>
      </c>
      <c r="KP7" s="30">
        <f t="shared" si="10"/>
        <v>-65650.603315924993</v>
      </c>
      <c r="KQ7" s="30">
        <f t="shared" si="10"/>
        <v>-66391.675759696998</v>
      </c>
      <c r="KR7" s="30">
        <f t="shared" si="10"/>
        <v>-67136.762345872776</v>
      </c>
      <c r="KS7" s="30">
        <f t="shared" si="10"/>
        <v>-67885.884817723665</v>
      </c>
      <c r="KT7" s="30">
        <f t="shared" si="10"/>
        <v>-68639.065036297092</v>
      </c>
      <c r="KU7" s="30">
        <f t="shared" si="10"/>
        <v>-69396.324981054451</v>
      </c>
      <c r="KV7" s="30">
        <f t="shared" si="10"/>
        <v>-70157.686750512585</v>
      </c>
      <c r="KW7" s="30">
        <f t="shared" si="10"/>
        <v>-70923.17256288862</v>
      </c>
      <c r="KX7" s="30">
        <f t="shared" si="10"/>
        <v>-71692.804756748345</v>
      </c>
      <c r="KY7" s="30">
        <f t="shared" si="10"/>
        <v>-72466.605791658149</v>
      </c>
      <c r="KZ7" s="30">
        <f t="shared" si="10"/>
        <v>-73244.598248840382</v>
      </c>
      <c r="LA7" s="30">
        <f t="shared" si="10"/>
        <v>-74026.804831832356</v>
      </c>
      <c r="LB7" s="30">
        <f t="shared" si="10"/>
        <v>-74813.248367148874</v>
      </c>
      <c r="LC7" s="30">
        <f t="shared" si="10"/>
        <v>-75603.951804948345</v>
      </c>
      <c r="LD7" s="30">
        <f t="shared" si="10"/>
        <v>-76398.93821970257</v>
      </c>
      <c r="LE7" s="30">
        <f t="shared" si="10"/>
        <v>-77198.230810870038</v>
      </c>
      <c r="LF7" s="30">
        <f t="shared" si="10"/>
        <v>-78001.852903573003</v>
      </c>
      <c r="LG7" s="30">
        <f t="shared" si="10"/>
        <v>-78809.827949278115</v>
      </c>
      <c r="LH7" s="30">
        <f t="shared" si="10"/>
        <v>-79622.179526480788</v>
      </c>
      <c r="LI7" s="30">
        <f t="shared" si="10"/>
        <v>-80438.931341393312</v>
      </c>
      <c r="LJ7" s="30">
        <f t="shared" si="10"/>
        <v>-81260.107228636611</v>
      </c>
      <c r="LK7" s="30">
        <f t="shared" si="10"/>
        <v>-82085.731151935805</v>
      </c>
      <c r="LL7" s="30">
        <f t="shared" ref="LL7:MW7" si="11">SUM(LK7-LL6)</f>
        <v>-82915.827204819536</v>
      </c>
      <c r="LM7" s="30">
        <f t="shared" si="11"/>
        <v>-83750.419611323057</v>
      </c>
      <c r="LN7" s="30">
        <f t="shared" si="11"/>
        <v>-84589.532726695135</v>
      </c>
      <c r="LO7" s="30">
        <f t="shared" si="11"/>
        <v>-85433.191038108824</v>
      </c>
      <c r="LP7" s="30">
        <f t="shared" si="11"/>
        <v>-86281.419165375992</v>
      </c>
      <c r="LQ7" s="30">
        <f t="shared" si="11"/>
        <v>-87134.241861665869</v>
      </c>
      <c r="LR7" s="30">
        <f t="shared" si="11"/>
        <v>-87991.684014227314</v>
      </c>
      <c r="LS7" s="30">
        <f t="shared" si="11"/>
        <v>-88853.770645115132</v>
      </c>
      <c r="LT7" s="30">
        <f t="shared" si="11"/>
        <v>-89720.526911920257</v>
      </c>
      <c r="LU7" s="30">
        <f t="shared" si="11"/>
        <v>-90591.978108503914</v>
      </c>
      <c r="LV7" s="30">
        <f t="shared" si="11"/>
        <v>-91468.149665735735</v>
      </c>
      <c r="LW7" s="30">
        <f t="shared" si="11"/>
        <v>-92349.06715223589</v>
      </c>
      <c r="LX7" s="30">
        <f t="shared" si="11"/>
        <v>-93234.756275121254</v>
      </c>
      <c r="LY7" s="30">
        <f t="shared" si="11"/>
        <v>-94125.242880755584</v>
      </c>
      <c r="LZ7" s="30">
        <f t="shared" si="11"/>
        <v>-95020.552955503765</v>
      </c>
      <c r="MA7" s="30">
        <f t="shared" si="11"/>
        <v>-95920.71262649016</v>
      </c>
      <c r="MB7" s="30">
        <f t="shared" si="11"/>
        <v>-96825.748162361066</v>
      </c>
      <c r="MC7" s="30">
        <f t="shared" si="11"/>
        <v>-97735.685974051274</v>
      </c>
      <c r="MD7" s="30">
        <f t="shared" si="11"/>
        <v>-98650.5526155548</v>
      </c>
      <c r="ME7" s="30">
        <f t="shared" si="11"/>
        <v>-99570.374784699801</v>
      </c>
      <c r="MF7" s="30">
        <f t="shared" si="11"/>
        <v>-100495.17932392767</v>
      </c>
      <c r="MG7" s="30">
        <f t="shared" si="11"/>
        <v>-101424.99322107637</v>
      </c>
      <c r="MH7" s="30">
        <f t="shared" si="11"/>
        <v>-102359.84361016795</v>
      </c>
      <c r="MI7" s="30">
        <f t="shared" si="11"/>
        <v>-103299.75777220045</v>
      </c>
      <c r="MJ7" s="30">
        <f t="shared" si="11"/>
        <v>-104244.76313594395</v>
      </c>
      <c r="MK7" s="30">
        <f t="shared" si="11"/>
        <v>-105194.88727874107</v>
      </c>
      <c r="ML7" s="30">
        <f t="shared" si="11"/>
        <v>-106150.15792731167</v>
      </c>
      <c r="MM7" s="30">
        <f t="shared" si="11"/>
        <v>-107110.60295856203</v>
      </c>
      <c r="MN7" s="30">
        <f t="shared" si="11"/>
        <v>-108076.25040039832</v>
      </c>
      <c r="MO7" s="30">
        <f t="shared" si="11"/>
        <v>-109047.12843254456</v>
      </c>
      <c r="MP7" s="30">
        <f t="shared" si="11"/>
        <v>-110023.26538736493</v>
      </c>
      <c r="MQ7" s="30">
        <f t="shared" si="11"/>
        <v>-111004.68975069057</v>
      </c>
      <c r="MR7" s="30">
        <f t="shared" si="11"/>
        <v>-111991.4301626509</v>
      </c>
      <c r="MS7" s="30">
        <f t="shared" si="11"/>
        <v>-112983.51541850934</v>
      </c>
      <c r="MT7" s="30">
        <f t="shared" si="11"/>
        <v>-113980.97446950368</v>
      </c>
      <c r="MU7" s="30">
        <f t="shared" si="11"/>
        <v>-114983.83642369091</v>
      </c>
      <c r="MV7" s="30">
        <f t="shared" si="11"/>
        <v>-115992.13054679666</v>
      </c>
      <c r="MW7" s="30">
        <f t="shared" si="11"/>
        <v>-117005.88626306923</v>
      </c>
    </row>
    <row r="9" spans="1:361" x14ac:dyDescent="0.25">
      <c r="B9" s="215" t="s">
        <v>450</v>
      </c>
      <c r="C9" s="215"/>
      <c r="D9" s="2" t="s">
        <v>451</v>
      </c>
    </row>
    <row r="10" spans="1:361" x14ac:dyDescent="0.25">
      <c r="A10" s="10" t="s">
        <v>28</v>
      </c>
      <c r="B10" s="30">
        <f>M7</f>
        <v>42447.601889040532</v>
      </c>
      <c r="D10" s="18">
        <f>SUM(C1-B10)</f>
        <v>1802.3981109594679</v>
      </c>
    </row>
    <row r="11" spans="1:361" x14ac:dyDescent="0.25">
      <c r="A11" s="10" t="s">
        <v>29</v>
      </c>
      <c r="B11" s="30">
        <f>Y7</f>
        <v>40524.493838544229</v>
      </c>
      <c r="D11" s="18">
        <f>SUM(B10-B11)</f>
        <v>1923.1080504963029</v>
      </c>
    </row>
    <row r="12" spans="1:361" x14ac:dyDescent="0.25">
      <c r="A12" s="10" t="s">
        <v>30</v>
      </c>
      <c r="B12" s="30">
        <f>AK7</f>
        <v>38472.591680305166</v>
      </c>
      <c r="C12" s="2"/>
      <c r="D12" s="18">
        <f>SUM(B11-B12)</f>
        <v>2051.9021582390633</v>
      </c>
    </row>
    <row r="13" spans="1:361" x14ac:dyDescent="0.25">
      <c r="A13" s="10" t="s">
        <v>31</v>
      </c>
      <c r="B13" s="30">
        <f>AW7</f>
        <v>36283.269834400831</v>
      </c>
      <c r="C13" s="2"/>
      <c r="D13" s="18">
        <f t="shared" ref="D13:D39" si="12">SUM(B12-B13)</f>
        <v>2189.3218459043346</v>
      </c>
    </row>
    <row r="14" spans="1:361" x14ac:dyDescent="0.25">
      <c r="A14" s="10" t="s">
        <v>32</v>
      </c>
      <c r="B14" s="30">
        <f>BI7</f>
        <v>33947.325049846644</v>
      </c>
      <c r="C14" s="2"/>
      <c r="D14" s="18">
        <f t="shared" si="12"/>
        <v>2335.9447845541872</v>
      </c>
    </row>
    <row r="15" spans="1:361" x14ac:dyDescent="0.25">
      <c r="A15" s="10" t="s">
        <v>33</v>
      </c>
      <c r="B15" s="30">
        <f>BU7</f>
        <v>31454.937716895183</v>
      </c>
      <c r="C15" s="2"/>
      <c r="D15" s="18">
        <f t="shared" si="12"/>
        <v>2492.3873329514608</v>
      </c>
    </row>
    <row r="16" spans="1:361" x14ac:dyDescent="0.25">
      <c r="A16" s="10" t="s">
        <v>34</v>
      </c>
      <c r="B16" s="30">
        <f>CG7</f>
        <v>28795.630588348282</v>
      </c>
      <c r="C16" s="2"/>
      <c r="D16" s="18">
        <f t="shared" si="12"/>
        <v>2659.3071285469014</v>
      </c>
    </row>
    <row r="17" spans="1:4" x14ac:dyDescent="0.25">
      <c r="A17" s="10" t="s">
        <v>35</v>
      </c>
      <c r="B17" s="30">
        <f>CS7</f>
        <v>25958.224736359032</v>
      </c>
      <c r="C17" s="2"/>
      <c r="D17" s="18">
        <f t="shared" si="12"/>
        <v>2837.4058519892496</v>
      </c>
    </row>
    <row r="18" spans="1:4" x14ac:dyDescent="0.25">
      <c r="A18" s="10" t="s">
        <v>36</v>
      </c>
      <c r="B18" s="30">
        <f>DE7</f>
        <v>22930.792559579204</v>
      </c>
      <c r="C18" s="2"/>
      <c r="D18" s="18">
        <f t="shared" si="12"/>
        <v>3027.4321767798283</v>
      </c>
    </row>
    <row r="19" spans="1:4" x14ac:dyDescent="0.25">
      <c r="A19" s="10" t="s">
        <v>37</v>
      </c>
      <c r="B19" s="30">
        <f>DQ7</f>
        <v>19700.607643108346</v>
      </c>
      <c r="C19" s="2"/>
      <c r="D19" s="18">
        <f t="shared" si="12"/>
        <v>3230.1849164708583</v>
      </c>
    </row>
    <row r="20" spans="1:4" x14ac:dyDescent="0.25">
      <c r="A20" s="10" t="s">
        <v>38</v>
      </c>
      <c r="B20" s="30">
        <f>EC7</f>
        <v>16254.091260470745</v>
      </c>
      <c r="C20" s="2"/>
      <c r="D20" s="18">
        <f t="shared" si="12"/>
        <v>3446.5163826376011</v>
      </c>
    </row>
    <row r="21" spans="1:4" x14ac:dyDescent="0.25">
      <c r="A21" s="10" t="s">
        <v>39</v>
      </c>
      <c r="B21" s="30">
        <f>EO7</f>
        <v>12576.755292730799</v>
      </c>
      <c r="C21" s="2"/>
      <c r="D21" s="18">
        <f t="shared" si="12"/>
        <v>3677.3359677399458</v>
      </c>
    </row>
    <row r="22" spans="1:4" x14ac:dyDescent="0.25">
      <c r="A22" s="10" t="s">
        <v>40</v>
      </c>
      <c r="B22" s="30">
        <f>FA7</f>
        <v>8653.1413247957407</v>
      </c>
      <c r="C22" s="2"/>
      <c r="D22" s="18">
        <f t="shared" si="12"/>
        <v>3923.6139679350581</v>
      </c>
    </row>
    <row r="23" spans="1:4" x14ac:dyDescent="0.25">
      <c r="A23" s="10" t="s">
        <v>41</v>
      </c>
      <c r="B23" s="30">
        <f>FM7</f>
        <v>4466.7556628850207</v>
      </c>
      <c r="C23" s="2"/>
      <c r="D23" s="18">
        <f t="shared" si="12"/>
        <v>4186.38566191072</v>
      </c>
    </row>
    <row r="24" spans="1:4" x14ac:dyDescent="0.25">
      <c r="A24" s="10" t="s">
        <v>42</v>
      </c>
      <c r="B24" s="30">
        <f>FY7</f>
        <v>-7.5510797614697367E-10</v>
      </c>
      <c r="C24" s="2"/>
      <c r="D24" s="18">
        <f t="shared" si="12"/>
        <v>4466.7556628857756</v>
      </c>
    </row>
    <row r="25" spans="1:4" x14ac:dyDescent="0.25">
      <c r="A25" s="10" t="s">
        <v>43</v>
      </c>
      <c r="B25" s="30">
        <f>GK7</f>
        <v>-4765.9025620728416</v>
      </c>
      <c r="C25" s="2"/>
      <c r="D25" s="18">
        <f t="shared" si="12"/>
        <v>4765.9025620720868</v>
      </c>
    </row>
    <row r="26" spans="1:4" x14ac:dyDescent="0.25">
      <c r="A26" s="10" t="s">
        <v>44</v>
      </c>
      <c r="B26" s="30">
        <f>GW7</f>
        <v>-9850.9864451905632</v>
      </c>
      <c r="C26" s="2"/>
      <c r="D26" s="18">
        <f t="shared" si="12"/>
        <v>5085.0838831177216</v>
      </c>
    </row>
    <row r="27" spans="1:4" x14ac:dyDescent="0.25">
      <c r="A27" s="10" t="s">
        <v>45</v>
      </c>
      <c r="B27" s="30">
        <f>HI7</f>
        <v>-15276.62781354897</v>
      </c>
      <c r="C27" s="2"/>
      <c r="D27" s="18">
        <f t="shared" si="12"/>
        <v>5425.6413683584069</v>
      </c>
    </row>
    <row r="28" spans="1:4" x14ac:dyDescent="0.25">
      <c r="A28" s="10" t="s">
        <v>46</v>
      </c>
      <c r="B28" s="30">
        <f>HU7</f>
        <v>-21065.634432647945</v>
      </c>
      <c r="C28" s="2"/>
      <c r="D28" s="18">
        <f t="shared" si="12"/>
        <v>5789.0066190989746</v>
      </c>
    </row>
    <row r="29" spans="1:4" x14ac:dyDescent="0.25">
      <c r="A29" s="10" t="s">
        <v>47</v>
      </c>
      <c r="B29" s="30">
        <f>IG7</f>
        <v>-27242.341546282973</v>
      </c>
      <c r="C29" s="2"/>
      <c r="D29" s="18">
        <f t="shared" si="12"/>
        <v>6176.7071136350278</v>
      </c>
    </row>
    <row r="30" spans="1:4" x14ac:dyDescent="0.25">
      <c r="A30" s="10" t="s">
        <v>48</v>
      </c>
      <c r="B30" s="30">
        <f>IS7</f>
        <v>-33832.714174595421</v>
      </c>
      <c r="C30" s="2"/>
      <c r="D30" s="18">
        <f t="shared" si="12"/>
        <v>6590.3726283124488</v>
      </c>
    </row>
    <row r="31" spans="1:4" x14ac:dyDescent="0.25">
      <c r="A31" s="10" t="s">
        <v>49</v>
      </c>
      <c r="B31" s="30">
        <f>JE7</f>
        <v>-40864.456263212829</v>
      </c>
      <c r="C31" s="2"/>
      <c r="D31" s="18">
        <f t="shared" si="12"/>
        <v>7031.7420886174077</v>
      </c>
    </row>
    <row r="32" spans="1:4" x14ac:dyDescent="0.25">
      <c r="A32" s="10" t="s">
        <v>50</v>
      </c>
      <c r="B32" s="30">
        <f>JQ7</f>
        <v>-48367.127142309175</v>
      </c>
      <c r="C32" s="2"/>
      <c r="D32" s="18">
        <f t="shared" si="12"/>
        <v>7502.6708790963457</v>
      </c>
    </row>
    <row r="33" spans="1:4" x14ac:dyDescent="0.25">
      <c r="A33" s="10" t="s">
        <v>51</v>
      </c>
      <c r="B33" s="30">
        <f>KC7</f>
        <v>-56372.265785144162</v>
      </c>
      <c r="C33" s="2"/>
      <c r="D33" s="18">
        <f t="shared" si="12"/>
        <v>8005.138642834987</v>
      </c>
    </row>
    <row r="34" spans="1:4" x14ac:dyDescent="0.25">
      <c r="A34" s="10" t="s">
        <v>52</v>
      </c>
      <c r="B34" s="30">
        <f>KP7</f>
        <v>-65650.603315924993</v>
      </c>
      <c r="C34" s="2"/>
      <c r="D34" s="18">
        <f t="shared" si="12"/>
        <v>9278.337530780831</v>
      </c>
    </row>
    <row r="35" spans="1:4" x14ac:dyDescent="0.25">
      <c r="A35" s="10" t="s">
        <v>53</v>
      </c>
      <c r="B35" s="30">
        <f>LA7</f>
        <v>-74026.804831832356</v>
      </c>
      <c r="C35" s="2"/>
      <c r="D35" s="18">
        <f t="shared" si="12"/>
        <v>8376.2015159073635</v>
      </c>
    </row>
    <row r="36" spans="1:4" x14ac:dyDescent="0.25">
      <c r="A36" s="10" t="s">
        <v>54</v>
      </c>
      <c r="B36" s="30">
        <f>LM7</f>
        <v>-83750.419611323057</v>
      </c>
      <c r="C36" s="2"/>
      <c r="D36" s="18">
        <f t="shared" si="12"/>
        <v>9723.614779490701</v>
      </c>
    </row>
    <row r="37" spans="1:4" x14ac:dyDescent="0.25">
      <c r="A37" s="10" t="s">
        <v>55</v>
      </c>
      <c r="B37" s="30">
        <f>LY7</f>
        <v>-94125.242880755584</v>
      </c>
      <c r="C37" s="2"/>
      <c r="D37" s="18">
        <f t="shared" si="12"/>
        <v>10374.823269432527</v>
      </c>
    </row>
    <row r="38" spans="1:4" x14ac:dyDescent="0.25">
      <c r="A38" s="10" t="s">
        <v>56</v>
      </c>
      <c r="B38" s="30">
        <f>MK7</f>
        <v>-105194.88727874107</v>
      </c>
      <c r="C38" s="2"/>
      <c r="D38" s="18">
        <f t="shared" si="12"/>
        <v>11069.644397985481</v>
      </c>
    </row>
    <row r="39" spans="1:4" x14ac:dyDescent="0.25">
      <c r="A39" s="10" t="s">
        <v>57</v>
      </c>
      <c r="B39" s="30">
        <f>MW7</f>
        <v>-117005.88626306923</v>
      </c>
      <c r="C39" s="2"/>
      <c r="D39" s="18">
        <f t="shared" si="12"/>
        <v>11810.998984328166</v>
      </c>
    </row>
  </sheetData>
  <mergeCells count="4">
    <mergeCell ref="B9:C9"/>
    <mergeCell ref="A2:B2"/>
    <mergeCell ref="A1:B1"/>
    <mergeCell ref="A3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3"/>
  <sheetViews>
    <sheetView workbookViewId="0">
      <selection activeCell="A11" sqref="A11"/>
    </sheetView>
  </sheetViews>
  <sheetFormatPr defaultRowHeight="15" x14ac:dyDescent="0.25"/>
  <cols>
    <col min="4" max="4" width="10.140625" customWidth="1"/>
    <col min="5" max="5" width="11.85546875" bestFit="1" customWidth="1"/>
    <col min="7" max="7" width="5.28515625" customWidth="1"/>
    <col min="8" max="8" width="24.42578125" customWidth="1"/>
    <col min="9" max="9" width="7.140625" customWidth="1"/>
    <col min="10" max="10" width="10.85546875" bestFit="1" customWidth="1"/>
    <col min="11" max="11" width="11.85546875" bestFit="1" customWidth="1"/>
    <col min="12" max="12" width="9.85546875" bestFit="1" customWidth="1"/>
    <col min="14" max="14" width="12.5703125" customWidth="1"/>
    <col min="15" max="15" width="5.7109375" style="30" customWidth="1"/>
    <col min="16" max="16" width="11.85546875" bestFit="1" customWidth="1"/>
    <col min="18" max="18" width="33" bestFit="1" customWidth="1"/>
    <col min="19" max="19" width="10.85546875" bestFit="1" customWidth="1"/>
  </cols>
  <sheetData>
    <row r="1" spans="2:25" ht="5.25" customHeight="1" thickBot="1" x14ac:dyDescent="0.3"/>
    <row r="2" spans="2:25" x14ac:dyDescent="0.25">
      <c r="B2" s="156" t="s">
        <v>473</v>
      </c>
      <c r="C2" s="157"/>
      <c r="D2" s="157"/>
      <c r="E2" s="61">
        <f>SUM(Y2:Y10)</f>
        <v>505.4666666666667</v>
      </c>
      <c r="G2" s="228" t="s">
        <v>497</v>
      </c>
      <c r="H2" s="229"/>
      <c r="I2" s="229"/>
      <c r="J2" s="230"/>
      <c r="X2" s="52" t="s">
        <v>64</v>
      </c>
      <c r="Y2" s="53">
        <f>SUM(Analysis!E24/12)</f>
        <v>66.666666666666671</v>
      </c>
    </row>
    <row r="3" spans="2:25" ht="15.75" thickBot="1" x14ac:dyDescent="0.3">
      <c r="B3" s="168" t="s">
        <v>472</v>
      </c>
      <c r="C3" s="169"/>
      <c r="D3" s="169"/>
      <c r="E3" s="56">
        <f>Y11</f>
        <v>385.465009144085</v>
      </c>
      <c r="G3" s="144" t="s">
        <v>498</v>
      </c>
      <c r="H3" s="145"/>
      <c r="I3" s="145"/>
      <c r="J3" s="73">
        <f>SUM(Analysis!L4/Analysis!D3)</f>
        <v>2.3135593220338983E-2</v>
      </c>
      <c r="X3" s="52" t="s">
        <v>65</v>
      </c>
      <c r="Y3" s="54">
        <f>SUM(Analysis!E25/12)</f>
        <v>75</v>
      </c>
    </row>
    <row r="4" spans="2:25" ht="15.75" thickBot="1" x14ac:dyDescent="0.3">
      <c r="G4" s="144" t="s">
        <v>499</v>
      </c>
      <c r="H4" s="145"/>
      <c r="I4" s="145"/>
      <c r="J4" s="74">
        <f>SUM(Display!E12-Display!E8)</f>
        <v>1000</v>
      </c>
      <c r="X4" s="52" t="s">
        <v>66</v>
      </c>
      <c r="Y4" s="53">
        <f>SUM(Analysis!E17*Analysis!E26)</f>
        <v>163.79999999999998</v>
      </c>
    </row>
    <row r="5" spans="2:25" ht="15.75" thickBot="1" x14ac:dyDescent="0.3">
      <c r="B5" s="193" t="s">
        <v>468</v>
      </c>
      <c r="C5" s="194"/>
      <c r="D5" s="194"/>
      <c r="E5" s="62">
        <f>Analysis!L6</f>
        <v>1365</v>
      </c>
      <c r="G5" s="144" t="s">
        <v>500</v>
      </c>
      <c r="H5" s="145"/>
      <c r="I5" s="145"/>
      <c r="J5" s="75">
        <f>Analysis!P5</f>
        <v>3.8461538461538463</v>
      </c>
      <c r="X5" s="52" t="s">
        <v>67</v>
      </c>
      <c r="Y5" s="53">
        <f>SUM(Analysis!E27/12)</f>
        <v>100</v>
      </c>
    </row>
    <row r="6" spans="2:25" ht="15.75" thickBot="1" x14ac:dyDescent="0.3">
      <c r="G6" s="213" t="s">
        <v>501</v>
      </c>
      <c r="H6" s="214"/>
      <c r="I6" s="214"/>
      <c r="J6" s="76">
        <f>Analysis!P8</f>
        <v>1.421002305456788</v>
      </c>
      <c r="X6" s="52" t="s">
        <v>68</v>
      </c>
      <c r="Y6" s="54">
        <f>SUM(Analysis!E28/12)</f>
        <v>0</v>
      </c>
    </row>
    <row r="7" spans="2:25" ht="15.75" thickBot="1" x14ac:dyDescent="0.3">
      <c r="B7" s="217" t="s">
        <v>476</v>
      </c>
      <c r="C7" s="218"/>
      <c r="D7" s="218"/>
      <c r="E7" s="219"/>
      <c r="X7" s="52" t="s">
        <v>69</v>
      </c>
      <c r="Y7" s="54">
        <f>SUM(Analysis!E29/12)</f>
        <v>100</v>
      </c>
    </row>
    <row r="8" spans="2:25" ht="15.75" thickBot="1" x14ac:dyDescent="0.3">
      <c r="B8" s="24" t="s">
        <v>4</v>
      </c>
      <c r="C8" s="21"/>
      <c r="D8" s="63"/>
      <c r="E8" s="55">
        <f>Analysis!D3</f>
        <v>59000</v>
      </c>
      <c r="G8" s="231" t="s">
        <v>467</v>
      </c>
      <c r="H8" s="232"/>
      <c r="I8" s="232"/>
      <c r="J8" s="233"/>
      <c r="X8" s="52" t="s">
        <v>70</v>
      </c>
      <c r="Y8" s="54">
        <f>SUM(Analysis!E30/12)</f>
        <v>0</v>
      </c>
    </row>
    <row r="9" spans="2:25" x14ac:dyDescent="0.25">
      <c r="B9" s="24" t="s">
        <v>477</v>
      </c>
      <c r="C9" s="21"/>
      <c r="D9" s="63"/>
      <c r="E9" s="55">
        <f>Analysis!D7</f>
        <v>2000</v>
      </c>
      <c r="G9" s="234" t="s">
        <v>468</v>
      </c>
      <c r="H9" s="235"/>
      <c r="I9" s="235"/>
      <c r="J9" s="55">
        <f>Analysis!L6</f>
        <v>1365</v>
      </c>
      <c r="X9" s="52" t="s">
        <v>71</v>
      </c>
      <c r="Y9" s="54">
        <f>Analysis!E31</f>
        <v>0</v>
      </c>
    </row>
    <row r="10" spans="2:25" x14ac:dyDescent="0.25">
      <c r="B10" s="24" t="s">
        <v>478</v>
      </c>
      <c r="C10" s="21"/>
      <c r="D10" s="63"/>
      <c r="E10" s="55">
        <f>Analysis!D6</f>
        <v>2000</v>
      </c>
      <c r="G10" s="144" t="s">
        <v>469</v>
      </c>
      <c r="H10" s="145"/>
      <c r="I10" s="145"/>
      <c r="J10" s="55">
        <f>SUM(J9*0.5)</f>
        <v>682.5</v>
      </c>
      <c r="X10" s="52" t="s">
        <v>72</v>
      </c>
      <c r="Y10" s="54">
        <f>Analysis!E32</f>
        <v>0</v>
      </c>
    </row>
    <row r="11" spans="2:25" x14ac:dyDescent="0.25">
      <c r="B11" s="25" t="s">
        <v>479</v>
      </c>
      <c r="C11" s="19"/>
      <c r="D11" s="63"/>
      <c r="E11" s="55">
        <f>SUM(E8:E10)</f>
        <v>63000</v>
      </c>
      <c r="G11" s="144" t="s">
        <v>474</v>
      </c>
      <c r="H11" s="145"/>
      <c r="I11" s="145"/>
      <c r="J11" s="55">
        <f>Analysis!H8</f>
        <v>385.465009144085</v>
      </c>
      <c r="X11" s="52" t="s">
        <v>471</v>
      </c>
      <c r="Y11" s="60">
        <f>Analysis!H8</f>
        <v>385.465009144085</v>
      </c>
    </row>
    <row r="12" spans="2:25" ht="15.75" thickBot="1" x14ac:dyDescent="0.3">
      <c r="B12" s="26" t="s">
        <v>480</v>
      </c>
      <c r="C12" s="27"/>
      <c r="D12" s="67"/>
      <c r="E12" s="97">
        <f>Analysis!V3</f>
        <v>60000</v>
      </c>
      <c r="G12" s="236"/>
      <c r="H12" s="237"/>
      <c r="I12" s="237"/>
      <c r="J12" s="48"/>
    </row>
    <row r="13" spans="2:25" ht="15.75" thickBot="1" x14ac:dyDescent="0.3">
      <c r="G13" s="238" t="s">
        <v>470</v>
      </c>
      <c r="H13" s="239"/>
      <c r="I13" s="239"/>
      <c r="J13" s="57">
        <f>SUM(J9-(J10+J11))</f>
        <v>297.03499085591511</v>
      </c>
      <c r="R13" s="70"/>
      <c r="S13" s="71"/>
    </row>
    <row r="14" spans="2:25" ht="15.75" thickBot="1" x14ac:dyDescent="0.3">
      <c r="B14" s="220" t="s">
        <v>481</v>
      </c>
      <c r="C14" s="221"/>
      <c r="D14" s="221"/>
      <c r="E14" s="222"/>
      <c r="R14" s="70"/>
      <c r="S14" s="71"/>
    </row>
    <row r="15" spans="2:25" ht="15.75" thickBot="1" x14ac:dyDescent="0.3">
      <c r="B15" s="25" t="s">
        <v>482</v>
      </c>
      <c r="C15" s="19"/>
      <c r="D15" s="63"/>
      <c r="E15" s="55">
        <f>Analysis!H5</f>
        <v>14750</v>
      </c>
      <c r="G15" s="225" t="s">
        <v>475</v>
      </c>
      <c r="H15" s="226"/>
      <c r="I15" s="226"/>
      <c r="J15" s="65">
        <f>Analysis!E41</f>
        <v>162.28165752258167</v>
      </c>
      <c r="R15" s="70"/>
      <c r="S15" s="71"/>
    </row>
    <row r="16" spans="2:25" ht="15.75" thickBot="1" x14ac:dyDescent="0.3">
      <c r="B16" s="25" t="s">
        <v>483</v>
      </c>
      <c r="C16" s="19"/>
      <c r="D16" s="63"/>
      <c r="E16" s="55">
        <f>Analysis!H4</f>
        <v>44250</v>
      </c>
      <c r="R16" s="70"/>
      <c r="S16" s="71"/>
    </row>
    <row r="17" spans="2:18" x14ac:dyDescent="0.25">
      <c r="B17" s="25" t="s">
        <v>484</v>
      </c>
      <c r="C17" s="19"/>
      <c r="D17" s="63"/>
      <c r="E17" s="55">
        <v>0</v>
      </c>
      <c r="G17" s="223" t="s">
        <v>490</v>
      </c>
      <c r="H17" s="224"/>
      <c r="I17" s="224"/>
      <c r="J17" s="77">
        <f>Analysis!E21</f>
        <v>1228.5</v>
      </c>
      <c r="R17" s="21"/>
    </row>
    <row r="18" spans="2:18" x14ac:dyDescent="0.25">
      <c r="B18" s="25" t="s">
        <v>485</v>
      </c>
      <c r="C18" s="19"/>
      <c r="D18" s="63"/>
      <c r="E18" s="55">
        <v>0</v>
      </c>
      <c r="G18" s="150" t="s">
        <v>491</v>
      </c>
      <c r="H18" s="151"/>
      <c r="I18" s="151"/>
      <c r="J18" s="49">
        <f>Analysis!E34</f>
        <v>680.75333333333333</v>
      </c>
      <c r="R18" s="21"/>
    </row>
    <row r="19" spans="2:18" x14ac:dyDescent="0.25">
      <c r="B19" s="25" t="s">
        <v>486</v>
      </c>
      <c r="C19" s="19"/>
      <c r="D19" s="63"/>
      <c r="E19" s="55">
        <f>Analysis!H7</f>
        <v>15</v>
      </c>
      <c r="G19" s="150" t="s">
        <v>492</v>
      </c>
      <c r="H19" s="151"/>
      <c r="I19" s="151"/>
      <c r="J19" s="49">
        <f>Analysis!E41</f>
        <v>162.28165752258167</v>
      </c>
      <c r="R19" s="21"/>
    </row>
    <row r="20" spans="2:18" x14ac:dyDescent="0.25">
      <c r="B20" s="25" t="s">
        <v>487</v>
      </c>
      <c r="C20" s="19"/>
      <c r="D20" s="63"/>
      <c r="E20" s="66">
        <f>Analysis!H6</f>
        <v>6.5000000000000002E-2</v>
      </c>
      <c r="G20" s="150" t="s">
        <v>493</v>
      </c>
      <c r="H20" s="151"/>
      <c r="I20" s="151"/>
      <c r="J20" s="49">
        <f>Analysis!F36</f>
        <v>6572.96</v>
      </c>
    </row>
    <row r="21" spans="2:18" x14ac:dyDescent="0.25">
      <c r="B21" s="227" t="s">
        <v>488</v>
      </c>
      <c r="C21" s="212"/>
      <c r="D21" s="68"/>
      <c r="E21" s="69">
        <f>Analysis!H8</f>
        <v>385.465009144085</v>
      </c>
      <c r="G21" s="150" t="s">
        <v>494</v>
      </c>
      <c r="H21" s="151"/>
      <c r="I21" s="151"/>
      <c r="J21" s="66">
        <f>Analysis!F42</f>
        <v>0.10386026081445224</v>
      </c>
    </row>
    <row r="22" spans="2:18" ht="15.75" thickBot="1" x14ac:dyDescent="0.3">
      <c r="B22" s="168" t="s">
        <v>489</v>
      </c>
      <c r="C22" s="169"/>
      <c r="D22" s="67"/>
      <c r="E22" s="56">
        <f>Analysis!H9</f>
        <v>18750</v>
      </c>
      <c r="G22" s="150" t="s">
        <v>495</v>
      </c>
      <c r="H22" s="151"/>
      <c r="I22" s="151"/>
      <c r="J22" s="66">
        <f>SUM(Analysis!F36/Display!E12)</f>
        <v>0.10954933333333333</v>
      </c>
    </row>
    <row r="23" spans="2:18" ht="15.75" thickBot="1" x14ac:dyDescent="0.3">
      <c r="G23" s="154" t="s">
        <v>496</v>
      </c>
      <c r="H23" s="155"/>
      <c r="I23" s="155"/>
      <c r="J23" s="78">
        <f>Analysis!P4</f>
        <v>0.10433269841269842</v>
      </c>
    </row>
    <row r="26" spans="2:18" x14ac:dyDescent="0.25">
      <c r="M26" s="215"/>
      <c r="N26" s="215"/>
    </row>
    <row r="27" spans="2:18" x14ac:dyDescent="0.25">
      <c r="M27" s="215"/>
      <c r="N27" s="215"/>
    </row>
    <row r="28" spans="2:18" x14ac:dyDescent="0.25">
      <c r="M28" s="215"/>
      <c r="N28" s="215"/>
    </row>
    <row r="29" spans="2:18" x14ac:dyDescent="0.25">
      <c r="M29" s="215"/>
      <c r="N29" s="215"/>
    </row>
    <row r="30" spans="2:18" x14ac:dyDescent="0.25">
      <c r="M30" s="215"/>
      <c r="N30" s="215"/>
    </row>
    <row r="31" spans="2:18" x14ac:dyDescent="0.25">
      <c r="M31" s="215"/>
      <c r="N31" s="215"/>
    </row>
    <row r="32" spans="2:18" x14ac:dyDescent="0.25">
      <c r="M32" s="215"/>
      <c r="N32" s="215"/>
    </row>
    <row r="33" spans="13:14" x14ac:dyDescent="0.25">
      <c r="M33" s="215"/>
      <c r="N33" s="215"/>
    </row>
  </sheetData>
  <mergeCells count="34">
    <mergeCell ref="G21:I21"/>
    <mergeCell ref="G22:I22"/>
    <mergeCell ref="G23:I23"/>
    <mergeCell ref="G2:J2"/>
    <mergeCell ref="G3:I3"/>
    <mergeCell ref="G4:I4"/>
    <mergeCell ref="G5:I5"/>
    <mergeCell ref="G6:I6"/>
    <mergeCell ref="G8:J8"/>
    <mergeCell ref="G9:I9"/>
    <mergeCell ref="G12:I12"/>
    <mergeCell ref="G13:I13"/>
    <mergeCell ref="G11:I11"/>
    <mergeCell ref="B14:E14"/>
    <mergeCell ref="M30:N30"/>
    <mergeCell ref="M31:N31"/>
    <mergeCell ref="M32:N32"/>
    <mergeCell ref="M33:N33"/>
    <mergeCell ref="M26:N26"/>
    <mergeCell ref="M27:N27"/>
    <mergeCell ref="M28:N28"/>
    <mergeCell ref="M29:N29"/>
    <mergeCell ref="G17:I17"/>
    <mergeCell ref="G18:I18"/>
    <mergeCell ref="G19:I19"/>
    <mergeCell ref="G20:I20"/>
    <mergeCell ref="G15:I15"/>
    <mergeCell ref="B21:C21"/>
    <mergeCell ref="B22:C22"/>
    <mergeCell ref="B2:D2"/>
    <mergeCell ref="B3:D3"/>
    <mergeCell ref="B5:D5"/>
    <mergeCell ref="B7:E7"/>
    <mergeCell ref="G10:I10"/>
  </mergeCells>
  <pageMargins left="0.25" right="0.25" top="0.75" bottom="0.75" header="0.3" footer="0.3"/>
  <pageSetup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0" workbookViewId="0">
      <selection activeCell="B15" sqref="B15"/>
    </sheetView>
  </sheetViews>
  <sheetFormatPr defaultRowHeight="15" x14ac:dyDescent="0.25"/>
  <cols>
    <col min="1" max="1" width="38.42578125" bestFit="1" customWidth="1"/>
    <col min="2" max="2" width="17.28515625" bestFit="1" customWidth="1"/>
    <col min="3" max="3" width="10.5703125" bestFit="1" customWidth="1"/>
    <col min="4" max="4" width="13.5703125" bestFit="1" customWidth="1"/>
    <col min="5" max="5" width="15.5703125" bestFit="1" customWidth="1"/>
  </cols>
  <sheetData>
    <row r="1" spans="1:5" ht="15.75" thickBot="1" x14ac:dyDescent="0.3">
      <c r="A1" s="99" t="s">
        <v>508</v>
      </c>
      <c r="B1" s="98" t="s">
        <v>522</v>
      </c>
      <c r="C1" s="100" t="s">
        <v>523</v>
      </c>
      <c r="D1" s="98" t="s">
        <v>524</v>
      </c>
      <c r="E1" s="101" t="s">
        <v>525</v>
      </c>
    </row>
    <row r="2" spans="1:5" x14ac:dyDescent="0.25">
      <c r="A2" s="102" t="s">
        <v>509</v>
      </c>
      <c r="B2" s="142">
        <v>3000</v>
      </c>
      <c r="C2" s="143">
        <v>20</v>
      </c>
      <c r="D2" s="105">
        <f t="shared" ref="D2:D14" si="0">SUM(B2/C2)</f>
        <v>150</v>
      </c>
      <c r="E2" s="107">
        <f>SUM(D2/12)</f>
        <v>12.5</v>
      </c>
    </row>
    <row r="3" spans="1:5" x14ac:dyDescent="0.25">
      <c r="A3" s="102" t="s">
        <v>510</v>
      </c>
      <c r="B3" s="142">
        <v>3000</v>
      </c>
      <c r="C3" s="143">
        <v>10</v>
      </c>
      <c r="D3" s="105">
        <f t="shared" si="0"/>
        <v>300</v>
      </c>
      <c r="E3" s="107">
        <f t="shared" ref="E3:E14" si="1">SUM(D3/12)</f>
        <v>25</v>
      </c>
    </row>
    <row r="4" spans="1:5" x14ac:dyDescent="0.25">
      <c r="A4" s="102" t="s">
        <v>511</v>
      </c>
      <c r="B4" s="142">
        <v>3000</v>
      </c>
      <c r="C4" s="143">
        <v>6</v>
      </c>
      <c r="D4" s="105">
        <f t="shared" si="0"/>
        <v>500</v>
      </c>
      <c r="E4" s="107">
        <f t="shared" si="1"/>
        <v>41.666666666666664</v>
      </c>
    </row>
    <row r="5" spans="1:5" x14ac:dyDescent="0.25">
      <c r="A5" s="102" t="s">
        <v>512</v>
      </c>
      <c r="B5" s="142">
        <v>3000</v>
      </c>
      <c r="C5" s="143">
        <v>20</v>
      </c>
      <c r="D5" s="105">
        <f t="shared" si="0"/>
        <v>150</v>
      </c>
      <c r="E5" s="107">
        <f t="shared" si="1"/>
        <v>12.5</v>
      </c>
    </row>
    <row r="6" spans="1:5" x14ac:dyDescent="0.25">
      <c r="A6" s="102" t="s">
        <v>513</v>
      </c>
      <c r="B6" s="142">
        <v>1000</v>
      </c>
      <c r="C6" s="143">
        <v>10</v>
      </c>
      <c r="D6" s="105">
        <f t="shared" si="0"/>
        <v>100</v>
      </c>
      <c r="E6" s="107">
        <f t="shared" si="1"/>
        <v>8.3333333333333339</v>
      </c>
    </row>
    <row r="7" spans="1:5" x14ac:dyDescent="0.25">
      <c r="A7" s="102" t="s">
        <v>514</v>
      </c>
      <c r="B7" s="142">
        <v>1000</v>
      </c>
      <c r="C7" s="143">
        <v>8</v>
      </c>
      <c r="D7" s="105">
        <f t="shared" si="0"/>
        <v>125</v>
      </c>
      <c r="E7" s="107">
        <f t="shared" si="1"/>
        <v>10.416666666666666</v>
      </c>
    </row>
    <row r="8" spans="1:5" x14ac:dyDescent="0.25">
      <c r="A8" s="102" t="s">
        <v>515</v>
      </c>
      <c r="B8" s="142">
        <v>1000</v>
      </c>
      <c r="C8" s="143">
        <v>8</v>
      </c>
      <c r="D8" s="105">
        <f t="shared" si="0"/>
        <v>125</v>
      </c>
      <c r="E8" s="107">
        <f t="shared" si="1"/>
        <v>10.416666666666666</v>
      </c>
    </row>
    <row r="9" spans="1:5" x14ac:dyDescent="0.25">
      <c r="A9" s="102" t="s">
        <v>516</v>
      </c>
      <c r="B9" s="142">
        <v>1000</v>
      </c>
      <c r="C9" s="143">
        <v>10</v>
      </c>
      <c r="D9" s="105">
        <f t="shared" si="0"/>
        <v>100</v>
      </c>
      <c r="E9" s="107">
        <f t="shared" si="1"/>
        <v>8.3333333333333339</v>
      </c>
    </row>
    <row r="10" spans="1:5" x14ac:dyDescent="0.25">
      <c r="A10" s="102" t="s">
        <v>517</v>
      </c>
      <c r="B10" s="142">
        <v>3000</v>
      </c>
      <c r="C10" s="143">
        <v>30</v>
      </c>
      <c r="D10" s="105">
        <f t="shared" si="0"/>
        <v>100</v>
      </c>
      <c r="E10" s="107">
        <f t="shared" si="1"/>
        <v>8.3333333333333339</v>
      </c>
    </row>
    <row r="11" spans="1:5" x14ac:dyDescent="0.25">
      <c r="A11" s="102" t="s">
        <v>518</v>
      </c>
      <c r="B11" s="142">
        <v>1000</v>
      </c>
      <c r="C11" s="143">
        <v>20</v>
      </c>
      <c r="D11" s="105">
        <f t="shared" si="0"/>
        <v>50</v>
      </c>
      <c r="E11" s="107">
        <f t="shared" si="1"/>
        <v>4.166666666666667</v>
      </c>
    </row>
    <row r="12" spans="1:5" x14ac:dyDescent="0.25">
      <c r="A12" s="102" t="s">
        <v>519</v>
      </c>
      <c r="B12" s="142">
        <v>3000</v>
      </c>
      <c r="C12" s="143">
        <v>30</v>
      </c>
      <c r="D12" s="105">
        <f t="shared" si="0"/>
        <v>100</v>
      </c>
      <c r="E12" s="107">
        <f t="shared" si="1"/>
        <v>8.3333333333333339</v>
      </c>
    </row>
    <row r="13" spans="1:5" x14ac:dyDescent="0.25">
      <c r="A13" s="102" t="s">
        <v>520</v>
      </c>
      <c r="B13" s="142">
        <v>2000</v>
      </c>
      <c r="C13" s="143">
        <v>5</v>
      </c>
      <c r="D13" s="105">
        <f t="shared" si="0"/>
        <v>400</v>
      </c>
      <c r="E13" s="107">
        <f t="shared" si="1"/>
        <v>33.333333333333336</v>
      </c>
    </row>
    <row r="14" spans="1:5" ht="15.75" thickBot="1" x14ac:dyDescent="0.3">
      <c r="A14" s="102" t="s">
        <v>521</v>
      </c>
      <c r="B14" s="142">
        <v>500</v>
      </c>
      <c r="C14" s="143">
        <v>5</v>
      </c>
      <c r="D14" s="105">
        <f t="shared" si="0"/>
        <v>100</v>
      </c>
      <c r="E14" s="107">
        <f t="shared" si="1"/>
        <v>8.3333333333333339</v>
      </c>
    </row>
    <row r="15" spans="1:5" ht="15.75" thickBot="1" x14ac:dyDescent="0.3">
      <c r="A15" s="103" t="s">
        <v>526</v>
      </c>
      <c r="B15" s="106">
        <f>SUM(B2:B14)</f>
        <v>25500</v>
      </c>
      <c r="C15" s="104"/>
      <c r="D15" s="106">
        <f>SUM(D2:D14)</f>
        <v>2300</v>
      </c>
      <c r="E15" s="108">
        <f>SUM(E2:E14)</f>
        <v>191.66666666666669</v>
      </c>
    </row>
    <row r="16" spans="1:5" x14ac:dyDescent="0.25">
      <c r="E16" s="44"/>
    </row>
    <row r="19" spans="2:2" x14ac:dyDescent="0.25">
      <c r="B19" s="109"/>
    </row>
    <row r="20" spans="2:2" x14ac:dyDescent="0.25">
      <c r="B20" s="109"/>
    </row>
    <row r="21" spans="2:2" x14ac:dyDescent="0.25">
      <c r="B21" s="109"/>
    </row>
    <row r="22" spans="2:2" x14ac:dyDescent="0.25">
      <c r="B22" s="109"/>
    </row>
    <row r="23" spans="2:2" x14ac:dyDescent="0.25">
      <c r="B23" s="109"/>
    </row>
    <row r="24" spans="2:2" x14ac:dyDescent="0.25">
      <c r="B24" s="109"/>
    </row>
    <row r="25" spans="2:2" x14ac:dyDescent="0.25">
      <c r="B25" s="109"/>
    </row>
    <row r="26" spans="2:2" x14ac:dyDescent="0.25">
      <c r="B26" s="109"/>
    </row>
    <row r="27" spans="2:2" x14ac:dyDescent="0.25">
      <c r="B27" s="109"/>
    </row>
    <row r="28" spans="2:2" x14ac:dyDescent="0.25">
      <c r="B28" s="109"/>
    </row>
    <row r="29" spans="2:2" x14ac:dyDescent="0.25">
      <c r="B29" s="109"/>
    </row>
    <row r="30" spans="2:2" x14ac:dyDescent="0.25">
      <c r="B30" s="109"/>
    </row>
    <row r="31" spans="2:2" x14ac:dyDescent="0.25">
      <c r="B31" s="10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Analysis</vt:lpstr>
      <vt:lpstr>Amortization</vt:lpstr>
      <vt:lpstr>Display</vt:lpstr>
      <vt:lpstr>CapEx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shrsandersr</dc:creator>
  <cp:lastModifiedBy>Jason McKinley</cp:lastModifiedBy>
  <cp:lastPrinted>2016-04-24T22:05:00Z</cp:lastPrinted>
  <dcterms:created xsi:type="dcterms:W3CDTF">2016-04-20T00:51:48Z</dcterms:created>
  <dcterms:modified xsi:type="dcterms:W3CDTF">2016-06-12T05:31:24Z</dcterms:modified>
</cp:coreProperties>
</file>