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rkplace Townhomes Board_Treasurer\Annual Meeting\2026\"/>
    </mc:Choice>
  </mc:AlternateContent>
  <xr:revisionPtr revIDLastSave="0" documentId="13_ncr:1_{28A8B4C5-B5FA-4CD6-A155-4DA79CF923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TH HOA 2026 Budget" sheetId="1" r:id="rId1"/>
    <sheet name="PPTH HOA 2026 Budget Detail" sheetId="2" r:id="rId2"/>
    <sheet name="PPTH HOA 2025 Actuals" sheetId="3" r:id="rId3"/>
  </sheets>
  <definedNames>
    <definedName name="_xlnm.Print_Area" localSheetId="2">'PPTH HOA 2025 Actuals'!$A$1:$O$51</definedName>
    <definedName name="_xlnm.Print_Area" localSheetId="0">'PPTH HOA 2026 Budget'!$A$2:$G$126</definedName>
    <definedName name="_xlnm.Print_Area" localSheetId="1">'PPTH HOA 2026 Budget Detail'!$A$1:$O$51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3" l="1"/>
  <c r="O49" i="3"/>
  <c r="O48" i="3"/>
  <c r="O47" i="3"/>
  <c r="O39" i="3"/>
  <c r="O38" i="3"/>
  <c r="O36" i="3"/>
  <c r="O33" i="3"/>
  <c r="O28" i="3"/>
  <c r="O27" i="3"/>
  <c r="O26" i="3"/>
  <c r="O24" i="3"/>
  <c r="O22" i="3"/>
  <c r="O21" i="3"/>
  <c r="O17" i="3"/>
  <c r="O16" i="3"/>
  <c r="O12" i="3"/>
  <c r="O11" i="3"/>
  <c r="O10" i="3"/>
  <c r="L49" i="3"/>
  <c r="L50" i="3" s="1"/>
  <c r="L43" i="3"/>
  <c r="L42" i="3"/>
  <c r="L41" i="3"/>
  <c r="L40" i="3"/>
  <c r="L44" i="3" s="1"/>
  <c r="L35" i="3"/>
  <c r="L37" i="3" s="1"/>
  <c r="L34" i="3"/>
  <c r="L31" i="3"/>
  <c r="L29" i="3"/>
  <c r="L32" i="3" s="1"/>
  <c r="L25" i="3"/>
  <c r="L19" i="3"/>
  <c r="L20" i="3" s="1"/>
  <c r="L45" i="3" s="1"/>
  <c r="L13" i="3"/>
  <c r="L9" i="3"/>
  <c r="L8" i="3"/>
  <c r="L14" i="3" s="1"/>
  <c r="L15" i="3" s="1"/>
  <c r="J8" i="3"/>
  <c r="J9" i="3"/>
  <c r="J10" i="3"/>
  <c r="N10" i="3" s="1"/>
  <c r="J13" i="3"/>
  <c r="J19" i="3"/>
  <c r="J20" i="3"/>
  <c r="J21" i="3"/>
  <c r="J25" i="3"/>
  <c r="J29" i="3"/>
  <c r="J32" i="3"/>
  <c r="J34" i="3"/>
  <c r="J37" i="3" s="1"/>
  <c r="J35" i="3"/>
  <c r="J40" i="3"/>
  <c r="J41" i="3"/>
  <c r="J42" i="3"/>
  <c r="J43" i="3"/>
  <c r="J44" i="3"/>
  <c r="J49" i="3"/>
  <c r="J50" i="3"/>
  <c r="M49" i="3"/>
  <c r="M50" i="3" s="1"/>
  <c r="K49" i="3"/>
  <c r="K50" i="3" s="1"/>
  <c r="I49" i="3"/>
  <c r="I50" i="3" s="1"/>
  <c r="G49" i="3"/>
  <c r="G50" i="3" s="1"/>
  <c r="F49" i="3"/>
  <c r="F50" i="3" s="1"/>
  <c r="E49" i="3"/>
  <c r="E50" i="3" s="1"/>
  <c r="D49" i="3"/>
  <c r="D50" i="3" s="1"/>
  <c r="B49" i="3"/>
  <c r="B50" i="3" s="1"/>
  <c r="H48" i="3"/>
  <c r="H49" i="3" s="1"/>
  <c r="H50" i="3" s="1"/>
  <c r="C48" i="3"/>
  <c r="C49" i="3" s="1"/>
  <c r="K43" i="3"/>
  <c r="H43" i="3"/>
  <c r="G43" i="3"/>
  <c r="E43" i="3"/>
  <c r="D43" i="3"/>
  <c r="C43" i="3"/>
  <c r="B43" i="3"/>
  <c r="K42" i="3"/>
  <c r="I42" i="3"/>
  <c r="H42" i="3"/>
  <c r="G42" i="3"/>
  <c r="F42" i="3"/>
  <c r="E42" i="3"/>
  <c r="D42" i="3"/>
  <c r="C42" i="3"/>
  <c r="B42" i="3"/>
  <c r="K41" i="3"/>
  <c r="I41" i="3"/>
  <c r="H41" i="3"/>
  <c r="G41" i="3"/>
  <c r="F41" i="3"/>
  <c r="E41" i="3"/>
  <c r="D41" i="3"/>
  <c r="C41" i="3"/>
  <c r="B41" i="3"/>
  <c r="K40" i="3"/>
  <c r="I40" i="3"/>
  <c r="H40" i="3"/>
  <c r="G40" i="3"/>
  <c r="F40" i="3"/>
  <c r="E40" i="3"/>
  <c r="C40" i="3"/>
  <c r="B40" i="3"/>
  <c r="E39" i="3"/>
  <c r="D39" i="3"/>
  <c r="N39" i="3" s="1"/>
  <c r="N38" i="3"/>
  <c r="K36" i="3"/>
  <c r="I35" i="3"/>
  <c r="G35" i="3"/>
  <c r="E35" i="3"/>
  <c r="E37" i="3" s="1"/>
  <c r="D35" i="3"/>
  <c r="M37" i="3"/>
  <c r="K34" i="3"/>
  <c r="I34" i="3"/>
  <c r="I37" i="3" s="1"/>
  <c r="H34" i="3"/>
  <c r="H37" i="3" s="1"/>
  <c r="G34" i="3"/>
  <c r="F34" i="3"/>
  <c r="F37" i="3" s="1"/>
  <c r="E34" i="3"/>
  <c r="D34" i="3"/>
  <c r="C34" i="3"/>
  <c r="C37" i="3" s="1"/>
  <c r="B34" i="3"/>
  <c r="B37" i="3" s="1"/>
  <c r="N33" i="3"/>
  <c r="I31" i="3"/>
  <c r="G31" i="3"/>
  <c r="F31" i="3"/>
  <c r="E31" i="3"/>
  <c r="D31" i="3"/>
  <c r="C31" i="3"/>
  <c r="B31" i="3"/>
  <c r="N30" i="3"/>
  <c r="O30" i="3" s="1"/>
  <c r="K29" i="3"/>
  <c r="K32" i="3" s="1"/>
  <c r="I29" i="3"/>
  <c r="H29" i="3"/>
  <c r="G29" i="3"/>
  <c r="F29" i="3"/>
  <c r="E29" i="3"/>
  <c r="D29" i="3"/>
  <c r="C29" i="3"/>
  <c r="B29" i="3"/>
  <c r="B32" i="3" s="1"/>
  <c r="N28" i="3"/>
  <c r="H27" i="3"/>
  <c r="D27" i="3"/>
  <c r="N27" i="3" s="1"/>
  <c r="N26" i="3"/>
  <c r="M25" i="3"/>
  <c r="K25" i="3"/>
  <c r="I25" i="3"/>
  <c r="H25" i="3"/>
  <c r="G25" i="3"/>
  <c r="E25" i="3"/>
  <c r="D25" i="3"/>
  <c r="C25" i="3"/>
  <c r="B25" i="3"/>
  <c r="F24" i="3"/>
  <c r="F25" i="3" s="1"/>
  <c r="K23" i="3"/>
  <c r="N23" i="3" s="1"/>
  <c r="O23" i="3" s="1"/>
  <c r="N22" i="3"/>
  <c r="M20" i="3"/>
  <c r="K19" i="3"/>
  <c r="I19" i="3"/>
  <c r="I20" i="3" s="1"/>
  <c r="H19" i="3"/>
  <c r="H20" i="3" s="1"/>
  <c r="G19" i="3"/>
  <c r="G20" i="3" s="1"/>
  <c r="F19" i="3"/>
  <c r="F20" i="3" s="1"/>
  <c r="E19" i="3"/>
  <c r="D19" i="3"/>
  <c r="C19" i="3"/>
  <c r="C20" i="3" s="1"/>
  <c r="B19" i="3"/>
  <c r="B20" i="3" s="1"/>
  <c r="K18" i="3"/>
  <c r="E18" i="3"/>
  <c r="D18" i="3"/>
  <c r="K13" i="3"/>
  <c r="I13" i="3"/>
  <c r="H13" i="3"/>
  <c r="G13" i="3"/>
  <c r="F13" i="3"/>
  <c r="E13" i="3"/>
  <c r="D13" i="3"/>
  <c r="C13" i="3"/>
  <c r="B13" i="3"/>
  <c r="D12" i="3"/>
  <c r="N12" i="3" s="1"/>
  <c r="G11" i="3"/>
  <c r="N11" i="3" s="1"/>
  <c r="K9" i="3"/>
  <c r="I9" i="3"/>
  <c r="H9" i="3"/>
  <c r="G9" i="3"/>
  <c r="F9" i="3"/>
  <c r="E9" i="3"/>
  <c r="D9" i="3"/>
  <c r="C9" i="3"/>
  <c r="B9" i="3"/>
  <c r="K8" i="3"/>
  <c r="I8" i="3"/>
  <c r="H8" i="3"/>
  <c r="G8" i="3"/>
  <c r="F8" i="3"/>
  <c r="E8" i="3"/>
  <c r="D8" i="3"/>
  <c r="C8" i="3"/>
  <c r="B8" i="3"/>
  <c r="G50" i="2"/>
  <c r="F50" i="2"/>
  <c r="M49" i="2"/>
  <c r="M50" i="2" s="1"/>
  <c r="L49" i="2"/>
  <c r="L50" i="2" s="1"/>
  <c r="K49" i="2"/>
  <c r="K50" i="2" s="1"/>
  <c r="J49" i="2"/>
  <c r="J50" i="2" s="1"/>
  <c r="I49" i="2"/>
  <c r="I50" i="2" s="1"/>
  <c r="H49" i="2"/>
  <c r="H50" i="2" s="1"/>
  <c r="G49" i="2"/>
  <c r="F49" i="2"/>
  <c r="E49" i="2"/>
  <c r="E50" i="2" s="1"/>
  <c r="D49" i="2"/>
  <c r="D50" i="2" s="1"/>
  <c r="C49" i="2"/>
  <c r="C50" i="2" s="1"/>
  <c r="B49" i="2"/>
  <c r="B50" i="2" s="1"/>
  <c r="N48" i="2"/>
  <c r="O48" i="2" s="1"/>
  <c r="M44" i="2"/>
  <c r="L44" i="2"/>
  <c r="K44" i="2"/>
  <c r="J44" i="2"/>
  <c r="I44" i="2"/>
  <c r="H44" i="2"/>
  <c r="G44" i="2"/>
  <c r="F44" i="2"/>
  <c r="E44" i="2"/>
  <c r="D44" i="2"/>
  <c r="C44" i="2"/>
  <c r="B44" i="2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O36" i="2" s="1"/>
  <c r="N35" i="2"/>
  <c r="O35" i="2" s="1"/>
  <c r="N34" i="2"/>
  <c r="O34" i="2" s="1"/>
  <c r="N33" i="2"/>
  <c r="O33" i="2" s="1"/>
  <c r="M32" i="2"/>
  <c r="L32" i="2"/>
  <c r="K32" i="2"/>
  <c r="J32" i="2"/>
  <c r="I32" i="2"/>
  <c r="H32" i="2"/>
  <c r="G32" i="2"/>
  <c r="F32" i="2"/>
  <c r="E32" i="2"/>
  <c r="E45" i="2" s="1"/>
  <c r="D32" i="2"/>
  <c r="D45" i="2" s="1"/>
  <c r="C32" i="2"/>
  <c r="B32" i="2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M25" i="2"/>
  <c r="L25" i="2"/>
  <c r="K25" i="2"/>
  <c r="J25" i="2"/>
  <c r="I25" i="2"/>
  <c r="H25" i="2"/>
  <c r="G25" i="2"/>
  <c r="G45" i="2" s="1"/>
  <c r="F25" i="2"/>
  <c r="E25" i="2"/>
  <c r="D25" i="2"/>
  <c r="C25" i="2"/>
  <c r="B25" i="2"/>
  <c r="N25" i="2" s="1"/>
  <c r="O25" i="2" s="1"/>
  <c r="N24" i="2"/>
  <c r="O24" i="2" s="1"/>
  <c r="N23" i="2"/>
  <c r="O23" i="2" s="1"/>
  <c r="O22" i="2"/>
  <c r="M21" i="2"/>
  <c r="M45" i="2" s="1"/>
  <c r="L21" i="2"/>
  <c r="K21" i="2"/>
  <c r="J21" i="2"/>
  <c r="I21" i="2"/>
  <c r="H21" i="2"/>
  <c r="G21" i="2"/>
  <c r="F21" i="2"/>
  <c r="E21" i="2"/>
  <c r="D21" i="2"/>
  <c r="C21" i="2"/>
  <c r="C45" i="2" s="1"/>
  <c r="B21" i="2"/>
  <c r="N21" i="2" s="1"/>
  <c r="O21" i="2" s="1"/>
  <c r="O20" i="2"/>
  <c r="N20" i="2"/>
  <c r="N19" i="2"/>
  <c r="O19" i="2" s="1"/>
  <c r="N18" i="2"/>
  <c r="O18" i="2" s="1"/>
  <c r="M14" i="2"/>
  <c r="M15" i="2" s="1"/>
  <c r="M46" i="2" s="1"/>
  <c r="M51" i="2" s="1"/>
  <c r="L14" i="2"/>
  <c r="L15" i="2" s="1"/>
  <c r="K14" i="2"/>
  <c r="K15" i="2" s="1"/>
  <c r="J14" i="2"/>
  <c r="J15" i="2" s="1"/>
  <c r="I14" i="2"/>
  <c r="I15" i="2" s="1"/>
  <c r="H14" i="2"/>
  <c r="H15" i="2" s="1"/>
  <c r="G14" i="2"/>
  <c r="G15" i="2" s="1"/>
  <c r="F14" i="2"/>
  <c r="F15" i="2" s="1"/>
  <c r="E14" i="2"/>
  <c r="E15" i="2" s="1"/>
  <c r="E46" i="2" s="1"/>
  <c r="E51" i="2" s="1"/>
  <c r="D14" i="2"/>
  <c r="D15" i="2" s="1"/>
  <c r="C14" i="2"/>
  <c r="C15" i="2" s="1"/>
  <c r="B14" i="2"/>
  <c r="O13" i="2"/>
  <c r="N13" i="2"/>
  <c r="O12" i="2"/>
  <c r="N12" i="2"/>
  <c r="N11" i="2"/>
  <c r="O11" i="2" s="1"/>
  <c r="N10" i="2"/>
  <c r="O10" i="2" s="1"/>
  <c r="N9" i="2"/>
  <c r="O9" i="2" s="1"/>
  <c r="N8" i="2"/>
  <c r="O8" i="2" s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70" i="1"/>
  <c r="F54" i="1"/>
  <c r="G5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24" i="1"/>
  <c r="F16" i="1"/>
  <c r="F19" i="1"/>
  <c r="F65" i="1"/>
  <c r="L46" i="3" l="1"/>
  <c r="L51" i="3" s="1"/>
  <c r="C32" i="3"/>
  <c r="E32" i="3"/>
  <c r="F32" i="3"/>
  <c r="G32" i="3"/>
  <c r="J45" i="3"/>
  <c r="N43" i="3"/>
  <c r="O43" i="3" s="1"/>
  <c r="N21" i="3"/>
  <c r="J14" i="3"/>
  <c r="J15" i="3" s="1"/>
  <c r="J46" i="3" s="1"/>
  <c r="J51" i="3" s="1"/>
  <c r="N36" i="3"/>
  <c r="G44" i="3"/>
  <c r="H14" i="3"/>
  <c r="H15" i="3" s="1"/>
  <c r="N40" i="3"/>
  <c r="O40" i="3" s="1"/>
  <c r="N41" i="3"/>
  <c r="O41" i="3" s="1"/>
  <c r="N25" i="3"/>
  <c r="O25" i="3" s="1"/>
  <c r="E44" i="3"/>
  <c r="K37" i="3"/>
  <c r="D44" i="3"/>
  <c r="C44" i="3"/>
  <c r="F44" i="3"/>
  <c r="F45" i="3" s="1"/>
  <c r="I44" i="3"/>
  <c r="K14" i="3"/>
  <c r="K15" i="3" s="1"/>
  <c r="M14" i="3"/>
  <c r="M15" i="3" s="1"/>
  <c r="H32" i="3"/>
  <c r="H45" i="3" s="1"/>
  <c r="H46" i="3" s="1"/>
  <c r="H51" i="3" s="1"/>
  <c r="M32" i="3"/>
  <c r="N9" i="3"/>
  <c r="O9" i="3" s="1"/>
  <c r="B14" i="3"/>
  <c r="B15" i="3" s="1"/>
  <c r="C14" i="3"/>
  <c r="C15" i="3" s="1"/>
  <c r="D37" i="3"/>
  <c r="N37" i="3" s="1"/>
  <c r="O37" i="3" s="1"/>
  <c r="H44" i="3"/>
  <c r="D14" i="3"/>
  <c r="D15" i="3" s="1"/>
  <c r="D20" i="3"/>
  <c r="E14" i="3"/>
  <c r="E15" i="3" s="1"/>
  <c r="N13" i="3"/>
  <c r="O13" i="3" s="1"/>
  <c r="E20" i="3"/>
  <c r="N35" i="3"/>
  <c r="O35" i="3" s="1"/>
  <c r="F14" i="3"/>
  <c r="F15" i="3" s="1"/>
  <c r="K20" i="3"/>
  <c r="G37" i="3"/>
  <c r="G14" i="3"/>
  <c r="G15" i="3" s="1"/>
  <c r="K44" i="3"/>
  <c r="M44" i="3"/>
  <c r="I14" i="3"/>
  <c r="I15" i="3" s="1"/>
  <c r="I32" i="3"/>
  <c r="N31" i="3"/>
  <c r="O31" i="3" s="1"/>
  <c r="H45" i="2"/>
  <c r="I45" i="2"/>
  <c r="J45" i="2"/>
  <c r="J46" i="2" s="1"/>
  <c r="J51" i="2" s="1"/>
  <c r="K45" i="2"/>
  <c r="K46" i="2" s="1"/>
  <c r="K51" i="2" s="1"/>
  <c r="G46" i="2"/>
  <c r="G51" i="2" s="1"/>
  <c r="L45" i="2"/>
  <c r="N37" i="2"/>
  <c r="O37" i="2" s="1"/>
  <c r="H46" i="2"/>
  <c r="H51" i="2" s="1"/>
  <c r="I46" i="2"/>
  <c r="I51" i="2" s="1"/>
  <c r="L46" i="2"/>
  <c r="L51" i="2" s="1"/>
  <c r="C50" i="3"/>
  <c r="N50" i="3" s="1"/>
  <c r="N49" i="3"/>
  <c r="C45" i="3"/>
  <c r="C46" i="3" s="1"/>
  <c r="N18" i="3"/>
  <c r="O18" i="3" s="1"/>
  <c r="B44" i="3"/>
  <c r="B45" i="3" s="1"/>
  <c r="N19" i="3"/>
  <c r="O19" i="3" s="1"/>
  <c r="D32" i="3"/>
  <c r="N34" i="3"/>
  <c r="O34" i="3" s="1"/>
  <c r="N8" i="3"/>
  <c r="O8" i="3" s="1"/>
  <c r="N42" i="3"/>
  <c r="O42" i="3" s="1"/>
  <c r="N24" i="3"/>
  <c r="N29" i="3"/>
  <c r="O29" i="3" s="1"/>
  <c r="N44" i="2"/>
  <c r="O44" i="2" s="1"/>
  <c r="B45" i="2"/>
  <c r="B15" i="2"/>
  <c r="N14" i="2"/>
  <c r="O14" i="2" s="1"/>
  <c r="C46" i="2"/>
  <c r="C51" i="2" s="1"/>
  <c r="D46" i="2"/>
  <c r="D51" i="2" s="1"/>
  <c r="F45" i="2"/>
  <c r="F46" i="2" s="1"/>
  <c r="F51" i="2" s="1"/>
  <c r="N50" i="2"/>
  <c r="O50" i="2" s="1"/>
  <c r="N32" i="2"/>
  <c r="O32" i="2" s="1"/>
  <c r="N49" i="2"/>
  <c r="O49" i="2" s="1"/>
  <c r="E54" i="1"/>
  <c r="F20" i="1"/>
  <c r="G45" i="3" l="1"/>
  <c r="G46" i="3" s="1"/>
  <c r="G51" i="3" s="1"/>
  <c r="K45" i="3"/>
  <c r="K46" i="3" s="1"/>
  <c r="K51" i="3" s="1"/>
  <c r="F46" i="3"/>
  <c r="F51" i="3" s="1"/>
  <c r="N20" i="3"/>
  <c r="O20" i="3" s="1"/>
  <c r="E45" i="3"/>
  <c r="E46" i="3" s="1"/>
  <c r="E51" i="3" s="1"/>
  <c r="I45" i="3"/>
  <c r="I46" i="3" s="1"/>
  <c r="I51" i="3" s="1"/>
  <c r="M45" i="3"/>
  <c r="M46" i="3" s="1"/>
  <c r="M51" i="3" s="1"/>
  <c r="N32" i="3"/>
  <c r="O32" i="3" s="1"/>
  <c r="N44" i="3"/>
  <c r="O44" i="3" s="1"/>
  <c r="N14" i="3"/>
  <c r="O14" i="3" s="1"/>
  <c r="B46" i="3"/>
  <c r="N15" i="3"/>
  <c r="O15" i="3" s="1"/>
  <c r="D45" i="3"/>
  <c r="D46" i="3" s="1"/>
  <c r="D51" i="3" s="1"/>
  <c r="C51" i="3"/>
  <c r="N15" i="2"/>
  <c r="O15" i="2" s="1"/>
  <c r="B46" i="2"/>
  <c r="N45" i="2"/>
  <c r="O45" i="2" s="1"/>
  <c r="D40" i="1"/>
  <c r="D86" i="1" s="1"/>
  <c r="E86" i="1" s="1"/>
  <c r="F6" i="1"/>
  <c r="F8" i="1" s="1"/>
  <c r="D25" i="1"/>
  <c r="D71" i="1" s="1"/>
  <c r="E71" i="1" s="1"/>
  <c r="D37" i="1"/>
  <c r="D83" i="1" s="1"/>
  <c r="E83" i="1" s="1"/>
  <c r="D49" i="1"/>
  <c r="D95" i="1" s="1"/>
  <c r="E95" i="1" s="1"/>
  <c r="D26" i="1"/>
  <c r="D72" i="1" s="1"/>
  <c r="E72" i="1" s="1"/>
  <c r="D38" i="1"/>
  <c r="D84" i="1" s="1"/>
  <c r="E84" i="1" s="1"/>
  <c r="D27" i="1"/>
  <c r="D73" i="1" s="1"/>
  <c r="E73" i="1" s="1"/>
  <c r="D29" i="1"/>
  <c r="D75" i="1" s="1"/>
  <c r="E75" i="1" s="1"/>
  <c r="D39" i="1"/>
  <c r="D85" i="1" s="1"/>
  <c r="E85" i="1" s="1"/>
  <c r="D41" i="1"/>
  <c r="D87" i="1" s="1"/>
  <c r="E87" i="1" s="1"/>
  <c r="D51" i="1"/>
  <c r="D97" i="1" s="1"/>
  <c r="E97" i="1" s="1"/>
  <c r="D53" i="1"/>
  <c r="D99" i="1" s="1"/>
  <c r="E99" i="1" s="1"/>
  <c r="D28" i="1"/>
  <c r="D74" i="1" s="1"/>
  <c r="E74" i="1" s="1"/>
  <c r="D36" i="1"/>
  <c r="D82" i="1" s="1"/>
  <c r="E82" i="1" s="1"/>
  <c r="D30" i="1"/>
  <c r="D76" i="1" s="1"/>
  <c r="E76" i="1" s="1"/>
  <c r="D42" i="1"/>
  <c r="D88" i="1" s="1"/>
  <c r="E88" i="1" s="1"/>
  <c r="D24" i="1"/>
  <c r="D31" i="1"/>
  <c r="D77" i="1" s="1"/>
  <c r="E77" i="1" s="1"/>
  <c r="D32" i="1"/>
  <c r="D78" i="1" s="1"/>
  <c r="E78" i="1" s="1"/>
  <c r="D33" i="1"/>
  <c r="D79" i="1" s="1"/>
  <c r="E79" i="1" s="1"/>
  <c r="D35" i="1"/>
  <c r="D81" i="1" s="1"/>
  <c r="E81" i="1" s="1"/>
  <c r="D43" i="1"/>
  <c r="D89" i="1" s="1"/>
  <c r="E89" i="1" s="1"/>
  <c r="D44" i="1"/>
  <c r="D90" i="1" s="1"/>
  <c r="E90" i="1" s="1"/>
  <c r="D45" i="1"/>
  <c r="D91" i="1" s="1"/>
  <c r="E91" i="1" s="1"/>
  <c r="D34" i="1"/>
  <c r="D80" i="1" s="1"/>
  <c r="E80" i="1" s="1"/>
  <c r="D46" i="1"/>
  <c r="D92" i="1" s="1"/>
  <c r="E92" i="1" s="1"/>
  <c r="D47" i="1"/>
  <c r="D93" i="1" s="1"/>
  <c r="E93" i="1" s="1"/>
  <c r="D50" i="1"/>
  <c r="D96" i="1" s="1"/>
  <c r="E96" i="1" s="1"/>
  <c r="D48" i="1"/>
  <c r="D94" i="1" s="1"/>
  <c r="E94" i="1" s="1"/>
  <c r="D52" i="1"/>
  <c r="D98" i="1" s="1"/>
  <c r="E98" i="1" s="1"/>
  <c r="N45" i="3" l="1"/>
  <c r="O45" i="3" s="1"/>
  <c r="B51" i="3"/>
  <c r="N51" i="3" s="1"/>
  <c r="O51" i="3" s="1"/>
  <c r="N46" i="3"/>
  <c r="O46" i="3" s="1"/>
  <c r="B51" i="2"/>
  <c r="N51" i="2" s="1"/>
  <c r="O51" i="2" s="1"/>
  <c r="N46" i="2"/>
  <c r="O46" i="2" s="1"/>
  <c r="D70" i="1"/>
  <c r="D54" i="1"/>
  <c r="E70" i="1" l="1"/>
  <c r="E100" i="1" s="1"/>
  <c r="D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Mayher</author>
  </authors>
  <commentList>
    <comment ref="F59" authorId="0" shapeId="0" xr:uid="{70F9499F-426A-4659-B14A-264545D667A7}">
      <text>
        <r>
          <rPr>
            <b/>
            <sz val="9"/>
            <color indexed="81"/>
            <rFont val="Tahoma"/>
            <family val="2"/>
          </rPr>
          <t>$32,508 was originally budget, adjusted to $31,524 later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<sst xmlns="http://schemas.openxmlformats.org/spreadsheetml/2006/main" count="181" uniqueCount="105">
  <si>
    <t>Projected income by category</t>
  </si>
  <si>
    <t>Projected expenses by category</t>
  </si>
  <si>
    <t>Common Expenses</t>
  </si>
  <si>
    <t>Unit</t>
  </si>
  <si>
    <t>% interest</t>
  </si>
  <si>
    <t xml:space="preserve">full year </t>
  </si>
  <si>
    <t>NO _____</t>
  </si>
  <si>
    <t>Reserve Study's Fully Funded Balance:</t>
  </si>
  <si>
    <t>total</t>
  </si>
  <si>
    <t>subtotal</t>
  </si>
  <si>
    <t>Budgeted Reserve Contribution:</t>
  </si>
  <si>
    <t xml:space="preserve">The deficiency (surplus) in reserves total: </t>
  </si>
  <si>
    <t>DEFICIENCY</t>
  </si>
  <si>
    <t xml:space="preserve">Recommended Reserve Contribution: </t>
  </si>
  <si>
    <t>Does the budget meet the Reserve Study's Recommendation?</t>
  </si>
  <si>
    <t>YES _____</t>
  </si>
  <si>
    <t>Total income</t>
  </si>
  <si>
    <t>Total Expenses</t>
  </si>
  <si>
    <t xml:space="preserve">The deficiency (surplus) in Reserves for each Unit: </t>
  </si>
  <si>
    <t>We have a Reserve Study that meets requirements of RCW 64.90.550</t>
  </si>
  <si>
    <t>Monthly Jan - Feb</t>
  </si>
  <si>
    <t>Monthly Mar - Dec</t>
  </si>
  <si>
    <t>Administration</t>
  </si>
  <si>
    <t>Insurance</t>
  </si>
  <si>
    <t>Maintenance &amp; Repairs</t>
  </si>
  <si>
    <t>Professional Fees</t>
  </si>
  <si>
    <t>Utilities</t>
  </si>
  <si>
    <t>Reserve Fund Expense</t>
  </si>
  <si>
    <t>Regular Dues</t>
  </si>
  <si>
    <t>NO X</t>
  </si>
  <si>
    <t>2026 Budget Disclosure for WUCIOA</t>
  </si>
  <si>
    <t>Park Place Townhomes Association</t>
  </si>
  <si>
    <t>YES X</t>
  </si>
  <si>
    <t>*There's no request for homeowners to makeup this deficiency, it's just required for us to reflect the allocation</t>
  </si>
  <si>
    <t xml:space="preserve">   Due the First Day of Each Month</t>
  </si>
  <si>
    <t xml:space="preserve">Budgets: FY_2026 - FY26 P&amp;L </t>
  </si>
  <si>
    <t>January - December, 2026</t>
  </si>
  <si>
    <t>Dec 2026</t>
  </si>
  <si>
    <t>Actual</t>
  </si>
  <si>
    <t>Actual Avg</t>
  </si>
  <si>
    <t>Income</t>
  </si>
  <si>
    <t xml:space="preserve">   Homeowner's Dues</t>
  </si>
  <si>
    <t xml:space="preserve">   Interest Income</t>
  </si>
  <si>
    <t xml:space="preserve">   MIsc. Income</t>
  </si>
  <si>
    <t xml:space="preserve">   NSF Fee</t>
  </si>
  <si>
    <t xml:space="preserve">   Resale Certificate</t>
  </si>
  <si>
    <t>Total Income</t>
  </si>
  <si>
    <t>Gross Profit</t>
  </si>
  <si>
    <t>Expenses</t>
  </si>
  <si>
    <t xml:space="preserve">   Administration</t>
  </si>
  <si>
    <t xml:space="preserve">      Board expenses</t>
  </si>
  <si>
    <t xml:space="preserve">      Coporation Dues</t>
  </si>
  <si>
    <t xml:space="preserve">      Office supplies and expenses</t>
  </si>
  <si>
    <t xml:space="preserve">   Total Administration</t>
  </si>
  <si>
    <t xml:space="preserve">   Insurance</t>
  </si>
  <si>
    <t xml:space="preserve">      Building Insurance</t>
  </si>
  <si>
    <t xml:space="preserve">      Flood Insurance</t>
  </si>
  <si>
    <t xml:space="preserve">   Total Insurance</t>
  </si>
  <si>
    <t xml:space="preserve">   Maintenance &amp; Repairs</t>
  </si>
  <si>
    <t xml:space="preserve">      Building maintenance</t>
  </si>
  <si>
    <t xml:space="preserve">      Equipment repairs &amp; maintenance</t>
  </si>
  <si>
    <t xml:space="preserve">      Grounds maintenance</t>
  </si>
  <si>
    <t xml:space="preserve">      Parking lot maintenance</t>
  </si>
  <si>
    <t xml:space="preserve">      Pest Control</t>
  </si>
  <si>
    <t xml:space="preserve">   Total Maintenance &amp; Repairs</t>
  </si>
  <si>
    <t xml:space="preserve">   Professional Fees</t>
  </si>
  <si>
    <t xml:space="preserve">      Accounting fees</t>
  </si>
  <si>
    <t xml:space="preserve">      Attorney</t>
  </si>
  <si>
    <t xml:space="preserve">      Consulting</t>
  </si>
  <si>
    <t xml:space="preserve">   Total Professional Fees</t>
  </si>
  <si>
    <t xml:space="preserve">   Utilities</t>
  </si>
  <si>
    <t xml:space="preserve">      Alarm Monitoring</t>
  </si>
  <si>
    <t xml:space="preserve">      Electricity</t>
  </si>
  <si>
    <t xml:space="preserve">      Garbage service</t>
  </si>
  <si>
    <t xml:space="preserve">      Phone</t>
  </si>
  <si>
    <t xml:space="preserve">      Water</t>
  </si>
  <si>
    <t xml:space="preserve">   Total Utilities</t>
  </si>
  <si>
    <t>Net Operating Income</t>
  </si>
  <si>
    <t>Other Expenses</t>
  </si>
  <si>
    <t xml:space="preserve">   Annual Projects-Reserve Funds</t>
  </si>
  <si>
    <t>Total Other Expenses</t>
  </si>
  <si>
    <t>Net Other Income</t>
  </si>
  <si>
    <t>Net Income</t>
  </si>
  <si>
    <t>Park Place Home Owners Association</t>
  </si>
  <si>
    <t xml:space="preserve">Actuals: FY_2025 - FY25 P&amp;L 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</si>
  <si>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</si>
  <si>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</si>
  <si>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</si>
  <si>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</si>
  <si>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</si>
  <si>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</si>
  <si>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</si>
  <si>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</si>
  <si>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</si>
  <si>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</si>
  <si>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</si>
  <si>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 xml:space="preserve">   Unapplied Cash Payment Income</t>
  </si>
  <si>
    <t xml:space="preserve">   Coporation Dues</t>
  </si>
  <si>
    <t>covers past dues, legal fees, interest &amp; late fees</t>
  </si>
  <si>
    <t>Past Dues, Legal Fee Reimb, Late Fees &amp; Int</t>
  </si>
  <si>
    <t>Dec 2025</t>
  </si>
  <si>
    <t>January - December, 2025</t>
  </si>
  <si>
    <t xml:space="preserve">Actual Reserve Balance at time of study: </t>
  </si>
  <si>
    <t>Townhome</t>
  </si>
  <si>
    <t>Assessments per Townhome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</si>
</sst>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0\ _€"/>
    <numFmt numFmtId="166" formatCode="&quot;$&quot;* 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6600"/>
      <name val="Arial"/>
      <family val="2"/>
    </font>
    <font>
      <b/>
      <sz val="10"/>
      <color rgb="FF006600"/>
      <name val="Arial"/>
      <family val="2"/>
    </font>
    <font>
      <b/>
      <sz val="10"/>
      <color rgb="FF0033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CC0099"/>
      <name val="Arial"/>
      <family val="2"/>
    </font>
    <font>
      <sz val="10"/>
      <color rgb="FFCC0099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9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0" fontId="6" fillId="0" borderId="0" xfId="0" applyFont="1" applyAlignment="1">
      <alignment horizontal="right"/>
    </xf>
    <xf numFmtId="164" fontId="6" fillId="0" borderId="0" xfId="1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164" fontId="3" fillId="0" borderId="0" xfId="0" applyNumberFormat="1" applyFont="1"/>
    <xf numFmtId="164" fontId="8" fillId="0" borderId="0" xfId="0" applyNumberFormat="1" applyFont="1"/>
    <xf numFmtId="9" fontId="4" fillId="0" borderId="0" xfId="0" applyNumberFormat="1" applyFont="1"/>
    <xf numFmtId="9" fontId="4" fillId="0" borderId="0" xfId="0" applyNumberFormat="1" applyFont="1" applyAlignment="1">
      <alignment horizontal="center"/>
    </xf>
    <xf numFmtId="164" fontId="4" fillId="0" borderId="0" xfId="1" applyNumberFormat="1" applyFont="1"/>
    <xf numFmtId="164" fontId="9" fillId="0" borderId="0" xfId="1" applyNumberFormat="1" applyFont="1"/>
    <xf numFmtId="9" fontId="3" fillId="0" borderId="0" xfId="0" applyNumberFormat="1" applyFont="1"/>
    <xf numFmtId="164" fontId="3" fillId="0" borderId="0" xfId="1" applyNumberFormat="1" applyFont="1"/>
    <xf numFmtId="44" fontId="3" fillId="0" borderId="0" xfId="1" applyFont="1"/>
    <xf numFmtId="0" fontId="10" fillId="0" borderId="0" xfId="0" applyFont="1"/>
    <xf numFmtId="0" fontId="11" fillId="0" borderId="0" xfId="0" applyFont="1"/>
    <xf numFmtId="164" fontId="11" fillId="0" borderId="0" xfId="1" applyNumberFormat="1" applyFont="1"/>
    <xf numFmtId="164" fontId="10" fillId="0" borderId="0" xfId="0" applyNumberFormat="1" applyFont="1"/>
    <xf numFmtId="164" fontId="11" fillId="0" borderId="0" xfId="0" applyNumberFormat="1" applyFont="1"/>
    <xf numFmtId="0" fontId="12" fillId="0" borderId="0" xfId="0" applyFont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9" fontId="3" fillId="0" borderId="0" xfId="2" applyFont="1" applyAlignment="1">
      <alignment horizontal="center" vertical="center"/>
    </xf>
    <xf numFmtId="164" fontId="14" fillId="0" borderId="0" xfId="0" applyNumberFormat="1" applyFont="1"/>
    <xf numFmtId="0" fontId="15" fillId="0" borderId="0" xfId="0" applyFont="1"/>
    <xf numFmtId="0" fontId="7" fillId="0" borderId="0" xfId="0" applyFont="1" applyAlignment="1">
      <alignment horizontal="left"/>
    </xf>
    <xf numFmtId="0" fontId="16" fillId="0" borderId="0" xfId="3"/>
    <xf numFmtId="0" fontId="16" fillId="0" borderId="0" xfId="3" applyAlignment="1">
      <alignment wrapText="1"/>
    </xf>
    <xf numFmtId="17" fontId="18" fillId="0" borderId="1" xfId="3" applyNumberFormat="1" applyFont="1" applyBorder="1" applyAlignment="1">
      <alignment horizontal="center" wrapText="1"/>
    </xf>
    <xf numFmtId="17" fontId="18" fillId="0" borderId="1" xfId="3" quotePrefix="1" applyNumberFormat="1" applyFont="1" applyBorder="1" applyAlignment="1">
      <alignment horizontal="center" wrapText="1"/>
    </xf>
    <xf numFmtId="0" fontId="18" fillId="2" borderId="1" xfId="3" applyFont="1" applyFill="1" applyBorder="1" applyAlignment="1">
      <alignment horizontal="center" wrapText="1"/>
    </xf>
    <xf numFmtId="0" fontId="18" fillId="0" borderId="1" xfId="3" applyFont="1" applyBorder="1" applyAlignment="1">
      <alignment horizontal="center" wrapText="1"/>
    </xf>
    <xf numFmtId="0" fontId="19" fillId="0" borderId="0" xfId="3" applyFont="1" applyAlignment="1">
      <alignment horizontal="left" wrapText="1"/>
    </xf>
    <xf numFmtId="165" fontId="20" fillId="0" borderId="0" xfId="3" applyNumberFormat="1" applyFont="1" applyAlignment="1">
      <alignment wrapText="1"/>
    </xf>
    <xf numFmtId="165" fontId="20" fillId="2" borderId="0" xfId="3" applyNumberFormat="1" applyFont="1" applyFill="1" applyAlignment="1">
      <alignment wrapText="1"/>
    </xf>
    <xf numFmtId="165" fontId="20" fillId="0" borderId="0" xfId="3" applyNumberFormat="1" applyFont="1" applyAlignment="1">
      <alignment horizontal="right" wrapText="1"/>
    </xf>
    <xf numFmtId="165" fontId="20" fillId="2" borderId="0" xfId="3" applyNumberFormat="1" applyFont="1" applyFill="1" applyAlignment="1">
      <alignment horizontal="right" wrapText="1"/>
    </xf>
    <xf numFmtId="0" fontId="21" fillId="0" borderId="0" xfId="3" applyFont="1"/>
    <xf numFmtId="166" fontId="19" fillId="0" borderId="2" xfId="3" applyNumberFormat="1" applyFont="1" applyBorder="1" applyAlignment="1">
      <alignment horizontal="right" wrapText="1"/>
    </xf>
    <xf numFmtId="166" fontId="19" fillId="2" borderId="2" xfId="3" applyNumberFormat="1" applyFont="1" applyFill="1" applyBorder="1" applyAlignment="1">
      <alignment horizontal="right" wrapText="1"/>
    </xf>
    <xf numFmtId="0" fontId="18" fillId="0" borderId="1" xfId="3" quotePrefix="1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16" fillId="0" borderId="0" xfId="3"/>
    <xf numFmtId="0" fontId="0" fillId="0" borderId="0" xfId="0"/>
    <xf numFmtId="0" fontId="20" fillId="0" borderId="0" xfId="3" applyFont="1" applyAlignment="1">
      <alignment horizontal="center"/>
    </xf>
  </cellXfs>
  <cellStyles count="4">
    <cellStyle name="Currency" xfId="1" builtinId="4"/>
    <cellStyle name="Normal" xfId="0" builtinId="0"/>
    <cellStyle name="Normal 2" xfId="3" xr:uid="{635B81CC-88C0-4E8A-A462-69883E5DC8E4}"/>
    <cellStyle name="Percent" xfId="2" builtinId="5"/>
  </cellStyles>
  <dxfs count="0"/>
  <tableStyles count="0" defaultTableStyle="TableStyleMedium2" defaultPivotStyle="PivotStyleLight16"/>
  <colors>
    <mruColors>
      <color rgb="FF006600"/>
      <color rgb="FFCC0099"/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198121</xdr:colOff>
      <xdr:row>100</xdr:row>
      <xdr:rowOff>22861</xdr:rowOff>
    </xdr:from>
    <xdr:to>
      <xdr:col>4</xdr:col>
      <xdr:colOff>577084</xdr:colOff>
      <xdr:row>108</xdr:row>
      <xdr:rowOff>60961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269418-43CA-6593-1F95-79DBE8761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1" y="15262861"/>
          <a:ext cx="3868923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568960</xdr:colOff>
      <xdr:row>101</xdr:row>
      <xdr:rowOff>99060</xdr:rowOff>
    </xdr:from>
    <xdr:to>
      <xdr:col>6</xdr:col>
      <xdr:colOff>1212428</xdr:colOff>
      <xdr:row>107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02358C-D149-8B04-405E-06A0A073B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8920" y="15529560"/>
          <a:ext cx="2959948" cy="11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109</xdr:row>
      <xdr:rowOff>114301</xdr:rowOff>
    </xdr:from>
    <xdr:to>
      <xdr:col>6</xdr:col>
      <xdr:colOff>975360</xdr:colOff>
      <xdr:row>121</xdr:row>
      <xdr:rowOff>72759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7813B0-253F-049B-5DD2-B67A09A4F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17068801"/>
          <a:ext cx="6667500" cy="224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showGridLines="0" tabSelected="1" zoomScaleNormal="100" workbookViewId="0"/>
  </sheetViews>
  <sheetFormatPr defaultColWidth="8.77734375" defaultRowHeight="15" x14ac:dyDescent="0.25"/>
  <cols>
    <col min="1" max="1" width="15.5546875" style="1" customWidth="1"/>
    <col min="2" max="2" width="8.77734375" style="1"/>
    <col min="3" max="3" width="13" style="1" customWidth="1"/>
    <col min="4" max="4" width="13.5546875" style="1" customWidth="1"/>
    <col min="5" max="5" width="15" style="1" customWidth="1"/>
    <col min="6" max="6" width="18.77734375" style="1" bestFit="1" customWidth="1"/>
    <col min="7" max="7" width="19.33203125" style="1" bestFit="1" customWidth="1"/>
    <col min="8" max="8" width="10.5546875" style="1" bestFit="1" customWidth="1"/>
    <col min="9" max="9" width="11.77734375" style="1" bestFit="1" customWidth="1"/>
    <col min="10" max="10" width="10.5546875" style="1" bestFit="1" customWidth="1"/>
    <col min="11" max="16384" width="8.77734375" style="1"/>
  </cols>
  <sheetData>
    <row r="1" spans="1:10" ht="12" customHeight="1" x14ac:dyDescent="0.25">
      <c r="A1" s="3"/>
      <c r="B1" s="3"/>
      <c r="C1" s="3"/>
      <c r="D1" s="3"/>
      <c r="E1" s="3"/>
      <c r="F1" s="3"/>
      <c r="G1" s="3"/>
    </row>
    <row r="2" spans="1:10" ht="12" customHeight="1" x14ac:dyDescent="0.25">
      <c r="A2" s="3"/>
      <c r="B2" s="3"/>
      <c r="C2" s="4" t="s">
        <v>30</v>
      </c>
      <c r="D2" s="3"/>
      <c r="E2" s="3"/>
      <c r="F2" s="3"/>
      <c r="G2" s="3"/>
    </row>
    <row r="3" spans="1:10" ht="12" customHeight="1" x14ac:dyDescent="0.25">
      <c r="A3" s="3"/>
      <c r="B3" s="3"/>
      <c r="C3" s="4" t="s">
        <v>31</v>
      </c>
      <c r="D3" s="3"/>
      <c r="E3" s="3"/>
      <c r="F3" s="3"/>
      <c r="G3" s="3"/>
    </row>
    <row r="4" spans="1:10" ht="12" customHeight="1" x14ac:dyDescent="0.25">
      <c r="A4" s="3"/>
      <c r="B4" s="3"/>
      <c r="C4" s="3"/>
      <c r="D4" s="3"/>
      <c r="E4" s="3"/>
      <c r="F4" s="3"/>
      <c r="G4" s="3"/>
    </row>
    <row r="5" spans="1:10" ht="12" customHeight="1" x14ac:dyDescent="0.25">
      <c r="A5" s="3"/>
      <c r="B5" s="5" t="s">
        <v>0</v>
      </c>
      <c r="C5" s="5"/>
      <c r="D5" s="5"/>
      <c r="E5" s="5"/>
      <c r="F5" s="6"/>
      <c r="G5" s="3"/>
    </row>
    <row r="6" spans="1:10" ht="12" customHeight="1" x14ac:dyDescent="0.25">
      <c r="A6" s="3"/>
      <c r="B6" s="5"/>
      <c r="C6" s="5" t="s">
        <v>28</v>
      </c>
      <c r="D6" s="5"/>
      <c r="E6" s="5"/>
      <c r="F6" s="6">
        <f>E54</f>
        <v>136464</v>
      </c>
      <c r="G6" s="3"/>
    </row>
    <row r="7" spans="1:10" ht="12" customHeight="1" x14ac:dyDescent="0.25">
      <c r="A7" s="3"/>
      <c r="B7" s="5"/>
      <c r="C7" s="5" t="s">
        <v>99</v>
      </c>
      <c r="D7" s="5"/>
      <c r="E7" s="5"/>
      <c r="F7" s="6">
        <v>2400</v>
      </c>
      <c r="G7" s="3"/>
    </row>
    <row r="8" spans="1:10" ht="12" customHeight="1" x14ac:dyDescent="0.25">
      <c r="A8" s="3"/>
      <c r="B8" s="5"/>
      <c r="C8" s="5"/>
      <c r="D8" s="5"/>
      <c r="E8" s="7" t="s">
        <v>16</v>
      </c>
      <c r="F8" s="8">
        <f>SUM(F6:F7)</f>
        <v>138864</v>
      </c>
      <c r="G8" s="3"/>
    </row>
    <row r="9" spans="1:10" ht="12" customHeight="1" x14ac:dyDescent="0.25">
      <c r="A9" s="3"/>
      <c r="B9" s="5" t="s">
        <v>1</v>
      </c>
      <c r="C9" s="5"/>
      <c r="D9" s="5"/>
      <c r="E9" s="9"/>
      <c r="F9" s="6"/>
      <c r="G9" s="3"/>
    </row>
    <row r="10" spans="1:10" ht="12" customHeight="1" x14ac:dyDescent="0.25">
      <c r="A10" s="3"/>
      <c r="B10" s="5"/>
      <c r="C10" s="5" t="s">
        <v>2</v>
      </c>
      <c r="D10" s="5"/>
      <c r="E10" s="9"/>
      <c r="F10" s="6"/>
      <c r="G10" s="3"/>
    </row>
    <row r="11" spans="1:10" ht="12" customHeight="1" x14ac:dyDescent="0.25">
      <c r="A11" s="3"/>
      <c r="B11" s="5"/>
      <c r="C11" s="5"/>
      <c r="D11" s="10" t="s">
        <v>22</v>
      </c>
      <c r="E11" s="9"/>
      <c r="F11" s="6">
        <v>2400</v>
      </c>
      <c r="G11" s="3"/>
    </row>
    <row r="12" spans="1:10" ht="12" customHeight="1" x14ac:dyDescent="0.25">
      <c r="A12" s="3"/>
      <c r="B12" s="5"/>
      <c r="C12" s="5"/>
      <c r="D12" s="10" t="s">
        <v>23</v>
      </c>
      <c r="E12" s="9"/>
      <c r="F12" s="6">
        <v>49200</v>
      </c>
      <c r="G12" s="3"/>
      <c r="J12" s="2"/>
    </row>
    <row r="13" spans="1:10" ht="12" customHeight="1" x14ac:dyDescent="0.25">
      <c r="A13" s="3"/>
      <c r="B13" s="5"/>
      <c r="C13" s="5"/>
      <c r="D13" s="10" t="s">
        <v>24</v>
      </c>
      <c r="E13" s="9"/>
      <c r="F13" s="6">
        <v>23760</v>
      </c>
      <c r="G13" s="3"/>
    </row>
    <row r="14" spans="1:10" ht="12" customHeight="1" x14ac:dyDescent="0.25">
      <c r="A14" s="3"/>
      <c r="B14" s="5"/>
      <c r="C14" s="5"/>
      <c r="D14" s="10" t="s">
        <v>25</v>
      </c>
      <c r="E14" s="9"/>
      <c r="F14" s="6">
        <v>6600</v>
      </c>
      <c r="G14" s="3"/>
    </row>
    <row r="15" spans="1:10" ht="12" customHeight="1" x14ac:dyDescent="0.25">
      <c r="A15" s="3"/>
      <c r="B15" s="5"/>
      <c r="C15" s="5"/>
      <c r="D15" s="10" t="s">
        <v>26</v>
      </c>
      <c r="E15" s="9"/>
      <c r="F15" s="6">
        <v>24060</v>
      </c>
      <c r="G15" s="3"/>
      <c r="J15" s="2"/>
    </row>
    <row r="16" spans="1:10" ht="12" customHeight="1" x14ac:dyDescent="0.25">
      <c r="A16" s="3"/>
      <c r="B16" s="5"/>
      <c r="C16" s="5"/>
      <c r="D16" s="5"/>
      <c r="E16" s="9" t="s">
        <v>9</v>
      </c>
      <c r="F16" s="6">
        <f>SUM(F11:F15)</f>
        <v>106020</v>
      </c>
      <c r="G16" s="3"/>
      <c r="J16" s="2"/>
    </row>
    <row r="17" spans="1:9" ht="12" customHeight="1" x14ac:dyDescent="0.25">
      <c r="A17" s="3"/>
      <c r="B17" s="5"/>
      <c r="C17" s="5" t="s">
        <v>27</v>
      </c>
      <c r="D17" s="5"/>
      <c r="E17" s="9"/>
      <c r="F17" s="6"/>
      <c r="G17" s="3"/>
    </row>
    <row r="18" spans="1:9" ht="12" customHeight="1" x14ac:dyDescent="0.25">
      <c r="A18" s="3"/>
      <c r="B18" s="5"/>
      <c r="C18" s="5"/>
      <c r="D18" s="10" t="s">
        <v>24</v>
      </c>
      <c r="E18" s="9"/>
      <c r="F18" s="6">
        <v>30000</v>
      </c>
      <c r="G18" s="3"/>
    </row>
    <row r="19" spans="1:9" ht="12" customHeight="1" x14ac:dyDescent="0.25">
      <c r="A19" s="3"/>
      <c r="B19" s="5"/>
      <c r="C19" s="5"/>
      <c r="D19" s="5"/>
      <c r="E19" s="9" t="s">
        <v>9</v>
      </c>
      <c r="F19" s="6">
        <f>SUM(F18:F18)</f>
        <v>30000</v>
      </c>
      <c r="G19" s="3"/>
    </row>
    <row r="20" spans="1:9" ht="12" customHeight="1" x14ac:dyDescent="0.25">
      <c r="A20" s="3"/>
      <c r="B20" s="5"/>
      <c r="C20" s="5"/>
      <c r="D20" s="5"/>
      <c r="E20" s="7" t="s">
        <v>17</v>
      </c>
      <c r="F20" s="8">
        <f>F16+F19</f>
        <v>136020</v>
      </c>
      <c r="G20" s="3"/>
      <c r="I20" s="2"/>
    </row>
    <row r="21" spans="1:9" ht="12" customHeight="1" x14ac:dyDescent="0.25">
      <c r="A21" s="3"/>
      <c r="B21" s="3"/>
      <c r="C21" s="3"/>
      <c r="D21" s="3"/>
      <c r="E21" s="3"/>
      <c r="F21" s="3"/>
      <c r="G21" s="3"/>
    </row>
    <row r="22" spans="1:9" ht="12" customHeight="1" x14ac:dyDescent="0.25">
      <c r="A22" s="4"/>
      <c r="B22" s="11" t="s">
        <v>104</v>
      </c>
      <c r="C22" s="4"/>
      <c r="D22" s="4"/>
      <c r="E22" s="12"/>
      <c r="F22" s="37" t="s">
        <v>34</v>
      </c>
      <c r="G22" s="12"/>
    </row>
    <row r="23" spans="1:9" ht="12" customHeight="1" x14ac:dyDescent="0.25">
      <c r="A23" s="3"/>
      <c r="B23" s="3"/>
      <c r="C23" s="13" t="s">
        <v>103</v>
      </c>
      <c r="D23" s="14" t="s">
        <v>4</v>
      </c>
      <c r="E23" s="14" t="s">
        <v>5</v>
      </c>
      <c r="F23" s="14" t="s">
        <v>20</v>
      </c>
      <c r="G23" s="14" t="s">
        <v>21</v>
      </c>
    </row>
    <row r="24" spans="1:9" ht="12" customHeight="1" x14ac:dyDescent="0.25">
      <c r="A24" s="3"/>
      <c r="B24" s="3"/>
      <c r="C24" s="13">
        <v>1</v>
      </c>
      <c r="D24" s="15">
        <f>E24/$E$54</f>
        <v>3.3591276820260287E-2</v>
      </c>
      <c r="E24" s="16">
        <f>(F24*2)+(G24*10)</f>
        <v>4584</v>
      </c>
      <c r="F24" s="17">
        <v>367</v>
      </c>
      <c r="G24" s="17">
        <v>385</v>
      </c>
    </row>
    <row r="25" spans="1:9" ht="12" customHeight="1" x14ac:dyDescent="0.25">
      <c r="A25" s="3"/>
      <c r="B25" s="3"/>
      <c r="C25" s="13">
        <v>2</v>
      </c>
      <c r="D25" s="15">
        <f t="shared" ref="D25:D53" si="0">E25/$E$54</f>
        <v>3.3151600422089339E-2</v>
      </c>
      <c r="E25" s="16">
        <f t="shared" ref="E25:E53" si="1">(F25*2)+(G25*10)</f>
        <v>4524</v>
      </c>
      <c r="F25" s="17">
        <v>362</v>
      </c>
      <c r="G25" s="17">
        <v>380</v>
      </c>
    </row>
    <row r="26" spans="1:9" ht="12" customHeight="1" x14ac:dyDescent="0.25">
      <c r="A26" s="3"/>
      <c r="B26" s="3"/>
      <c r="C26" s="13">
        <v>3</v>
      </c>
      <c r="D26" s="15">
        <f t="shared" si="0"/>
        <v>3.3151600422089339E-2</v>
      </c>
      <c r="E26" s="16">
        <f t="shared" si="1"/>
        <v>4524</v>
      </c>
      <c r="F26" s="17">
        <v>362</v>
      </c>
      <c r="G26" s="17">
        <v>380</v>
      </c>
    </row>
    <row r="27" spans="1:9" ht="12" customHeight="1" x14ac:dyDescent="0.25">
      <c r="A27" s="3"/>
      <c r="B27" s="3"/>
      <c r="C27" s="13">
        <v>4</v>
      </c>
      <c r="D27" s="15">
        <f t="shared" si="0"/>
        <v>3.3591276820260287E-2</v>
      </c>
      <c r="E27" s="16">
        <f t="shared" si="1"/>
        <v>4584</v>
      </c>
      <c r="F27" s="17">
        <v>367</v>
      </c>
      <c r="G27" s="17">
        <v>385</v>
      </c>
    </row>
    <row r="28" spans="1:9" ht="12" customHeight="1" x14ac:dyDescent="0.25">
      <c r="A28" s="3"/>
      <c r="B28" s="3"/>
      <c r="C28" s="13">
        <v>5</v>
      </c>
      <c r="D28" s="15">
        <f t="shared" si="0"/>
        <v>3.3591276820260287E-2</v>
      </c>
      <c r="E28" s="16">
        <f t="shared" si="1"/>
        <v>4584</v>
      </c>
      <c r="F28" s="17">
        <v>367</v>
      </c>
      <c r="G28" s="17">
        <v>385</v>
      </c>
    </row>
    <row r="29" spans="1:9" ht="12" customHeight="1" x14ac:dyDescent="0.25">
      <c r="A29" s="3"/>
      <c r="B29" s="3"/>
      <c r="C29" s="13">
        <v>6</v>
      </c>
      <c r="D29" s="15">
        <f t="shared" si="0"/>
        <v>3.3151600422089339E-2</v>
      </c>
      <c r="E29" s="16">
        <f t="shared" si="1"/>
        <v>4524</v>
      </c>
      <c r="F29" s="17">
        <v>362</v>
      </c>
      <c r="G29" s="17">
        <v>380</v>
      </c>
    </row>
    <row r="30" spans="1:9" ht="12" customHeight="1" x14ac:dyDescent="0.25">
      <c r="A30" s="3"/>
      <c r="B30" s="3"/>
      <c r="C30" s="13">
        <v>7</v>
      </c>
      <c r="D30" s="15">
        <f t="shared" si="0"/>
        <v>3.3151600422089339E-2</v>
      </c>
      <c r="E30" s="16">
        <f t="shared" si="1"/>
        <v>4524</v>
      </c>
      <c r="F30" s="17">
        <v>362</v>
      </c>
      <c r="G30" s="17">
        <v>380</v>
      </c>
    </row>
    <row r="31" spans="1:9" ht="12" customHeight="1" x14ac:dyDescent="0.25">
      <c r="A31" s="3"/>
      <c r="B31" s="3"/>
      <c r="C31" s="13">
        <v>8</v>
      </c>
      <c r="D31" s="15">
        <f t="shared" si="0"/>
        <v>3.3151600422089339E-2</v>
      </c>
      <c r="E31" s="16">
        <f t="shared" si="1"/>
        <v>4524</v>
      </c>
      <c r="F31" s="17">
        <v>362</v>
      </c>
      <c r="G31" s="17">
        <v>380</v>
      </c>
    </row>
    <row r="32" spans="1:9" ht="12" customHeight="1" x14ac:dyDescent="0.25">
      <c r="A32" s="3"/>
      <c r="B32" s="3"/>
      <c r="C32" s="13">
        <v>9</v>
      </c>
      <c r="D32" s="15">
        <f t="shared" si="0"/>
        <v>3.3151600422089339E-2</v>
      </c>
      <c r="E32" s="16">
        <f t="shared" si="1"/>
        <v>4524</v>
      </c>
      <c r="F32" s="17">
        <v>362</v>
      </c>
      <c r="G32" s="17">
        <v>380</v>
      </c>
    </row>
    <row r="33" spans="1:7" ht="12" customHeight="1" x14ac:dyDescent="0.25">
      <c r="A33" s="3"/>
      <c r="B33" s="3"/>
      <c r="C33" s="13">
        <v>10</v>
      </c>
      <c r="D33" s="15">
        <f t="shared" si="0"/>
        <v>3.3591276820260287E-2</v>
      </c>
      <c r="E33" s="16">
        <f t="shared" si="1"/>
        <v>4584</v>
      </c>
      <c r="F33" s="17">
        <v>367</v>
      </c>
      <c r="G33" s="17">
        <v>385</v>
      </c>
    </row>
    <row r="34" spans="1:7" ht="12" customHeight="1" x14ac:dyDescent="0.25">
      <c r="A34" s="3"/>
      <c r="B34" s="3"/>
      <c r="C34" s="13">
        <v>11</v>
      </c>
      <c r="D34" s="15">
        <f t="shared" si="0"/>
        <v>3.3591276820260287E-2</v>
      </c>
      <c r="E34" s="16">
        <f t="shared" si="1"/>
        <v>4584</v>
      </c>
      <c r="F34" s="17">
        <v>367</v>
      </c>
      <c r="G34" s="17">
        <v>385</v>
      </c>
    </row>
    <row r="35" spans="1:7" ht="12" customHeight="1" x14ac:dyDescent="0.25">
      <c r="A35" s="3"/>
      <c r="B35" s="3"/>
      <c r="C35" s="13">
        <v>12</v>
      </c>
      <c r="D35" s="15">
        <f t="shared" si="0"/>
        <v>3.3151600422089339E-2</v>
      </c>
      <c r="E35" s="16">
        <f t="shared" si="1"/>
        <v>4524</v>
      </c>
      <c r="F35" s="17">
        <v>362</v>
      </c>
      <c r="G35" s="17">
        <v>380</v>
      </c>
    </row>
    <row r="36" spans="1:7" ht="12" customHeight="1" x14ac:dyDescent="0.25">
      <c r="A36" s="3"/>
      <c r="B36" s="3"/>
      <c r="C36" s="13">
        <v>13</v>
      </c>
      <c r="D36" s="15">
        <f t="shared" si="0"/>
        <v>3.3151600422089339E-2</v>
      </c>
      <c r="E36" s="16">
        <f t="shared" si="1"/>
        <v>4524</v>
      </c>
      <c r="F36" s="17">
        <v>362</v>
      </c>
      <c r="G36" s="17">
        <v>380</v>
      </c>
    </row>
    <row r="37" spans="1:7" ht="12" customHeight="1" x14ac:dyDescent="0.25">
      <c r="A37" s="3"/>
      <c r="B37" s="3"/>
      <c r="C37" s="13">
        <v>14</v>
      </c>
      <c r="D37" s="15">
        <f t="shared" si="0"/>
        <v>3.3151600422089339E-2</v>
      </c>
      <c r="E37" s="16">
        <f t="shared" si="1"/>
        <v>4524</v>
      </c>
      <c r="F37" s="17">
        <v>362</v>
      </c>
      <c r="G37" s="17">
        <v>380</v>
      </c>
    </row>
    <row r="38" spans="1:7" ht="12" customHeight="1" x14ac:dyDescent="0.25">
      <c r="A38" s="3"/>
      <c r="B38" s="3"/>
      <c r="C38" s="13">
        <v>15</v>
      </c>
      <c r="D38" s="15">
        <f t="shared" si="0"/>
        <v>3.3151600422089339E-2</v>
      </c>
      <c r="E38" s="16">
        <f t="shared" si="1"/>
        <v>4524</v>
      </c>
      <c r="F38" s="17">
        <v>362</v>
      </c>
      <c r="G38" s="17">
        <v>380</v>
      </c>
    </row>
    <row r="39" spans="1:7" ht="12" customHeight="1" x14ac:dyDescent="0.25">
      <c r="A39" s="3"/>
      <c r="B39" s="3"/>
      <c r="C39" s="13">
        <v>16</v>
      </c>
      <c r="D39" s="15">
        <f t="shared" si="0"/>
        <v>3.3591276820260287E-2</v>
      </c>
      <c r="E39" s="16">
        <f t="shared" si="1"/>
        <v>4584</v>
      </c>
      <c r="F39" s="17">
        <v>367</v>
      </c>
      <c r="G39" s="17">
        <v>385</v>
      </c>
    </row>
    <row r="40" spans="1:7" ht="12" customHeight="1" x14ac:dyDescent="0.25">
      <c r="A40" s="3"/>
      <c r="B40" s="3"/>
      <c r="C40" s="13">
        <v>17</v>
      </c>
      <c r="D40" s="15">
        <f t="shared" si="0"/>
        <v>3.3591276820260287E-2</v>
      </c>
      <c r="E40" s="16">
        <f t="shared" si="1"/>
        <v>4584</v>
      </c>
      <c r="F40" s="17">
        <v>367</v>
      </c>
      <c r="G40" s="17">
        <v>385</v>
      </c>
    </row>
    <row r="41" spans="1:7" ht="12" customHeight="1" x14ac:dyDescent="0.25">
      <c r="A41" s="3"/>
      <c r="B41" s="3"/>
      <c r="C41" s="13">
        <v>18</v>
      </c>
      <c r="D41" s="15">
        <f t="shared" si="0"/>
        <v>3.3151600422089339E-2</v>
      </c>
      <c r="E41" s="16">
        <f t="shared" si="1"/>
        <v>4524</v>
      </c>
      <c r="F41" s="17">
        <v>362</v>
      </c>
      <c r="G41" s="17">
        <v>380</v>
      </c>
    </row>
    <row r="42" spans="1:7" ht="12" customHeight="1" x14ac:dyDescent="0.25">
      <c r="A42" s="3"/>
      <c r="B42" s="3"/>
      <c r="C42" s="13">
        <v>19</v>
      </c>
      <c r="D42" s="15">
        <f t="shared" si="0"/>
        <v>3.3151600422089339E-2</v>
      </c>
      <c r="E42" s="16">
        <f t="shared" si="1"/>
        <v>4524</v>
      </c>
      <c r="F42" s="17">
        <v>362</v>
      </c>
      <c r="G42" s="17">
        <v>380</v>
      </c>
    </row>
    <row r="43" spans="1:7" ht="12" customHeight="1" x14ac:dyDescent="0.25">
      <c r="A43" s="3"/>
      <c r="B43" s="3"/>
      <c r="C43" s="13">
        <v>20</v>
      </c>
      <c r="D43" s="15">
        <f t="shared" si="0"/>
        <v>3.3591276820260287E-2</v>
      </c>
      <c r="E43" s="16">
        <f t="shared" si="1"/>
        <v>4584</v>
      </c>
      <c r="F43" s="17">
        <v>367</v>
      </c>
      <c r="G43" s="17">
        <v>385</v>
      </c>
    </row>
    <row r="44" spans="1:7" ht="12" customHeight="1" x14ac:dyDescent="0.25">
      <c r="A44" s="3"/>
      <c r="B44" s="3"/>
      <c r="C44" s="13">
        <v>21</v>
      </c>
      <c r="D44" s="15">
        <f t="shared" si="0"/>
        <v>3.3591276820260287E-2</v>
      </c>
      <c r="E44" s="16">
        <f t="shared" si="1"/>
        <v>4584</v>
      </c>
      <c r="F44" s="17">
        <v>367</v>
      </c>
      <c r="G44" s="17">
        <v>385</v>
      </c>
    </row>
    <row r="45" spans="1:7" ht="12" customHeight="1" x14ac:dyDescent="0.25">
      <c r="A45" s="3"/>
      <c r="B45" s="3"/>
      <c r="C45" s="13">
        <v>22</v>
      </c>
      <c r="D45" s="15">
        <f t="shared" si="0"/>
        <v>3.3151600422089339E-2</v>
      </c>
      <c r="E45" s="16">
        <f t="shared" si="1"/>
        <v>4524</v>
      </c>
      <c r="F45" s="17">
        <v>362</v>
      </c>
      <c r="G45" s="17">
        <v>380</v>
      </c>
    </row>
    <row r="46" spans="1:7" ht="12" customHeight="1" x14ac:dyDescent="0.25">
      <c r="A46" s="3"/>
      <c r="B46" s="3"/>
      <c r="C46" s="13">
        <v>23</v>
      </c>
      <c r="D46" s="15">
        <f t="shared" si="0"/>
        <v>3.3151600422089339E-2</v>
      </c>
      <c r="E46" s="16">
        <f t="shared" si="1"/>
        <v>4524</v>
      </c>
      <c r="F46" s="17">
        <v>362</v>
      </c>
      <c r="G46" s="17">
        <v>380</v>
      </c>
    </row>
    <row r="47" spans="1:7" ht="12" customHeight="1" x14ac:dyDescent="0.25">
      <c r="A47" s="3"/>
      <c r="B47" s="3"/>
      <c r="C47" s="13">
        <v>24</v>
      </c>
      <c r="D47" s="15">
        <f t="shared" si="0"/>
        <v>3.3151600422089339E-2</v>
      </c>
      <c r="E47" s="16">
        <f t="shared" si="1"/>
        <v>4524</v>
      </c>
      <c r="F47" s="17">
        <v>362</v>
      </c>
      <c r="G47" s="17">
        <v>380</v>
      </c>
    </row>
    <row r="48" spans="1:7" ht="12" customHeight="1" x14ac:dyDescent="0.25">
      <c r="A48" s="3"/>
      <c r="B48" s="3"/>
      <c r="C48" s="13">
        <v>25</v>
      </c>
      <c r="D48" s="15">
        <f t="shared" si="0"/>
        <v>3.3151600422089339E-2</v>
      </c>
      <c r="E48" s="16">
        <f t="shared" si="1"/>
        <v>4524</v>
      </c>
      <c r="F48" s="17">
        <v>362</v>
      </c>
      <c r="G48" s="17">
        <v>380</v>
      </c>
    </row>
    <row r="49" spans="1:9" ht="12" customHeight="1" x14ac:dyDescent="0.25">
      <c r="A49" s="3"/>
      <c r="B49" s="3"/>
      <c r="C49" s="13">
        <v>26</v>
      </c>
      <c r="D49" s="15">
        <f t="shared" si="0"/>
        <v>3.3591276820260287E-2</v>
      </c>
      <c r="E49" s="16">
        <f t="shared" si="1"/>
        <v>4584</v>
      </c>
      <c r="F49" s="17">
        <v>367</v>
      </c>
      <c r="G49" s="17">
        <v>385</v>
      </c>
    </row>
    <row r="50" spans="1:9" ht="12" customHeight="1" x14ac:dyDescent="0.25">
      <c r="A50" s="3"/>
      <c r="B50" s="3"/>
      <c r="C50" s="13">
        <v>27</v>
      </c>
      <c r="D50" s="15">
        <f t="shared" si="0"/>
        <v>3.341540626099191E-2</v>
      </c>
      <c r="E50" s="16">
        <f t="shared" si="1"/>
        <v>4560</v>
      </c>
      <c r="F50" s="17">
        <v>365</v>
      </c>
      <c r="G50" s="17">
        <v>383</v>
      </c>
    </row>
    <row r="51" spans="1:9" ht="12" customHeight="1" x14ac:dyDescent="0.25">
      <c r="A51" s="3"/>
      <c r="B51" s="3"/>
      <c r="C51" s="13">
        <v>28</v>
      </c>
      <c r="D51" s="15">
        <f t="shared" si="0"/>
        <v>3.341540626099191E-2</v>
      </c>
      <c r="E51" s="16">
        <f t="shared" si="1"/>
        <v>4560</v>
      </c>
      <c r="F51" s="17">
        <v>365</v>
      </c>
      <c r="G51" s="17">
        <v>383</v>
      </c>
    </row>
    <row r="52" spans="1:9" ht="12" customHeight="1" x14ac:dyDescent="0.25">
      <c r="A52" s="3"/>
      <c r="B52" s="3"/>
      <c r="C52" s="13">
        <v>29</v>
      </c>
      <c r="D52" s="15">
        <f t="shared" si="0"/>
        <v>3.341540626099191E-2</v>
      </c>
      <c r="E52" s="16">
        <f t="shared" si="1"/>
        <v>4560</v>
      </c>
      <c r="F52" s="17">
        <v>365</v>
      </c>
      <c r="G52" s="17">
        <v>383</v>
      </c>
    </row>
    <row r="53" spans="1:9" ht="12" customHeight="1" x14ac:dyDescent="0.25">
      <c r="A53" s="3"/>
      <c r="B53" s="3"/>
      <c r="C53" s="13">
        <v>30</v>
      </c>
      <c r="D53" s="15">
        <f t="shared" si="0"/>
        <v>3.341540626099191E-2</v>
      </c>
      <c r="E53" s="16">
        <f t="shared" si="1"/>
        <v>4560</v>
      </c>
      <c r="F53" s="17">
        <v>365</v>
      </c>
      <c r="G53" s="17">
        <v>383</v>
      </c>
    </row>
    <row r="54" spans="1:9" ht="12" customHeight="1" x14ac:dyDescent="0.25">
      <c r="A54" s="3"/>
      <c r="B54" s="3"/>
      <c r="C54" s="18" t="s">
        <v>8</v>
      </c>
      <c r="D54" s="19">
        <f>SUM(D24:D53)</f>
        <v>0.99999999999999989</v>
      </c>
      <c r="E54" s="20">
        <f>SUM(E24:E53)</f>
        <v>136464</v>
      </c>
      <c r="F54" s="21">
        <f t="shared" ref="F54:G54" si="2">SUM(F24:F53)</f>
        <v>10922</v>
      </c>
      <c r="G54" s="21">
        <f t="shared" si="2"/>
        <v>11462</v>
      </c>
      <c r="H54" s="2"/>
      <c r="I54" s="2"/>
    </row>
    <row r="55" spans="1:9" ht="12" customHeight="1" x14ac:dyDescent="0.25">
      <c r="A55" s="3"/>
      <c r="B55" s="3"/>
      <c r="C55" s="3"/>
      <c r="D55" s="22"/>
      <c r="E55" s="23"/>
      <c r="F55" s="24"/>
      <c r="G55" s="3"/>
    </row>
    <row r="56" spans="1:9" ht="12" customHeight="1" x14ac:dyDescent="0.25">
      <c r="A56" s="3"/>
      <c r="B56" s="25" t="s">
        <v>19</v>
      </c>
      <c r="C56" s="25"/>
      <c r="D56" s="25"/>
      <c r="E56" s="25"/>
      <c r="F56" s="25"/>
      <c r="G56" s="25"/>
    </row>
    <row r="57" spans="1:9" ht="12" customHeight="1" x14ac:dyDescent="0.25">
      <c r="A57" s="3"/>
      <c r="B57" s="25"/>
      <c r="C57" s="25" t="s">
        <v>32</v>
      </c>
      <c r="D57" s="25"/>
      <c r="E57" s="25" t="s">
        <v>6</v>
      </c>
      <c r="F57" s="25"/>
      <c r="G57" s="25"/>
    </row>
    <row r="58" spans="1:9" ht="12" customHeight="1" x14ac:dyDescent="0.25">
      <c r="A58" s="3"/>
      <c r="B58" s="26"/>
      <c r="C58" s="26" t="s">
        <v>13</v>
      </c>
      <c r="D58" s="26"/>
      <c r="E58" s="26"/>
      <c r="F58" s="27">
        <v>104750</v>
      </c>
      <c r="G58" s="26"/>
    </row>
    <row r="59" spans="1:9" ht="12" customHeight="1" x14ac:dyDescent="0.25">
      <c r="A59" s="3"/>
      <c r="B59" s="26"/>
      <c r="C59" s="26" t="s">
        <v>10</v>
      </c>
      <c r="D59" s="26"/>
      <c r="E59" s="26"/>
      <c r="F59" s="27">
        <v>31524</v>
      </c>
      <c r="G59" s="26"/>
    </row>
    <row r="60" spans="1:9" ht="12" customHeight="1" x14ac:dyDescent="0.25">
      <c r="A60" s="3"/>
      <c r="B60" s="26"/>
      <c r="C60" s="26"/>
      <c r="D60" s="26"/>
      <c r="E60" s="26"/>
      <c r="F60" s="27"/>
      <c r="G60" s="26"/>
    </row>
    <row r="61" spans="1:9" ht="12" customHeight="1" x14ac:dyDescent="0.25">
      <c r="A61" s="3"/>
      <c r="B61" s="25" t="s">
        <v>14</v>
      </c>
      <c r="C61" s="25"/>
      <c r="D61" s="25"/>
      <c r="E61" s="25"/>
      <c r="F61" s="25"/>
      <c r="G61" s="26"/>
    </row>
    <row r="62" spans="1:9" ht="12" customHeight="1" x14ac:dyDescent="0.25">
      <c r="A62" s="3"/>
      <c r="B62" s="11"/>
      <c r="C62" s="25" t="s">
        <v>15</v>
      </c>
      <c r="D62" s="25"/>
      <c r="E62" s="25" t="s">
        <v>29</v>
      </c>
      <c r="F62" s="26"/>
      <c r="G62" s="26"/>
    </row>
    <row r="63" spans="1:9" ht="12" customHeight="1" x14ac:dyDescent="0.25">
      <c r="A63" s="3"/>
      <c r="B63" s="26"/>
      <c r="C63" s="26" t="s">
        <v>7</v>
      </c>
      <c r="D63" s="26"/>
      <c r="E63" s="26"/>
      <c r="F63" s="27">
        <v>1029982</v>
      </c>
      <c r="G63" s="26"/>
    </row>
    <row r="64" spans="1:9" ht="12" customHeight="1" x14ac:dyDescent="0.25">
      <c r="A64" s="3"/>
      <c r="B64" s="26"/>
      <c r="C64" s="26" t="s">
        <v>102</v>
      </c>
      <c r="D64" s="26"/>
      <c r="E64" s="26"/>
      <c r="F64" s="27">
        <v>199275</v>
      </c>
      <c r="G64" s="26"/>
    </row>
    <row r="65" spans="1:7" ht="12" customHeight="1" x14ac:dyDescent="0.25">
      <c r="A65" s="3"/>
      <c r="B65" s="25" t="s">
        <v>11</v>
      </c>
      <c r="C65" s="25"/>
      <c r="D65" s="25"/>
      <c r="E65" s="25"/>
      <c r="F65" s="28">
        <f>F63-F64</f>
        <v>830707</v>
      </c>
      <c r="G65" s="26"/>
    </row>
    <row r="66" spans="1:7" ht="12" customHeight="1" x14ac:dyDescent="0.25">
      <c r="A66" s="3"/>
      <c r="B66" s="26"/>
      <c r="C66" s="26"/>
      <c r="D66" s="26"/>
      <c r="E66" s="26"/>
      <c r="F66" s="29"/>
      <c r="G66" s="26"/>
    </row>
    <row r="67" spans="1:7" ht="12" customHeight="1" x14ac:dyDescent="0.25">
      <c r="A67" s="3"/>
      <c r="B67" s="30" t="s">
        <v>18</v>
      </c>
      <c r="C67" s="3"/>
      <c r="D67" s="3"/>
      <c r="E67" s="3"/>
      <c r="F67" s="3"/>
      <c r="G67" s="3"/>
    </row>
    <row r="68" spans="1:7" ht="12" customHeight="1" x14ac:dyDescent="0.25">
      <c r="A68" s="3"/>
      <c r="B68" s="36" t="s">
        <v>33</v>
      </c>
      <c r="C68" s="3"/>
      <c r="D68" s="3"/>
      <c r="E68" s="3"/>
      <c r="F68" s="3"/>
      <c r="G68" s="3"/>
    </row>
    <row r="69" spans="1:7" ht="12" customHeight="1" x14ac:dyDescent="0.25">
      <c r="A69" s="3"/>
      <c r="B69" s="3"/>
      <c r="C69" s="31" t="s">
        <v>3</v>
      </c>
      <c r="D69" s="31" t="s">
        <v>4</v>
      </c>
      <c r="E69" s="32" t="s">
        <v>12</v>
      </c>
      <c r="F69" s="3"/>
      <c r="G69" s="3"/>
    </row>
    <row r="70" spans="1:7" ht="12" customHeight="1" x14ac:dyDescent="0.25">
      <c r="A70" s="3"/>
      <c r="B70" s="3"/>
      <c r="C70" s="33">
        <f t="shared" ref="C70:D99" si="3">C24</f>
        <v>1</v>
      </c>
      <c r="D70" s="34">
        <f t="shared" si="3"/>
        <v>3.3591276820260287E-2</v>
      </c>
      <c r="E70" s="35">
        <f>$F$65*D70</f>
        <v>27904.508793527963</v>
      </c>
      <c r="F70" s="3"/>
      <c r="G70" s="3"/>
    </row>
    <row r="71" spans="1:7" ht="12" customHeight="1" x14ac:dyDescent="0.25">
      <c r="A71" s="3"/>
      <c r="B71" s="3"/>
      <c r="C71" s="33">
        <f t="shared" si="3"/>
        <v>2</v>
      </c>
      <c r="D71" s="34">
        <f t="shared" si="3"/>
        <v>3.3151600422089339E-2</v>
      </c>
      <c r="E71" s="35">
        <f t="shared" ref="E71:E99" si="4">$F$65*D71</f>
        <v>27539.266531832567</v>
      </c>
      <c r="F71" s="3"/>
      <c r="G71" s="3"/>
    </row>
    <row r="72" spans="1:7" ht="12" customHeight="1" x14ac:dyDescent="0.25">
      <c r="A72" s="3"/>
      <c r="B72" s="3"/>
      <c r="C72" s="33">
        <f t="shared" si="3"/>
        <v>3</v>
      </c>
      <c r="D72" s="34">
        <f t="shared" si="3"/>
        <v>3.3151600422089339E-2</v>
      </c>
      <c r="E72" s="35">
        <f t="shared" si="4"/>
        <v>27539.266531832567</v>
      </c>
      <c r="F72" s="3"/>
      <c r="G72" s="3"/>
    </row>
    <row r="73" spans="1:7" ht="12" customHeight="1" x14ac:dyDescent="0.25">
      <c r="A73" s="3"/>
      <c r="B73" s="3"/>
      <c r="C73" s="33">
        <f t="shared" si="3"/>
        <v>4</v>
      </c>
      <c r="D73" s="34">
        <f t="shared" si="3"/>
        <v>3.3591276820260287E-2</v>
      </c>
      <c r="E73" s="35">
        <f t="shared" si="4"/>
        <v>27904.508793527963</v>
      </c>
      <c r="F73" s="3"/>
      <c r="G73" s="3"/>
    </row>
    <row r="74" spans="1:7" ht="12" customHeight="1" x14ac:dyDescent="0.25">
      <c r="A74" s="3"/>
      <c r="B74" s="3"/>
      <c r="C74" s="33">
        <f t="shared" si="3"/>
        <v>5</v>
      </c>
      <c r="D74" s="34">
        <f t="shared" si="3"/>
        <v>3.3591276820260287E-2</v>
      </c>
      <c r="E74" s="35">
        <f t="shared" si="4"/>
        <v>27904.508793527963</v>
      </c>
      <c r="F74" s="3"/>
      <c r="G74" s="3"/>
    </row>
    <row r="75" spans="1:7" ht="12" customHeight="1" x14ac:dyDescent="0.25">
      <c r="A75" s="3"/>
      <c r="B75" s="3"/>
      <c r="C75" s="33">
        <f t="shared" si="3"/>
        <v>6</v>
      </c>
      <c r="D75" s="34">
        <f t="shared" si="3"/>
        <v>3.3151600422089339E-2</v>
      </c>
      <c r="E75" s="35">
        <f t="shared" si="4"/>
        <v>27539.266531832567</v>
      </c>
      <c r="F75" s="3"/>
      <c r="G75" s="3"/>
    </row>
    <row r="76" spans="1:7" ht="12" customHeight="1" x14ac:dyDescent="0.25">
      <c r="A76" s="3"/>
      <c r="B76" s="3"/>
      <c r="C76" s="33">
        <f t="shared" si="3"/>
        <v>7</v>
      </c>
      <c r="D76" s="34">
        <f t="shared" si="3"/>
        <v>3.3151600422089339E-2</v>
      </c>
      <c r="E76" s="35">
        <f t="shared" si="4"/>
        <v>27539.266531832567</v>
      </c>
      <c r="F76" s="3"/>
      <c r="G76" s="3"/>
    </row>
    <row r="77" spans="1:7" ht="12" customHeight="1" x14ac:dyDescent="0.25">
      <c r="A77" s="3"/>
      <c r="B77" s="3"/>
      <c r="C77" s="33">
        <f t="shared" si="3"/>
        <v>8</v>
      </c>
      <c r="D77" s="34">
        <f t="shared" si="3"/>
        <v>3.3151600422089339E-2</v>
      </c>
      <c r="E77" s="35">
        <f t="shared" si="4"/>
        <v>27539.266531832567</v>
      </c>
      <c r="F77" s="3"/>
      <c r="G77" s="3"/>
    </row>
    <row r="78" spans="1:7" ht="12" customHeight="1" x14ac:dyDescent="0.25">
      <c r="A78" s="3"/>
      <c r="B78" s="3"/>
      <c r="C78" s="33">
        <f t="shared" si="3"/>
        <v>9</v>
      </c>
      <c r="D78" s="34">
        <f t="shared" si="3"/>
        <v>3.3151600422089339E-2</v>
      </c>
      <c r="E78" s="35">
        <f t="shared" si="4"/>
        <v>27539.266531832567</v>
      </c>
      <c r="F78" s="3"/>
      <c r="G78" s="3"/>
    </row>
    <row r="79" spans="1:7" ht="12" customHeight="1" x14ac:dyDescent="0.25">
      <c r="A79" s="3"/>
      <c r="B79" s="3"/>
      <c r="C79" s="33">
        <f t="shared" si="3"/>
        <v>10</v>
      </c>
      <c r="D79" s="34">
        <f t="shared" si="3"/>
        <v>3.3591276820260287E-2</v>
      </c>
      <c r="E79" s="35">
        <f t="shared" si="4"/>
        <v>27904.508793527963</v>
      </c>
      <c r="F79" s="3"/>
      <c r="G79" s="3"/>
    </row>
    <row r="80" spans="1:7" ht="12" customHeight="1" x14ac:dyDescent="0.25">
      <c r="A80" s="3"/>
      <c r="B80" s="3"/>
      <c r="C80" s="33">
        <f t="shared" si="3"/>
        <v>11</v>
      </c>
      <c r="D80" s="34">
        <f t="shared" si="3"/>
        <v>3.3591276820260287E-2</v>
      </c>
      <c r="E80" s="35">
        <f t="shared" si="4"/>
        <v>27904.508793527963</v>
      </c>
      <c r="F80" s="3"/>
      <c r="G80" s="3"/>
    </row>
    <row r="81" spans="1:7" ht="12" customHeight="1" x14ac:dyDescent="0.25">
      <c r="A81" s="3"/>
      <c r="B81" s="3"/>
      <c r="C81" s="33">
        <f t="shared" si="3"/>
        <v>12</v>
      </c>
      <c r="D81" s="34">
        <f t="shared" si="3"/>
        <v>3.3151600422089339E-2</v>
      </c>
      <c r="E81" s="35">
        <f t="shared" si="4"/>
        <v>27539.266531832567</v>
      </c>
      <c r="F81" s="3"/>
      <c r="G81" s="3"/>
    </row>
    <row r="82" spans="1:7" ht="12" customHeight="1" x14ac:dyDescent="0.25">
      <c r="A82" s="3"/>
      <c r="B82" s="3"/>
      <c r="C82" s="33">
        <f t="shared" si="3"/>
        <v>13</v>
      </c>
      <c r="D82" s="34">
        <f t="shared" si="3"/>
        <v>3.3151600422089339E-2</v>
      </c>
      <c r="E82" s="35">
        <f t="shared" si="4"/>
        <v>27539.266531832567</v>
      </c>
      <c r="F82" s="3"/>
      <c r="G82" s="3"/>
    </row>
    <row r="83" spans="1:7" ht="12" customHeight="1" x14ac:dyDescent="0.25">
      <c r="A83" s="3"/>
      <c r="B83" s="3"/>
      <c r="C83" s="33">
        <f t="shared" si="3"/>
        <v>14</v>
      </c>
      <c r="D83" s="34">
        <f t="shared" si="3"/>
        <v>3.3151600422089339E-2</v>
      </c>
      <c r="E83" s="35">
        <f t="shared" si="4"/>
        <v>27539.266531832567</v>
      </c>
      <c r="F83" s="3"/>
      <c r="G83" s="3"/>
    </row>
    <row r="84" spans="1:7" ht="12" customHeight="1" x14ac:dyDescent="0.25">
      <c r="A84" s="3"/>
      <c r="B84" s="3"/>
      <c r="C84" s="33">
        <f t="shared" si="3"/>
        <v>15</v>
      </c>
      <c r="D84" s="34">
        <f t="shared" si="3"/>
        <v>3.3151600422089339E-2</v>
      </c>
      <c r="E84" s="35">
        <f t="shared" si="4"/>
        <v>27539.266531832567</v>
      </c>
      <c r="F84" s="3"/>
      <c r="G84" s="3"/>
    </row>
    <row r="85" spans="1:7" ht="12" customHeight="1" x14ac:dyDescent="0.25">
      <c r="A85" s="3"/>
      <c r="B85" s="3"/>
      <c r="C85" s="33">
        <f t="shared" si="3"/>
        <v>16</v>
      </c>
      <c r="D85" s="34">
        <f t="shared" si="3"/>
        <v>3.3591276820260287E-2</v>
      </c>
      <c r="E85" s="35">
        <f t="shared" si="4"/>
        <v>27904.508793527963</v>
      </c>
      <c r="F85" s="3"/>
      <c r="G85" s="3"/>
    </row>
    <row r="86" spans="1:7" ht="12" customHeight="1" x14ac:dyDescent="0.25">
      <c r="A86" s="3"/>
      <c r="B86" s="3"/>
      <c r="C86" s="33">
        <f t="shared" si="3"/>
        <v>17</v>
      </c>
      <c r="D86" s="34">
        <f t="shared" si="3"/>
        <v>3.3591276820260287E-2</v>
      </c>
      <c r="E86" s="35">
        <f t="shared" si="4"/>
        <v>27904.508793527963</v>
      </c>
      <c r="F86" s="3"/>
      <c r="G86" s="3"/>
    </row>
    <row r="87" spans="1:7" ht="12" customHeight="1" x14ac:dyDescent="0.25">
      <c r="A87" s="3"/>
      <c r="B87" s="3"/>
      <c r="C87" s="33">
        <f t="shared" si="3"/>
        <v>18</v>
      </c>
      <c r="D87" s="34">
        <f t="shared" si="3"/>
        <v>3.3151600422089339E-2</v>
      </c>
      <c r="E87" s="35">
        <f t="shared" si="4"/>
        <v>27539.266531832567</v>
      </c>
      <c r="F87" s="3"/>
      <c r="G87" s="3"/>
    </row>
    <row r="88" spans="1:7" ht="12" customHeight="1" x14ac:dyDescent="0.25">
      <c r="A88" s="3"/>
      <c r="B88" s="3"/>
      <c r="C88" s="33">
        <f t="shared" si="3"/>
        <v>19</v>
      </c>
      <c r="D88" s="34">
        <f t="shared" si="3"/>
        <v>3.3151600422089339E-2</v>
      </c>
      <c r="E88" s="35">
        <f t="shared" si="4"/>
        <v>27539.266531832567</v>
      </c>
      <c r="F88" s="3"/>
      <c r="G88" s="3"/>
    </row>
    <row r="89" spans="1:7" ht="12" customHeight="1" x14ac:dyDescent="0.25">
      <c r="A89" s="3"/>
      <c r="B89" s="3"/>
      <c r="C89" s="33">
        <f t="shared" si="3"/>
        <v>20</v>
      </c>
      <c r="D89" s="34">
        <f t="shared" si="3"/>
        <v>3.3591276820260287E-2</v>
      </c>
      <c r="E89" s="35">
        <f t="shared" si="4"/>
        <v>27904.508793527963</v>
      </c>
      <c r="F89" s="3"/>
      <c r="G89" s="3"/>
    </row>
    <row r="90" spans="1:7" ht="12" customHeight="1" x14ac:dyDescent="0.25">
      <c r="A90" s="3"/>
      <c r="B90" s="3"/>
      <c r="C90" s="33">
        <f t="shared" si="3"/>
        <v>21</v>
      </c>
      <c r="D90" s="34">
        <f t="shared" si="3"/>
        <v>3.3591276820260287E-2</v>
      </c>
      <c r="E90" s="35">
        <f t="shared" si="4"/>
        <v>27904.508793527963</v>
      </c>
      <c r="F90" s="3"/>
      <c r="G90" s="3"/>
    </row>
    <row r="91" spans="1:7" ht="12" customHeight="1" x14ac:dyDescent="0.25">
      <c r="A91" s="3"/>
      <c r="B91" s="3"/>
      <c r="C91" s="33">
        <f t="shared" si="3"/>
        <v>22</v>
      </c>
      <c r="D91" s="34">
        <f t="shared" si="3"/>
        <v>3.3151600422089339E-2</v>
      </c>
      <c r="E91" s="35">
        <f t="shared" si="4"/>
        <v>27539.266531832567</v>
      </c>
      <c r="F91" s="3"/>
      <c r="G91" s="3"/>
    </row>
    <row r="92" spans="1:7" ht="12" customHeight="1" x14ac:dyDescent="0.25">
      <c r="A92" s="3"/>
      <c r="B92" s="3"/>
      <c r="C92" s="33">
        <f t="shared" si="3"/>
        <v>23</v>
      </c>
      <c r="D92" s="34">
        <f t="shared" si="3"/>
        <v>3.3151600422089339E-2</v>
      </c>
      <c r="E92" s="35">
        <f t="shared" si="4"/>
        <v>27539.266531832567</v>
      </c>
      <c r="F92" s="3"/>
      <c r="G92" s="3"/>
    </row>
    <row r="93" spans="1:7" ht="12" customHeight="1" x14ac:dyDescent="0.25">
      <c r="A93" s="3"/>
      <c r="B93" s="3"/>
      <c r="C93" s="33">
        <f t="shared" si="3"/>
        <v>24</v>
      </c>
      <c r="D93" s="34">
        <f t="shared" si="3"/>
        <v>3.3151600422089339E-2</v>
      </c>
      <c r="E93" s="35">
        <f t="shared" si="4"/>
        <v>27539.266531832567</v>
      </c>
      <c r="F93" s="3"/>
      <c r="G93" s="3"/>
    </row>
    <row r="94" spans="1:7" ht="12" customHeight="1" x14ac:dyDescent="0.25">
      <c r="A94" s="3"/>
      <c r="B94" s="3"/>
      <c r="C94" s="33">
        <f t="shared" si="3"/>
        <v>25</v>
      </c>
      <c r="D94" s="34">
        <f t="shared" si="3"/>
        <v>3.3151600422089339E-2</v>
      </c>
      <c r="E94" s="35">
        <f t="shared" si="4"/>
        <v>27539.266531832567</v>
      </c>
      <c r="F94" s="3"/>
      <c r="G94" s="3"/>
    </row>
    <row r="95" spans="1:7" ht="12" customHeight="1" x14ac:dyDescent="0.25">
      <c r="A95" s="3"/>
      <c r="B95" s="3"/>
      <c r="C95" s="33">
        <f t="shared" si="3"/>
        <v>26</v>
      </c>
      <c r="D95" s="34">
        <f t="shared" si="3"/>
        <v>3.3591276820260287E-2</v>
      </c>
      <c r="E95" s="35">
        <f t="shared" si="4"/>
        <v>27904.508793527963</v>
      </c>
      <c r="F95" s="3"/>
      <c r="G95" s="3"/>
    </row>
    <row r="96" spans="1:7" ht="12" customHeight="1" x14ac:dyDescent="0.25">
      <c r="A96" s="3"/>
      <c r="B96" s="3"/>
      <c r="C96" s="33">
        <f t="shared" si="3"/>
        <v>27</v>
      </c>
      <c r="D96" s="34">
        <f t="shared" si="3"/>
        <v>3.341540626099191E-2</v>
      </c>
      <c r="E96" s="35">
        <f t="shared" si="4"/>
        <v>27758.411888849805</v>
      </c>
      <c r="F96" s="3"/>
      <c r="G96" s="3"/>
    </row>
    <row r="97" spans="1:7" ht="12" customHeight="1" x14ac:dyDescent="0.25">
      <c r="A97" s="3"/>
      <c r="B97" s="3"/>
      <c r="C97" s="33">
        <f t="shared" si="3"/>
        <v>28</v>
      </c>
      <c r="D97" s="34">
        <f t="shared" si="3"/>
        <v>3.341540626099191E-2</v>
      </c>
      <c r="E97" s="35">
        <f t="shared" si="4"/>
        <v>27758.411888849805</v>
      </c>
      <c r="F97" s="3"/>
      <c r="G97" s="3"/>
    </row>
    <row r="98" spans="1:7" ht="12" customHeight="1" x14ac:dyDescent="0.25">
      <c r="A98" s="3"/>
      <c r="B98" s="3"/>
      <c r="C98" s="33">
        <f t="shared" si="3"/>
        <v>29</v>
      </c>
      <c r="D98" s="34">
        <f t="shared" si="3"/>
        <v>3.341540626099191E-2</v>
      </c>
      <c r="E98" s="35">
        <f t="shared" si="4"/>
        <v>27758.411888849805</v>
      </c>
      <c r="F98" s="3"/>
      <c r="G98" s="3"/>
    </row>
    <row r="99" spans="1:7" ht="12" customHeight="1" x14ac:dyDescent="0.25">
      <c r="A99" s="3"/>
      <c r="B99" s="3"/>
      <c r="C99" s="33">
        <f t="shared" si="3"/>
        <v>30</v>
      </c>
      <c r="D99" s="34">
        <f t="shared" si="3"/>
        <v>3.341540626099191E-2</v>
      </c>
      <c r="E99" s="35">
        <f t="shared" si="4"/>
        <v>27758.411888849805</v>
      </c>
      <c r="F99" s="3"/>
      <c r="G99" s="3"/>
    </row>
    <row r="100" spans="1:7" ht="12" customHeight="1" x14ac:dyDescent="0.25">
      <c r="A100" s="3"/>
      <c r="B100" s="3"/>
      <c r="C100" s="18" t="s">
        <v>8</v>
      </c>
      <c r="D100" s="19">
        <f>SUM(D70:D99)</f>
        <v>0.99999999999999989</v>
      </c>
      <c r="E100" s="20">
        <f>SUM(E70:E99)</f>
        <v>830706.99999999977</v>
      </c>
      <c r="F100" s="21"/>
      <c r="G100" s="3"/>
    </row>
  </sheetData>
  <pageMargins left="0.25" right="0.25" top="0.25" bottom="0.25" header="0.2" footer="0.2"/>
  <pageSetup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CF143-665A-42E7-B661-80835F7C31DA}">
  <sheetPr>
    <pageSetUpPr fitToPage="1"/>
  </sheetPr>
  <dimension ref="A1:P55"/>
  <sheetViews>
    <sheetView workbookViewId="0">
      <pane ySplit="6" topLeftCell="A7" activePane="bottomLeft" state="frozen"/>
      <selection pane="bottomLeft" sqref="A1:O1"/>
    </sheetView>
  </sheetViews>
  <sheetFormatPr defaultRowHeight="14.4" x14ac:dyDescent="0.3"/>
  <cols>
    <col min="1" max="1" width="32.6640625" style="38" customWidth="1"/>
    <col min="2" max="15" width="9.77734375" style="38" customWidth="1"/>
    <col min="16" max="16384" width="8.88671875" style="38"/>
  </cols>
  <sheetData>
    <row r="1" spans="1:16" ht="17.399999999999999" x14ac:dyDescent="0.3">
      <c r="A1" s="53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55"/>
      <c r="O1" s="55"/>
    </row>
    <row r="2" spans="1:16" ht="17.399999999999999" x14ac:dyDescent="0.3">
      <c r="A2" s="53" t="s">
        <v>35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  <c r="N2" s="55"/>
      <c r="O2" s="55"/>
    </row>
    <row r="3" spans="1:16" ht="17.399999999999999" x14ac:dyDescent="0.3">
      <c r="A3" s="53" t="s">
        <v>36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  <c r="N3" s="55"/>
      <c r="O3" s="55"/>
    </row>
    <row r="5" spans="1:16" x14ac:dyDescent="0.3">
      <c r="A5" s="39"/>
      <c r="B5" s="40">
        <v>46023</v>
      </c>
      <c r="C5" s="40">
        <v>46054</v>
      </c>
      <c r="D5" s="40">
        <v>46082</v>
      </c>
      <c r="E5" s="40">
        <v>46113</v>
      </c>
      <c r="F5" s="40">
        <v>46143</v>
      </c>
      <c r="G5" s="40">
        <v>46174</v>
      </c>
      <c r="H5" s="40">
        <v>46204</v>
      </c>
      <c r="I5" s="40">
        <v>46235</v>
      </c>
      <c r="J5" s="40">
        <v>46266</v>
      </c>
      <c r="K5" s="40">
        <v>46296</v>
      </c>
      <c r="L5" s="40">
        <v>46327</v>
      </c>
      <c r="M5" s="41" t="s">
        <v>37</v>
      </c>
      <c r="N5" s="42">
        <v>2026</v>
      </c>
      <c r="O5" s="42">
        <v>2026</v>
      </c>
    </row>
    <row r="6" spans="1:16" x14ac:dyDescent="0.3">
      <c r="A6" s="39"/>
      <c r="B6" s="43" t="s">
        <v>38</v>
      </c>
      <c r="C6" s="43" t="s">
        <v>38</v>
      </c>
      <c r="D6" s="43" t="s">
        <v>38</v>
      </c>
      <c r="E6" s="43" t="s">
        <v>38</v>
      </c>
      <c r="F6" s="43" t="s">
        <v>38</v>
      </c>
      <c r="G6" s="43" t="s">
        <v>38</v>
      </c>
      <c r="H6" s="43" t="s">
        <v>38</v>
      </c>
      <c r="I6" s="43" t="s">
        <v>38</v>
      </c>
      <c r="J6" s="43" t="s">
        <v>38</v>
      </c>
      <c r="K6" s="43" t="s">
        <v>38</v>
      </c>
      <c r="L6" s="43" t="s">
        <v>38</v>
      </c>
      <c r="M6" s="43" t="s">
        <v>38</v>
      </c>
      <c r="N6" s="42" t="s">
        <v>38</v>
      </c>
      <c r="O6" s="42" t="s">
        <v>39</v>
      </c>
    </row>
    <row r="7" spans="1:16" x14ac:dyDescent="0.3">
      <c r="A7" s="44" t="s">
        <v>40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  <c r="O7" s="46"/>
    </row>
    <row r="8" spans="1:16" x14ac:dyDescent="0.3">
      <c r="A8" s="44" t="s">
        <v>41</v>
      </c>
      <c r="B8" s="47">
        <v>10922</v>
      </c>
      <c r="C8" s="47">
        <v>10922</v>
      </c>
      <c r="D8" s="47">
        <v>11462</v>
      </c>
      <c r="E8" s="47">
        <v>11462</v>
      </c>
      <c r="F8" s="47">
        <v>11462</v>
      </c>
      <c r="G8" s="47">
        <v>11462</v>
      </c>
      <c r="H8" s="47">
        <v>11462</v>
      </c>
      <c r="I8" s="47">
        <v>11462</v>
      </c>
      <c r="J8" s="47">
        <v>11462</v>
      </c>
      <c r="K8" s="47">
        <v>11462</v>
      </c>
      <c r="L8" s="47">
        <v>11462</v>
      </c>
      <c r="M8" s="47">
        <v>11462</v>
      </c>
      <c r="N8" s="48">
        <f t="shared" ref="N8:N15" si="0">SUM(B8:M8)</f>
        <v>136464</v>
      </c>
      <c r="O8" s="48">
        <f t="shared" ref="O8:O46" si="1">N8/12</f>
        <v>11372</v>
      </c>
    </row>
    <row r="9" spans="1:16" x14ac:dyDescent="0.3">
      <c r="A9" s="44" t="s">
        <v>41</v>
      </c>
      <c r="B9" s="47">
        <v>200</v>
      </c>
      <c r="C9" s="47">
        <v>200</v>
      </c>
      <c r="D9" s="47">
        <v>200</v>
      </c>
      <c r="E9" s="47">
        <v>200</v>
      </c>
      <c r="F9" s="47">
        <v>200</v>
      </c>
      <c r="G9" s="47">
        <v>200</v>
      </c>
      <c r="H9" s="47">
        <v>200</v>
      </c>
      <c r="I9" s="47">
        <v>200</v>
      </c>
      <c r="J9" s="47">
        <v>200</v>
      </c>
      <c r="K9" s="47">
        <v>200</v>
      </c>
      <c r="L9" s="47">
        <v>200</v>
      </c>
      <c r="M9" s="47">
        <v>200</v>
      </c>
      <c r="N9" s="48">
        <f t="shared" si="0"/>
        <v>2400</v>
      </c>
      <c r="O9" s="48">
        <f t="shared" si="1"/>
        <v>200</v>
      </c>
      <c r="P9" s="49" t="s">
        <v>98</v>
      </c>
    </row>
    <row r="10" spans="1:16" x14ac:dyDescent="0.3">
      <c r="A10" s="44" t="s">
        <v>42</v>
      </c>
      <c r="B10" s="47">
        <v>1.5</v>
      </c>
      <c r="C10" s="47">
        <v>1.5</v>
      </c>
      <c r="D10" s="47">
        <v>1.5</v>
      </c>
      <c r="E10" s="47">
        <v>1.5</v>
      </c>
      <c r="F10" s="47">
        <v>1.5</v>
      </c>
      <c r="G10" s="47">
        <v>1.5</v>
      </c>
      <c r="H10" s="47">
        <v>1.5</v>
      </c>
      <c r="I10" s="47">
        <v>1.5</v>
      </c>
      <c r="J10" s="47">
        <v>1.5</v>
      </c>
      <c r="K10" s="47">
        <v>1.5</v>
      </c>
      <c r="L10" s="47">
        <v>1.5</v>
      </c>
      <c r="M10" s="47">
        <v>1.5</v>
      </c>
      <c r="N10" s="48">
        <f t="shared" si="0"/>
        <v>18</v>
      </c>
      <c r="O10" s="48">
        <f t="shared" si="1"/>
        <v>1.5</v>
      </c>
    </row>
    <row r="11" spans="1:16" x14ac:dyDescent="0.3">
      <c r="A11" s="44" t="s">
        <v>43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6">
        <f t="shared" si="0"/>
        <v>0</v>
      </c>
      <c r="O11" s="46">
        <f t="shared" si="1"/>
        <v>0</v>
      </c>
      <c r="P11" s="49"/>
    </row>
    <row r="12" spans="1:16" x14ac:dyDescent="0.3">
      <c r="A12" s="44" t="s">
        <v>44</v>
      </c>
      <c r="B12" s="45"/>
      <c r="C12" s="45"/>
      <c r="D12" s="45"/>
      <c r="E12" s="45"/>
      <c r="F12" s="45"/>
      <c r="G12" s="47"/>
      <c r="H12" s="45"/>
      <c r="I12" s="45"/>
      <c r="J12" s="45"/>
      <c r="K12" s="45"/>
      <c r="L12" s="45"/>
      <c r="M12" s="45"/>
      <c r="N12" s="46">
        <f t="shared" si="0"/>
        <v>0</v>
      </c>
      <c r="O12" s="46">
        <f t="shared" si="1"/>
        <v>0</v>
      </c>
    </row>
    <row r="13" spans="1:16" x14ac:dyDescent="0.3">
      <c r="A13" s="44" t="s">
        <v>45</v>
      </c>
      <c r="B13" s="45"/>
      <c r="C13" s="45"/>
      <c r="D13" s="47"/>
      <c r="E13" s="45"/>
      <c r="F13" s="45"/>
      <c r="G13" s="45"/>
      <c r="H13" s="45"/>
      <c r="I13" s="45"/>
      <c r="J13" s="45"/>
      <c r="K13" s="45"/>
      <c r="L13" s="45"/>
      <c r="M13" s="45"/>
      <c r="N13" s="46">
        <f t="shared" si="0"/>
        <v>0</v>
      </c>
      <c r="O13" s="46">
        <f t="shared" si="1"/>
        <v>0</v>
      </c>
    </row>
    <row r="14" spans="1:16" x14ac:dyDescent="0.3">
      <c r="A14" s="44" t="s">
        <v>46</v>
      </c>
      <c r="B14" s="50">
        <f>SUM(B8:B13)</f>
        <v>11123.5</v>
      </c>
      <c r="C14" s="50">
        <f t="shared" ref="C14:M14" si="2">SUM(C8:C13)</f>
        <v>11123.5</v>
      </c>
      <c r="D14" s="50">
        <f t="shared" si="2"/>
        <v>11663.5</v>
      </c>
      <c r="E14" s="50">
        <f t="shared" si="2"/>
        <v>11663.5</v>
      </c>
      <c r="F14" s="50">
        <f t="shared" si="2"/>
        <v>11663.5</v>
      </c>
      <c r="G14" s="50">
        <f t="shared" si="2"/>
        <v>11663.5</v>
      </c>
      <c r="H14" s="50">
        <f t="shared" si="2"/>
        <v>11663.5</v>
      </c>
      <c r="I14" s="50">
        <f t="shared" si="2"/>
        <v>11663.5</v>
      </c>
      <c r="J14" s="50">
        <f t="shared" si="2"/>
        <v>11663.5</v>
      </c>
      <c r="K14" s="50">
        <f t="shared" si="2"/>
        <v>11663.5</v>
      </c>
      <c r="L14" s="50">
        <f t="shared" si="2"/>
        <v>11663.5</v>
      </c>
      <c r="M14" s="50">
        <f t="shared" si="2"/>
        <v>11663.5</v>
      </c>
      <c r="N14" s="51">
        <f t="shared" si="0"/>
        <v>138882</v>
      </c>
      <c r="O14" s="51">
        <f t="shared" si="1"/>
        <v>11573.5</v>
      </c>
    </row>
    <row r="15" spans="1:16" x14ac:dyDescent="0.3">
      <c r="A15" s="44" t="s">
        <v>47</v>
      </c>
      <c r="B15" s="50">
        <f t="shared" ref="B15:M15" si="3">(B14)-(0)</f>
        <v>11123.5</v>
      </c>
      <c r="C15" s="50">
        <f t="shared" si="3"/>
        <v>11123.5</v>
      </c>
      <c r="D15" s="50">
        <f t="shared" si="3"/>
        <v>11663.5</v>
      </c>
      <c r="E15" s="50">
        <f t="shared" si="3"/>
        <v>11663.5</v>
      </c>
      <c r="F15" s="50">
        <f t="shared" si="3"/>
        <v>11663.5</v>
      </c>
      <c r="G15" s="50">
        <f t="shared" si="3"/>
        <v>11663.5</v>
      </c>
      <c r="H15" s="50">
        <f t="shared" si="3"/>
        <v>11663.5</v>
      </c>
      <c r="I15" s="50">
        <f t="shared" si="3"/>
        <v>11663.5</v>
      </c>
      <c r="J15" s="50">
        <f t="shared" si="3"/>
        <v>11663.5</v>
      </c>
      <c r="K15" s="50">
        <f t="shared" si="3"/>
        <v>11663.5</v>
      </c>
      <c r="L15" s="50">
        <f t="shared" si="3"/>
        <v>11663.5</v>
      </c>
      <c r="M15" s="50">
        <f t="shared" si="3"/>
        <v>11663.5</v>
      </c>
      <c r="N15" s="51">
        <f t="shared" si="0"/>
        <v>138882</v>
      </c>
      <c r="O15" s="51">
        <f t="shared" si="1"/>
        <v>11573.5</v>
      </c>
    </row>
    <row r="16" spans="1:16" x14ac:dyDescent="0.3">
      <c r="A16" s="44" t="s">
        <v>48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6"/>
    </row>
    <row r="17" spans="1:15" x14ac:dyDescent="0.3">
      <c r="A17" s="44" t="s">
        <v>49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6"/>
    </row>
    <row r="18" spans="1:15" x14ac:dyDescent="0.3">
      <c r="A18" s="44" t="s">
        <v>50</v>
      </c>
      <c r="B18" s="45">
        <v>100</v>
      </c>
      <c r="C18" s="45">
        <v>100</v>
      </c>
      <c r="D18" s="45">
        <v>100</v>
      </c>
      <c r="E18" s="45">
        <v>100</v>
      </c>
      <c r="F18" s="45">
        <v>100</v>
      </c>
      <c r="G18" s="45">
        <v>100</v>
      </c>
      <c r="H18" s="45">
        <v>100</v>
      </c>
      <c r="I18" s="45">
        <v>100</v>
      </c>
      <c r="J18" s="45">
        <v>100</v>
      </c>
      <c r="K18" s="45">
        <v>100</v>
      </c>
      <c r="L18" s="45">
        <v>100</v>
      </c>
      <c r="M18" s="45">
        <v>100</v>
      </c>
      <c r="N18" s="46">
        <f>SUM(B18:M18)</f>
        <v>1200</v>
      </c>
      <c r="O18" s="46">
        <f t="shared" si="1"/>
        <v>100</v>
      </c>
    </row>
    <row r="19" spans="1:15" x14ac:dyDescent="0.3">
      <c r="A19" s="44" t="s">
        <v>51</v>
      </c>
      <c r="B19" s="45"/>
      <c r="C19" s="45"/>
      <c r="D19" s="45"/>
      <c r="E19" s="45"/>
      <c r="F19" s="45"/>
      <c r="G19" s="45"/>
      <c r="H19" s="45"/>
      <c r="I19" s="45"/>
      <c r="J19" s="45">
        <v>20</v>
      </c>
      <c r="K19" s="45"/>
      <c r="L19" s="45"/>
      <c r="M19" s="45"/>
      <c r="N19" s="46">
        <f>SUM(B19:M19)</f>
        <v>20</v>
      </c>
      <c r="O19" s="46">
        <f t="shared" si="1"/>
        <v>1.6666666666666667</v>
      </c>
    </row>
    <row r="20" spans="1:15" x14ac:dyDescent="0.3">
      <c r="A20" s="44" t="s">
        <v>52</v>
      </c>
      <c r="B20" s="45">
        <v>100</v>
      </c>
      <c r="C20" s="45">
        <v>100</v>
      </c>
      <c r="D20" s="45">
        <v>100</v>
      </c>
      <c r="E20" s="45">
        <v>100</v>
      </c>
      <c r="F20" s="45">
        <v>100</v>
      </c>
      <c r="G20" s="45">
        <v>100</v>
      </c>
      <c r="H20" s="45">
        <v>100</v>
      </c>
      <c r="I20" s="45">
        <v>100</v>
      </c>
      <c r="J20" s="45">
        <v>100</v>
      </c>
      <c r="K20" s="45">
        <v>100</v>
      </c>
      <c r="L20" s="45">
        <v>100</v>
      </c>
      <c r="M20" s="45">
        <v>100</v>
      </c>
      <c r="N20" s="48">
        <f>SUM(B20:M20)</f>
        <v>1200</v>
      </c>
      <c r="O20" s="48">
        <f t="shared" si="1"/>
        <v>100</v>
      </c>
    </row>
    <row r="21" spans="1:15" x14ac:dyDescent="0.3">
      <c r="A21" s="44" t="s">
        <v>53</v>
      </c>
      <c r="B21" s="50">
        <f t="shared" ref="B21:M21" si="4">((B17)+(B18))+(B20)</f>
        <v>200</v>
      </c>
      <c r="C21" s="50">
        <f t="shared" si="4"/>
        <v>200</v>
      </c>
      <c r="D21" s="50">
        <f t="shared" si="4"/>
        <v>200</v>
      </c>
      <c r="E21" s="50">
        <f t="shared" si="4"/>
        <v>200</v>
      </c>
      <c r="F21" s="50">
        <f t="shared" si="4"/>
        <v>200</v>
      </c>
      <c r="G21" s="50">
        <f t="shared" si="4"/>
        <v>200</v>
      </c>
      <c r="H21" s="50">
        <f t="shared" si="4"/>
        <v>200</v>
      </c>
      <c r="I21" s="50">
        <f t="shared" si="4"/>
        <v>200</v>
      </c>
      <c r="J21" s="50">
        <f t="shared" si="4"/>
        <v>200</v>
      </c>
      <c r="K21" s="50">
        <f t="shared" si="4"/>
        <v>200</v>
      </c>
      <c r="L21" s="50">
        <f t="shared" si="4"/>
        <v>200</v>
      </c>
      <c r="M21" s="50">
        <f t="shared" si="4"/>
        <v>200</v>
      </c>
      <c r="N21" s="51">
        <f>SUM(B21:M21)</f>
        <v>2400</v>
      </c>
      <c r="O21" s="51">
        <f t="shared" si="1"/>
        <v>200</v>
      </c>
    </row>
    <row r="22" spans="1:15" x14ac:dyDescent="0.3">
      <c r="A22" s="44" t="s">
        <v>54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6">
        <f t="shared" si="1"/>
        <v>0</v>
      </c>
    </row>
    <row r="23" spans="1:15" x14ac:dyDescent="0.3">
      <c r="A23" s="44" t="s">
        <v>55</v>
      </c>
      <c r="B23" s="45">
        <v>2100</v>
      </c>
      <c r="C23" s="45">
        <v>2100</v>
      </c>
      <c r="D23" s="45">
        <v>2100</v>
      </c>
      <c r="E23" s="45">
        <v>2100</v>
      </c>
      <c r="F23" s="45">
        <v>2100</v>
      </c>
      <c r="G23" s="45">
        <v>2100</v>
      </c>
      <c r="H23" s="45">
        <v>2100</v>
      </c>
      <c r="I23" s="45">
        <v>2100</v>
      </c>
      <c r="J23" s="45">
        <v>2100</v>
      </c>
      <c r="K23" s="45">
        <v>2100</v>
      </c>
      <c r="L23" s="45">
        <v>2100</v>
      </c>
      <c r="M23" s="45">
        <v>2100</v>
      </c>
      <c r="N23" s="46">
        <f t="shared" ref="N23:N46" si="5">SUM(B23:M23)</f>
        <v>25200</v>
      </c>
      <c r="O23" s="46">
        <f t="shared" si="1"/>
        <v>2100</v>
      </c>
    </row>
    <row r="24" spans="1:15" x14ac:dyDescent="0.3">
      <c r="A24" s="44" t="s">
        <v>56</v>
      </c>
      <c r="B24" s="45">
        <v>2000</v>
      </c>
      <c r="C24" s="45">
        <v>2000</v>
      </c>
      <c r="D24" s="45">
        <v>2000</v>
      </c>
      <c r="E24" s="45">
        <v>2000</v>
      </c>
      <c r="F24" s="45">
        <v>2000</v>
      </c>
      <c r="G24" s="45">
        <v>2000</v>
      </c>
      <c r="H24" s="45">
        <v>2000</v>
      </c>
      <c r="I24" s="45">
        <v>2000</v>
      </c>
      <c r="J24" s="45">
        <v>2000</v>
      </c>
      <c r="K24" s="45">
        <v>2000</v>
      </c>
      <c r="L24" s="45">
        <v>2000</v>
      </c>
      <c r="M24" s="45">
        <v>2000</v>
      </c>
      <c r="N24" s="46">
        <f t="shared" si="5"/>
        <v>24000</v>
      </c>
      <c r="O24" s="46">
        <f t="shared" si="1"/>
        <v>2000</v>
      </c>
    </row>
    <row r="25" spans="1:15" x14ac:dyDescent="0.3">
      <c r="A25" s="44" t="s">
        <v>57</v>
      </c>
      <c r="B25" s="50">
        <f t="shared" ref="B25:M25" si="6">((B22)+(B23))+(B24)</f>
        <v>4100</v>
      </c>
      <c r="C25" s="50">
        <f t="shared" si="6"/>
        <v>4100</v>
      </c>
      <c r="D25" s="50">
        <f t="shared" si="6"/>
        <v>4100</v>
      </c>
      <c r="E25" s="50">
        <f t="shared" si="6"/>
        <v>4100</v>
      </c>
      <c r="F25" s="50">
        <f t="shared" si="6"/>
        <v>4100</v>
      </c>
      <c r="G25" s="50">
        <f t="shared" si="6"/>
        <v>4100</v>
      </c>
      <c r="H25" s="50">
        <f t="shared" si="6"/>
        <v>4100</v>
      </c>
      <c r="I25" s="50">
        <f t="shared" si="6"/>
        <v>4100</v>
      </c>
      <c r="J25" s="50">
        <f t="shared" si="6"/>
        <v>4100</v>
      </c>
      <c r="K25" s="50">
        <f t="shared" si="6"/>
        <v>4100</v>
      </c>
      <c r="L25" s="50">
        <f t="shared" si="6"/>
        <v>4100</v>
      </c>
      <c r="M25" s="50">
        <f t="shared" si="6"/>
        <v>4100</v>
      </c>
      <c r="N25" s="51">
        <f t="shared" si="5"/>
        <v>49200</v>
      </c>
      <c r="O25" s="51">
        <f t="shared" si="1"/>
        <v>4100</v>
      </c>
    </row>
    <row r="26" spans="1:15" x14ac:dyDescent="0.3">
      <c r="A26" s="44" t="s">
        <v>58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>
        <f t="shared" si="5"/>
        <v>0</v>
      </c>
      <c r="O26" s="46">
        <f t="shared" si="1"/>
        <v>0</v>
      </c>
    </row>
    <row r="27" spans="1:15" x14ac:dyDescent="0.3">
      <c r="A27" s="44" t="s">
        <v>59</v>
      </c>
      <c r="B27" s="45">
        <v>500</v>
      </c>
      <c r="C27" s="45">
        <v>500</v>
      </c>
      <c r="D27" s="45">
        <v>500</v>
      </c>
      <c r="E27" s="45">
        <v>500</v>
      </c>
      <c r="F27" s="45">
        <v>500</v>
      </c>
      <c r="G27" s="45">
        <v>500</v>
      </c>
      <c r="H27" s="45">
        <v>500</v>
      </c>
      <c r="I27" s="45">
        <v>500</v>
      </c>
      <c r="J27" s="45">
        <v>500</v>
      </c>
      <c r="K27" s="45">
        <v>500</v>
      </c>
      <c r="L27" s="45">
        <v>500</v>
      </c>
      <c r="M27" s="45">
        <v>500</v>
      </c>
      <c r="N27" s="46">
        <f t="shared" si="5"/>
        <v>6000</v>
      </c>
      <c r="O27" s="46">
        <f t="shared" si="1"/>
        <v>500</v>
      </c>
    </row>
    <row r="28" spans="1:15" x14ac:dyDescent="0.3">
      <c r="A28" s="44" t="s">
        <v>60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>
        <f t="shared" si="5"/>
        <v>0</v>
      </c>
      <c r="O28" s="46">
        <f t="shared" si="1"/>
        <v>0</v>
      </c>
    </row>
    <row r="29" spans="1:15" x14ac:dyDescent="0.3">
      <c r="A29" s="44" t="s">
        <v>61</v>
      </c>
      <c r="B29" s="47">
        <v>1400</v>
      </c>
      <c r="C29" s="47">
        <v>1400</v>
      </c>
      <c r="D29" s="47">
        <v>1400</v>
      </c>
      <c r="E29" s="47">
        <v>1400</v>
      </c>
      <c r="F29" s="47">
        <v>1400</v>
      </c>
      <c r="G29" s="47">
        <v>1400</v>
      </c>
      <c r="H29" s="47">
        <v>1400</v>
      </c>
      <c r="I29" s="47">
        <v>1400</v>
      </c>
      <c r="J29" s="47">
        <v>1400</v>
      </c>
      <c r="K29" s="47">
        <v>1400</v>
      </c>
      <c r="L29" s="47">
        <v>1400</v>
      </c>
      <c r="M29" s="47">
        <v>1400</v>
      </c>
      <c r="N29" s="48">
        <f t="shared" si="5"/>
        <v>16800</v>
      </c>
      <c r="O29" s="48">
        <f t="shared" si="1"/>
        <v>1400</v>
      </c>
    </row>
    <row r="30" spans="1:15" x14ac:dyDescent="0.3">
      <c r="A30" s="44" t="s">
        <v>62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>
        <f t="shared" si="5"/>
        <v>0</v>
      </c>
      <c r="O30" s="46">
        <f t="shared" si="1"/>
        <v>0</v>
      </c>
    </row>
    <row r="31" spans="1:15" x14ac:dyDescent="0.3">
      <c r="A31" s="44" t="s">
        <v>63</v>
      </c>
      <c r="B31" s="47">
        <v>80</v>
      </c>
      <c r="C31" s="47">
        <v>80</v>
      </c>
      <c r="D31" s="47">
        <v>80</v>
      </c>
      <c r="E31" s="47">
        <v>80</v>
      </c>
      <c r="F31" s="47">
        <v>80</v>
      </c>
      <c r="G31" s="47">
        <v>80</v>
      </c>
      <c r="H31" s="47">
        <v>80</v>
      </c>
      <c r="I31" s="47">
        <v>80</v>
      </c>
      <c r="J31" s="47">
        <v>80</v>
      </c>
      <c r="K31" s="47">
        <v>80</v>
      </c>
      <c r="L31" s="47">
        <v>80</v>
      </c>
      <c r="M31" s="47">
        <v>80</v>
      </c>
      <c r="N31" s="48">
        <f t="shared" si="5"/>
        <v>960</v>
      </c>
      <c r="O31" s="48">
        <f t="shared" si="1"/>
        <v>80</v>
      </c>
    </row>
    <row r="32" spans="1:15" x14ac:dyDescent="0.3">
      <c r="A32" s="44" t="s">
        <v>64</v>
      </c>
      <c r="B32" s="50">
        <f t="shared" ref="B32:M32" si="7">(((((B26)+(B27))+(B28))+(B29))+(B30))+(B31)</f>
        <v>1980</v>
      </c>
      <c r="C32" s="50">
        <f t="shared" si="7"/>
        <v>1980</v>
      </c>
      <c r="D32" s="50">
        <f t="shared" si="7"/>
        <v>1980</v>
      </c>
      <c r="E32" s="50">
        <f t="shared" si="7"/>
        <v>1980</v>
      </c>
      <c r="F32" s="50">
        <f t="shared" si="7"/>
        <v>1980</v>
      </c>
      <c r="G32" s="50">
        <f t="shared" si="7"/>
        <v>1980</v>
      </c>
      <c r="H32" s="50">
        <f t="shared" si="7"/>
        <v>1980</v>
      </c>
      <c r="I32" s="50">
        <f t="shared" si="7"/>
        <v>1980</v>
      </c>
      <c r="J32" s="50">
        <f t="shared" si="7"/>
        <v>1980</v>
      </c>
      <c r="K32" s="50">
        <f t="shared" si="7"/>
        <v>1980</v>
      </c>
      <c r="L32" s="50">
        <f t="shared" si="7"/>
        <v>1980</v>
      </c>
      <c r="M32" s="50">
        <f t="shared" si="7"/>
        <v>1980</v>
      </c>
      <c r="N32" s="51">
        <f t="shared" si="5"/>
        <v>23760</v>
      </c>
      <c r="O32" s="51">
        <f t="shared" si="1"/>
        <v>1980</v>
      </c>
    </row>
    <row r="33" spans="1:16" x14ac:dyDescent="0.3">
      <c r="A33" s="44" t="s">
        <v>65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>
        <f t="shared" si="5"/>
        <v>0</v>
      </c>
      <c r="O33" s="46">
        <f t="shared" si="1"/>
        <v>0</v>
      </c>
    </row>
    <row r="34" spans="1:16" x14ac:dyDescent="0.3">
      <c r="A34" s="44" t="s">
        <v>66</v>
      </c>
      <c r="B34" s="47">
        <v>450</v>
      </c>
      <c r="C34" s="47">
        <v>450</v>
      </c>
      <c r="D34" s="47">
        <v>450</v>
      </c>
      <c r="E34" s="47">
        <v>450</v>
      </c>
      <c r="F34" s="47">
        <v>450</v>
      </c>
      <c r="G34" s="47">
        <v>450</v>
      </c>
      <c r="H34" s="47">
        <v>450</v>
      </c>
      <c r="I34" s="47">
        <v>450</v>
      </c>
      <c r="J34" s="47">
        <v>450</v>
      </c>
      <c r="K34" s="47">
        <v>450</v>
      </c>
      <c r="L34" s="47">
        <v>450</v>
      </c>
      <c r="M34" s="47">
        <v>450</v>
      </c>
      <c r="N34" s="48">
        <f t="shared" si="5"/>
        <v>5400</v>
      </c>
      <c r="O34" s="48">
        <f t="shared" si="1"/>
        <v>450</v>
      </c>
    </row>
    <row r="35" spans="1:16" x14ac:dyDescent="0.3">
      <c r="A35" s="44" t="s">
        <v>67</v>
      </c>
      <c r="B35" s="45">
        <v>100</v>
      </c>
      <c r="C35" s="45">
        <v>100</v>
      </c>
      <c r="D35" s="45">
        <v>100</v>
      </c>
      <c r="E35" s="45">
        <v>100</v>
      </c>
      <c r="F35" s="45">
        <v>100</v>
      </c>
      <c r="G35" s="45">
        <v>100</v>
      </c>
      <c r="H35" s="45">
        <v>100</v>
      </c>
      <c r="I35" s="45">
        <v>100</v>
      </c>
      <c r="J35" s="45">
        <v>100</v>
      </c>
      <c r="K35" s="45">
        <v>100</v>
      </c>
      <c r="L35" s="45">
        <v>100</v>
      </c>
      <c r="M35" s="45">
        <v>100</v>
      </c>
      <c r="N35" s="48">
        <f t="shared" si="5"/>
        <v>1200</v>
      </c>
      <c r="O35" s="48">
        <f t="shared" si="1"/>
        <v>100</v>
      </c>
      <c r="P35" s="49"/>
    </row>
    <row r="36" spans="1:16" x14ac:dyDescent="0.3">
      <c r="A36" s="44" t="s">
        <v>68</v>
      </c>
      <c r="B36" s="45"/>
      <c r="C36" s="45"/>
      <c r="D36" s="45"/>
      <c r="E36" s="45"/>
      <c r="F36" s="45"/>
      <c r="G36" s="45"/>
      <c r="H36" s="45"/>
      <c r="I36" s="45"/>
      <c r="J36" s="45"/>
      <c r="K36" s="47"/>
      <c r="L36" s="45"/>
      <c r="M36" s="45"/>
      <c r="N36" s="46">
        <f t="shared" si="5"/>
        <v>0</v>
      </c>
      <c r="O36" s="46">
        <f t="shared" si="1"/>
        <v>0</v>
      </c>
    </row>
    <row r="37" spans="1:16" x14ac:dyDescent="0.3">
      <c r="A37" s="44" t="s">
        <v>69</v>
      </c>
      <c r="B37" s="50">
        <f t="shared" ref="B37:M37" si="8">(((B33)+(B34))+(B35))+(B36)</f>
        <v>550</v>
      </c>
      <c r="C37" s="50">
        <f t="shared" si="8"/>
        <v>550</v>
      </c>
      <c r="D37" s="50">
        <f t="shared" si="8"/>
        <v>550</v>
      </c>
      <c r="E37" s="50">
        <f t="shared" si="8"/>
        <v>550</v>
      </c>
      <c r="F37" s="50">
        <f t="shared" si="8"/>
        <v>550</v>
      </c>
      <c r="G37" s="50">
        <f t="shared" si="8"/>
        <v>550</v>
      </c>
      <c r="H37" s="50">
        <f t="shared" si="8"/>
        <v>550</v>
      </c>
      <c r="I37" s="50">
        <f t="shared" si="8"/>
        <v>550</v>
      </c>
      <c r="J37" s="50">
        <f t="shared" si="8"/>
        <v>550</v>
      </c>
      <c r="K37" s="50">
        <f t="shared" si="8"/>
        <v>550</v>
      </c>
      <c r="L37" s="50">
        <f t="shared" si="8"/>
        <v>550</v>
      </c>
      <c r="M37" s="50">
        <f t="shared" si="8"/>
        <v>550</v>
      </c>
      <c r="N37" s="51">
        <f t="shared" si="5"/>
        <v>6600</v>
      </c>
      <c r="O37" s="51">
        <f t="shared" si="1"/>
        <v>550</v>
      </c>
    </row>
    <row r="38" spans="1:16" x14ac:dyDescent="0.3">
      <c r="A38" s="44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6">
        <f t="shared" si="5"/>
        <v>0</v>
      </c>
      <c r="O38" s="46">
        <f t="shared" si="1"/>
        <v>0</v>
      </c>
    </row>
    <row r="39" spans="1:16" x14ac:dyDescent="0.3">
      <c r="A39" s="44" t="s">
        <v>71</v>
      </c>
      <c r="B39" s="45">
        <v>55</v>
      </c>
      <c r="C39" s="45">
        <v>55</v>
      </c>
      <c r="D39" s="45">
        <v>55</v>
      </c>
      <c r="E39" s="45">
        <v>55</v>
      </c>
      <c r="F39" s="45">
        <v>55</v>
      </c>
      <c r="G39" s="45">
        <v>55</v>
      </c>
      <c r="H39" s="45">
        <v>55</v>
      </c>
      <c r="I39" s="45">
        <v>55</v>
      </c>
      <c r="J39" s="45">
        <v>55</v>
      </c>
      <c r="K39" s="45">
        <v>55</v>
      </c>
      <c r="L39" s="45">
        <v>55</v>
      </c>
      <c r="M39" s="45">
        <v>55</v>
      </c>
      <c r="N39" s="46">
        <f t="shared" si="5"/>
        <v>660</v>
      </c>
      <c r="O39" s="46">
        <f t="shared" si="1"/>
        <v>55</v>
      </c>
    </row>
    <row r="40" spans="1:16" x14ac:dyDescent="0.3">
      <c r="A40" s="44" t="s">
        <v>72</v>
      </c>
      <c r="B40" s="47">
        <v>15</v>
      </c>
      <c r="C40" s="47">
        <v>15</v>
      </c>
      <c r="D40" s="47">
        <v>15</v>
      </c>
      <c r="E40" s="47">
        <v>15</v>
      </c>
      <c r="F40" s="47">
        <v>15</v>
      </c>
      <c r="G40" s="47">
        <v>15</v>
      </c>
      <c r="H40" s="47">
        <v>15</v>
      </c>
      <c r="I40" s="47">
        <v>15</v>
      </c>
      <c r="J40" s="47">
        <v>15</v>
      </c>
      <c r="K40" s="47">
        <v>15</v>
      </c>
      <c r="L40" s="47">
        <v>15</v>
      </c>
      <c r="M40" s="47">
        <v>15</v>
      </c>
      <c r="N40" s="48">
        <f t="shared" si="5"/>
        <v>180</v>
      </c>
      <c r="O40" s="48">
        <f t="shared" si="1"/>
        <v>15</v>
      </c>
    </row>
    <row r="41" spans="1:16" x14ac:dyDescent="0.3">
      <c r="A41" s="44" t="s">
        <v>73</v>
      </c>
      <c r="B41" s="47">
        <v>1400</v>
      </c>
      <c r="C41" s="47">
        <v>1400</v>
      </c>
      <c r="D41" s="47">
        <v>1400</v>
      </c>
      <c r="E41" s="47">
        <v>1400</v>
      </c>
      <c r="F41" s="47">
        <v>1400</v>
      </c>
      <c r="G41" s="47">
        <v>1400</v>
      </c>
      <c r="H41" s="47">
        <v>1400</v>
      </c>
      <c r="I41" s="47">
        <v>1400</v>
      </c>
      <c r="J41" s="47">
        <v>1400</v>
      </c>
      <c r="K41" s="47">
        <v>1400</v>
      </c>
      <c r="L41" s="47">
        <v>1400</v>
      </c>
      <c r="M41" s="47">
        <v>1400</v>
      </c>
      <c r="N41" s="48">
        <f t="shared" si="5"/>
        <v>16800</v>
      </c>
      <c r="O41" s="48">
        <f t="shared" si="1"/>
        <v>1400</v>
      </c>
    </row>
    <row r="42" spans="1:16" x14ac:dyDescent="0.3">
      <c r="A42" s="44" t="s">
        <v>74</v>
      </c>
      <c r="B42" s="47">
        <v>185</v>
      </c>
      <c r="C42" s="47">
        <v>185</v>
      </c>
      <c r="D42" s="47">
        <v>185</v>
      </c>
      <c r="E42" s="47">
        <v>185</v>
      </c>
      <c r="F42" s="47">
        <v>185</v>
      </c>
      <c r="G42" s="47">
        <v>185</v>
      </c>
      <c r="H42" s="47">
        <v>185</v>
      </c>
      <c r="I42" s="47">
        <v>185</v>
      </c>
      <c r="J42" s="47">
        <v>185</v>
      </c>
      <c r="K42" s="47">
        <v>185</v>
      </c>
      <c r="L42" s="47">
        <v>185</v>
      </c>
      <c r="M42" s="47">
        <v>185</v>
      </c>
      <c r="N42" s="48">
        <f t="shared" si="5"/>
        <v>2220</v>
      </c>
      <c r="O42" s="48">
        <f t="shared" si="1"/>
        <v>185</v>
      </c>
    </row>
    <row r="43" spans="1:16" x14ac:dyDescent="0.3">
      <c r="A43" s="44" t="s">
        <v>75</v>
      </c>
      <c r="B43" s="47">
        <v>350</v>
      </c>
      <c r="C43" s="47">
        <v>350</v>
      </c>
      <c r="D43" s="47">
        <v>350</v>
      </c>
      <c r="E43" s="47">
        <v>350</v>
      </c>
      <c r="F43" s="47">
        <v>350</v>
      </c>
      <c r="G43" s="47">
        <v>350</v>
      </c>
      <c r="H43" s="47">
        <v>350</v>
      </c>
      <c r="I43" s="47">
        <v>350</v>
      </c>
      <c r="J43" s="47">
        <v>350</v>
      </c>
      <c r="K43" s="47">
        <v>350</v>
      </c>
      <c r="L43" s="47">
        <v>350</v>
      </c>
      <c r="M43" s="47">
        <v>350</v>
      </c>
      <c r="N43" s="48">
        <f t="shared" si="5"/>
        <v>4200</v>
      </c>
      <c r="O43" s="48">
        <f t="shared" si="1"/>
        <v>350</v>
      </c>
    </row>
    <row r="44" spans="1:16" x14ac:dyDescent="0.3">
      <c r="A44" s="44" t="s">
        <v>76</v>
      </c>
      <c r="B44" s="50">
        <f t="shared" ref="B44:M44" si="9">(((((B38)+(B39))+(B40))+(B41))+(B42))+(B43)</f>
        <v>2005</v>
      </c>
      <c r="C44" s="50">
        <f t="shared" si="9"/>
        <v>2005</v>
      </c>
      <c r="D44" s="50">
        <f t="shared" si="9"/>
        <v>2005</v>
      </c>
      <c r="E44" s="50">
        <f t="shared" si="9"/>
        <v>2005</v>
      </c>
      <c r="F44" s="50">
        <f t="shared" si="9"/>
        <v>2005</v>
      </c>
      <c r="G44" s="50">
        <f t="shared" si="9"/>
        <v>2005</v>
      </c>
      <c r="H44" s="50">
        <f t="shared" si="9"/>
        <v>2005</v>
      </c>
      <c r="I44" s="50">
        <f t="shared" si="9"/>
        <v>2005</v>
      </c>
      <c r="J44" s="50">
        <f t="shared" si="9"/>
        <v>2005</v>
      </c>
      <c r="K44" s="50">
        <f t="shared" si="9"/>
        <v>2005</v>
      </c>
      <c r="L44" s="50">
        <f t="shared" si="9"/>
        <v>2005</v>
      </c>
      <c r="M44" s="50">
        <f t="shared" si="9"/>
        <v>2005</v>
      </c>
      <c r="N44" s="51">
        <f t="shared" si="5"/>
        <v>24060</v>
      </c>
      <c r="O44" s="51">
        <f t="shared" si="1"/>
        <v>2005</v>
      </c>
    </row>
    <row r="45" spans="1:16" x14ac:dyDescent="0.3">
      <c r="A45" s="44" t="s">
        <v>17</v>
      </c>
      <c r="B45" s="50">
        <f>B21+B25+B32+B37+B44</f>
        <v>8835</v>
      </c>
      <c r="C45" s="50">
        <f t="shared" ref="C45:M45" si="10">C21+C25+C32+C37+C44</f>
        <v>8835</v>
      </c>
      <c r="D45" s="50">
        <f t="shared" si="10"/>
        <v>8835</v>
      </c>
      <c r="E45" s="50">
        <f t="shared" si="10"/>
        <v>8835</v>
      </c>
      <c r="F45" s="50">
        <f t="shared" si="10"/>
        <v>8835</v>
      </c>
      <c r="G45" s="50">
        <f t="shared" si="10"/>
        <v>8835</v>
      </c>
      <c r="H45" s="50">
        <f t="shared" si="10"/>
        <v>8835</v>
      </c>
      <c r="I45" s="50">
        <f t="shared" si="10"/>
        <v>8835</v>
      </c>
      <c r="J45" s="50">
        <f t="shared" si="10"/>
        <v>8835</v>
      </c>
      <c r="K45" s="50">
        <f t="shared" si="10"/>
        <v>8835</v>
      </c>
      <c r="L45" s="50">
        <f t="shared" si="10"/>
        <v>8835</v>
      </c>
      <c r="M45" s="50">
        <f t="shared" si="10"/>
        <v>8835</v>
      </c>
      <c r="N45" s="51">
        <f t="shared" si="5"/>
        <v>106020</v>
      </c>
      <c r="O45" s="51">
        <f t="shared" si="1"/>
        <v>8835</v>
      </c>
    </row>
    <row r="46" spans="1:16" x14ac:dyDescent="0.3">
      <c r="A46" s="44" t="s">
        <v>77</v>
      </c>
      <c r="B46" s="50">
        <f t="shared" ref="B46:M46" si="11">(B15)-(B45)</f>
        <v>2288.5</v>
      </c>
      <c r="C46" s="50">
        <f t="shared" si="11"/>
        <v>2288.5</v>
      </c>
      <c r="D46" s="50">
        <f t="shared" si="11"/>
        <v>2828.5</v>
      </c>
      <c r="E46" s="50">
        <f t="shared" si="11"/>
        <v>2828.5</v>
      </c>
      <c r="F46" s="50">
        <f t="shared" si="11"/>
        <v>2828.5</v>
      </c>
      <c r="G46" s="50">
        <f t="shared" si="11"/>
        <v>2828.5</v>
      </c>
      <c r="H46" s="50">
        <f t="shared" si="11"/>
        <v>2828.5</v>
      </c>
      <c r="I46" s="50">
        <f t="shared" si="11"/>
        <v>2828.5</v>
      </c>
      <c r="J46" s="50">
        <f t="shared" si="11"/>
        <v>2828.5</v>
      </c>
      <c r="K46" s="50">
        <f t="shared" si="11"/>
        <v>2828.5</v>
      </c>
      <c r="L46" s="50">
        <f t="shared" si="11"/>
        <v>2828.5</v>
      </c>
      <c r="M46" s="50">
        <f t="shared" si="11"/>
        <v>2828.5</v>
      </c>
      <c r="N46" s="51">
        <f t="shared" si="5"/>
        <v>32862</v>
      </c>
      <c r="O46" s="51">
        <f t="shared" si="1"/>
        <v>2738.5</v>
      </c>
    </row>
    <row r="47" spans="1:16" x14ac:dyDescent="0.3">
      <c r="A47" s="44" t="s">
        <v>78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6"/>
      <c r="O47" s="46"/>
    </row>
    <row r="48" spans="1:16" x14ac:dyDescent="0.3">
      <c r="A48" s="44" t="s">
        <v>79</v>
      </c>
      <c r="B48" s="45">
        <v>2500</v>
      </c>
      <c r="C48" s="45">
        <v>2500</v>
      </c>
      <c r="D48" s="45">
        <v>2500</v>
      </c>
      <c r="E48" s="45">
        <v>2500</v>
      </c>
      <c r="F48" s="45">
        <v>2500</v>
      </c>
      <c r="G48" s="45">
        <v>2500</v>
      </c>
      <c r="H48" s="45">
        <v>2500</v>
      </c>
      <c r="I48" s="45">
        <v>2500</v>
      </c>
      <c r="J48" s="45">
        <v>2500</v>
      </c>
      <c r="K48" s="45">
        <v>2500</v>
      </c>
      <c r="L48" s="45">
        <v>2500</v>
      </c>
      <c r="M48" s="45">
        <v>2500</v>
      </c>
      <c r="N48" s="46">
        <f>SUM(B48:M48)</f>
        <v>30000</v>
      </c>
      <c r="O48" s="46">
        <f>N48/12</f>
        <v>2500</v>
      </c>
    </row>
    <row r="49" spans="1:15" x14ac:dyDescent="0.3">
      <c r="A49" s="44" t="s">
        <v>80</v>
      </c>
      <c r="B49" s="50">
        <f t="shared" ref="B49:M49" si="12">B48</f>
        <v>2500</v>
      </c>
      <c r="C49" s="50">
        <f t="shared" si="12"/>
        <v>2500</v>
      </c>
      <c r="D49" s="50">
        <f t="shared" si="12"/>
        <v>2500</v>
      </c>
      <c r="E49" s="50">
        <f t="shared" si="12"/>
        <v>2500</v>
      </c>
      <c r="F49" s="50">
        <f t="shared" si="12"/>
        <v>2500</v>
      </c>
      <c r="G49" s="50">
        <f t="shared" si="12"/>
        <v>2500</v>
      </c>
      <c r="H49" s="50">
        <f t="shared" si="12"/>
        <v>2500</v>
      </c>
      <c r="I49" s="50">
        <f t="shared" si="12"/>
        <v>2500</v>
      </c>
      <c r="J49" s="50">
        <f t="shared" si="12"/>
        <v>2500</v>
      </c>
      <c r="K49" s="50">
        <f t="shared" si="12"/>
        <v>2500</v>
      </c>
      <c r="L49" s="50">
        <f t="shared" si="12"/>
        <v>2500</v>
      </c>
      <c r="M49" s="50">
        <f t="shared" si="12"/>
        <v>2500</v>
      </c>
      <c r="N49" s="51">
        <f>SUM(B49:M49)</f>
        <v>30000</v>
      </c>
      <c r="O49" s="51">
        <f>N49/12</f>
        <v>2500</v>
      </c>
    </row>
    <row r="50" spans="1:15" x14ac:dyDescent="0.3">
      <c r="A50" s="44" t="s">
        <v>81</v>
      </c>
      <c r="B50" s="50">
        <f t="shared" ref="B50:M50" si="13">(0)-(B49)</f>
        <v>-2500</v>
      </c>
      <c r="C50" s="50">
        <f t="shared" si="13"/>
        <v>-2500</v>
      </c>
      <c r="D50" s="50">
        <f t="shared" si="13"/>
        <v>-2500</v>
      </c>
      <c r="E50" s="50">
        <f t="shared" si="13"/>
        <v>-2500</v>
      </c>
      <c r="F50" s="50">
        <f t="shared" si="13"/>
        <v>-2500</v>
      </c>
      <c r="G50" s="50">
        <f t="shared" si="13"/>
        <v>-2500</v>
      </c>
      <c r="H50" s="50">
        <f t="shared" si="13"/>
        <v>-2500</v>
      </c>
      <c r="I50" s="50">
        <f t="shared" si="13"/>
        <v>-2500</v>
      </c>
      <c r="J50" s="50">
        <f t="shared" si="13"/>
        <v>-2500</v>
      </c>
      <c r="K50" s="50">
        <f t="shared" si="13"/>
        <v>-2500</v>
      </c>
      <c r="L50" s="50">
        <f t="shared" si="13"/>
        <v>-2500</v>
      </c>
      <c r="M50" s="50">
        <f t="shared" si="13"/>
        <v>-2500</v>
      </c>
      <c r="N50" s="51">
        <f>SUM(B50:M50)</f>
        <v>-30000</v>
      </c>
      <c r="O50" s="51">
        <f>N50/12</f>
        <v>-2500</v>
      </c>
    </row>
    <row r="51" spans="1:15" x14ac:dyDescent="0.3">
      <c r="A51" s="44" t="s">
        <v>82</v>
      </c>
      <c r="B51" s="50">
        <f t="shared" ref="B51:M51" si="14">(B46)+(B50)</f>
        <v>-211.5</v>
      </c>
      <c r="C51" s="50">
        <f t="shared" si="14"/>
        <v>-211.5</v>
      </c>
      <c r="D51" s="50">
        <f t="shared" si="14"/>
        <v>328.5</v>
      </c>
      <c r="E51" s="50">
        <f t="shared" si="14"/>
        <v>328.5</v>
      </c>
      <c r="F51" s="50">
        <f t="shared" si="14"/>
        <v>328.5</v>
      </c>
      <c r="G51" s="50">
        <f t="shared" si="14"/>
        <v>328.5</v>
      </c>
      <c r="H51" s="50">
        <f t="shared" si="14"/>
        <v>328.5</v>
      </c>
      <c r="I51" s="50">
        <f t="shared" si="14"/>
        <v>328.5</v>
      </c>
      <c r="J51" s="50">
        <f t="shared" si="14"/>
        <v>328.5</v>
      </c>
      <c r="K51" s="50">
        <f t="shared" si="14"/>
        <v>328.5</v>
      </c>
      <c r="L51" s="50">
        <f t="shared" si="14"/>
        <v>328.5</v>
      </c>
      <c r="M51" s="50">
        <f t="shared" si="14"/>
        <v>328.5</v>
      </c>
      <c r="N51" s="51">
        <f>SUM(B51:M51)</f>
        <v>2862</v>
      </c>
      <c r="O51" s="51">
        <f>N51/12</f>
        <v>238.5</v>
      </c>
    </row>
    <row r="52" spans="1:15" x14ac:dyDescent="0.3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5" spans="1:15" x14ac:dyDescent="0.3">
      <c r="A55" s="56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</sheetData>
  <mergeCells count="4">
    <mergeCell ref="A1:O1"/>
    <mergeCell ref="A2:O2"/>
    <mergeCell ref="A3:O3"/>
    <mergeCell ref="A55:L55"/>
  </mergeCells>
  <pageMargins left="0.7" right="0.7" top="0.25" bottom="0.25" header="0.3" footer="0.3"/>
  <pageSetup scale="7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5848-884A-45BB-AE87-E76FD141B9D5}">
  <sheetPr>
    <pageSetUpPr fitToPage="1"/>
  </sheetPr>
  <dimension ref="A1:O55"/>
  <sheetViews>
    <sheetView workbookViewId="0">
      <pane ySplit="6" topLeftCell="A7" activePane="bottomLeft" state="frozen"/>
      <selection pane="bottomLeft" sqref="A1:O1"/>
    </sheetView>
  </sheetViews>
  <sheetFormatPr defaultRowHeight="14.4" x14ac:dyDescent="0.3"/>
  <cols>
    <col min="1" max="1" width="32.6640625" style="38" customWidth="1"/>
    <col min="2" max="2" width="9.44140625" style="38" customWidth="1"/>
    <col min="3" max="3" width="10.33203125" style="38" customWidth="1"/>
    <col min="4" max="4" width="8.5546875" style="38" customWidth="1"/>
    <col min="5" max="5" width="9.44140625" style="38" customWidth="1"/>
    <col min="6" max="6" width="11.21875" style="38" customWidth="1"/>
    <col min="7" max="7" width="9.44140625" style="38" customWidth="1"/>
    <col min="8" max="8" width="10.33203125" style="38" customWidth="1"/>
    <col min="9" max="10" width="8.5546875" style="38" customWidth="1"/>
    <col min="11" max="11" width="9.44140625" style="38" customWidth="1"/>
    <col min="12" max="12" width="8.5546875" style="38" customWidth="1"/>
    <col min="13" max="13" width="9.21875" style="38" bestFit="1" customWidth="1"/>
    <col min="14" max="15" width="9.5546875" style="38" bestFit="1" customWidth="1"/>
    <col min="16" max="16384" width="8.88671875" style="38"/>
  </cols>
  <sheetData>
    <row r="1" spans="1:15" ht="17.399999999999999" x14ac:dyDescent="0.3">
      <c r="A1" s="53" t="s">
        <v>83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55"/>
    </row>
    <row r="2" spans="1:15" ht="17.399999999999999" x14ac:dyDescent="0.3">
      <c r="A2" s="53" t="s">
        <v>84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55"/>
    </row>
    <row r="3" spans="1:15" ht="17.399999999999999" x14ac:dyDescent="0.3">
      <c r="A3" s="53" t="s">
        <v>101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  <c r="O3" s="55"/>
    </row>
    <row r="5" spans="1:15" x14ac:dyDescent="0.3">
      <c r="A5" s="39"/>
      <c r="B5" s="43" t="s">
        <v>85</v>
      </c>
      <c r="C5" s="43" t="s">
        <v>86</v>
      </c>
      <c r="D5" s="43" t="s">
        <v>87</v>
      </c>
      <c r="E5" s="43" t="s">
        <v>88</v>
      </c>
      <c r="F5" s="43" t="s">
        <v>89</v>
      </c>
      <c r="G5" s="43" t="s">
        <v>90</v>
      </c>
      <c r="H5" s="43" t="s">
        <v>91</v>
      </c>
      <c r="I5" s="43" t="s">
        <v>92</v>
      </c>
      <c r="J5" s="43" t="s">
        <v>93</v>
      </c>
      <c r="K5" s="43" t="s">
        <v>94</v>
      </c>
      <c r="L5" s="43" t="s">
        <v>95</v>
      </c>
      <c r="M5" s="52" t="s">
        <v>100</v>
      </c>
      <c r="N5" s="42">
        <v>2025</v>
      </c>
      <c r="O5" s="42">
        <v>2025</v>
      </c>
    </row>
    <row r="6" spans="1:15" x14ac:dyDescent="0.3">
      <c r="A6" s="39"/>
      <c r="B6" s="43" t="s">
        <v>38</v>
      </c>
      <c r="C6" s="43" t="s">
        <v>38</v>
      </c>
      <c r="D6" s="43" t="s">
        <v>38</v>
      </c>
      <c r="E6" s="43" t="s">
        <v>38</v>
      </c>
      <c r="F6" s="43" t="s">
        <v>38</v>
      </c>
      <c r="G6" s="43" t="s">
        <v>38</v>
      </c>
      <c r="H6" s="43" t="s">
        <v>38</v>
      </c>
      <c r="I6" s="43" t="s">
        <v>38</v>
      </c>
      <c r="J6" s="43" t="s">
        <v>38</v>
      </c>
      <c r="K6" s="43" t="s">
        <v>38</v>
      </c>
      <c r="L6" s="43" t="s">
        <v>38</v>
      </c>
      <c r="M6" s="43" t="s">
        <v>38</v>
      </c>
      <c r="N6" s="42" t="s">
        <v>38</v>
      </c>
      <c r="O6" s="42" t="s">
        <v>39</v>
      </c>
    </row>
    <row r="7" spans="1:15" x14ac:dyDescent="0.3">
      <c r="A7" s="44" t="s">
        <v>40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6"/>
      <c r="O7" s="46"/>
    </row>
    <row r="8" spans="1:15" x14ac:dyDescent="0.3">
      <c r="A8" s="44" t="s">
        <v>41</v>
      </c>
      <c r="B8" s="47">
        <f>10927</f>
        <v>10927</v>
      </c>
      <c r="C8" s="47">
        <f>10191</f>
        <v>10191</v>
      </c>
      <c r="D8" s="47">
        <f>9099</f>
        <v>9099</v>
      </c>
      <c r="E8" s="47">
        <f>12370</f>
        <v>12370</v>
      </c>
      <c r="F8" s="47">
        <f>9826</f>
        <v>9826</v>
      </c>
      <c r="G8" s="47">
        <f>11292</f>
        <v>11292</v>
      </c>
      <c r="H8" s="47">
        <f>10917</f>
        <v>10917</v>
      </c>
      <c r="I8" s="47">
        <f>10188</f>
        <v>10188</v>
      </c>
      <c r="J8" s="47">
        <f>9823</f>
        <v>9823</v>
      </c>
      <c r="K8" s="47">
        <f>10927</f>
        <v>10927</v>
      </c>
      <c r="L8" s="47">
        <f>9823</f>
        <v>9823</v>
      </c>
      <c r="M8" s="47">
        <v>10553</v>
      </c>
      <c r="N8" s="48">
        <f t="shared" ref="N8:N15" si="0">SUM(B8:M8)</f>
        <v>125936</v>
      </c>
      <c r="O8" s="48">
        <f t="shared" ref="O8:O51" si="1">N8/12</f>
        <v>10494.666666666666</v>
      </c>
    </row>
    <row r="9" spans="1:15" x14ac:dyDescent="0.3">
      <c r="A9" s="44" t="s">
        <v>42</v>
      </c>
      <c r="B9" s="47">
        <f>1.46</f>
        <v>1.46</v>
      </c>
      <c r="C9" s="47">
        <f>1.34</f>
        <v>1.34</v>
      </c>
      <c r="D9" s="47">
        <f>1.49</f>
        <v>1.49</v>
      </c>
      <c r="E9" s="47">
        <f>1.47</f>
        <v>1.47</v>
      </c>
      <c r="F9" s="47">
        <f>1.54</f>
        <v>1.54</v>
      </c>
      <c r="G9" s="47">
        <f>1.51</f>
        <v>1.51</v>
      </c>
      <c r="H9" s="47">
        <f>1.57</f>
        <v>1.57</v>
      </c>
      <c r="I9" s="47">
        <f>1.58</f>
        <v>1.58</v>
      </c>
      <c r="J9" s="47">
        <f>1.56</f>
        <v>1.56</v>
      </c>
      <c r="K9" s="47">
        <f>1.63</f>
        <v>1.63</v>
      </c>
      <c r="L9" s="47">
        <f>1.6</f>
        <v>1.6</v>
      </c>
      <c r="M9" s="47">
        <v>1.68</v>
      </c>
      <c r="N9" s="48">
        <f t="shared" si="0"/>
        <v>18.430000000000003</v>
      </c>
      <c r="O9" s="48">
        <f t="shared" si="1"/>
        <v>1.5358333333333336</v>
      </c>
    </row>
    <row r="10" spans="1:15" x14ac:dyDescent="0.3">
      <c r="A10" s="44" t="s">
        <v>43</v>
      </c>
      <c r="B10" s="45"/>
      <c r="C10" s="45"/>
      <c r="D10" s="45"/>
      <c r="E10" s="45"/>
      <c r="F10" s="45"/>
      <c r="G10" s="45"/>
      <c r="H10" s="45"/>
      <c r="I10" s="45"/>
      <c r="J10" s="47">
        <f>200</f>
        <v>200</v>
      </c>
      <c r="K10" s="45"/>
      <c r="L10" s="45"/>
      <c r="M10" s="45"/>
      <c r="N10" s="46">
        <f t="shared" si="0"/>
        <v>200</v>
      </c>
      <c r="O10" s="46">
        <f t="shared" si="1"/>
        <v>16.666666666666668</v>
      </c>
    </row>
    <row r="11" spans="1:15" x14ac:dyDescent="0.3">
      <c r="A11" s="44" t="s">
        <v>44</v>
      </c>
      <c r="B11" s="45"/>
      <c r="C11" s="45"/>
      <c r="D11" s="45"/>
      <c r="E11" s="45"/>
      <c r="F11" s="45"/>
      <c r="G11" s="47">
        <f>25</f>
        <v>25</v>
      </c>
      <c r="H11" s="45"/>
      <c r="I11" s="45"/>
      <c r="J11" s="45"/>
      <c r="K11" s="45"/>
      <c r="L11" s="45"/>
      <c r="M11" s="45"/>
      <c r="N11" s="46">
        <f t="shared" si="0"/>
        <v>25</v>
      </c>
      <c r="O11" s="46">
        <f t="shared" si="1"/>
        <v>2.0833333333333335</v>
      </c>
    </row>
    <row r="12" spans="1:15" x14ac:dyDescent="0.3">
      <c r="A12" s="44" t="s">
        <v>45</v>
      </c>
      <c r="B12" s="45"/>
      <c r="C12" s="45"/>
      <c r="D12" s="47">
        <f>200</f>
        <v>200</v>
      </c>
      <c r="E12" s="45"/>
      <c r="F12" s="45"/>
      <c r="G12" s="45"/>
      <c r="H12" s="45"/>
      <c r="I12" s="45"/>
      <c r="J12" s="45"/>
      <c r="K12" s="45"/>
      <c r="L12" s="45"/>
      <c r="M12" s="45"/>
      <c r="N12" s="46">
        <f t="shared" si="0"/>
        <v>200</v>
      </c>
      <c r="O12" s="46">
        <f t="shared" si="1"/>
        <v>16.666666666666668</v>
      </c>
    </row>
    <row r="13" spans="1:15" x14ac:dyDescent="0.3">
      <c r="A13" s="44" t="s">
        <v>96</v>
      </c>
      <c r="B13" s="47">
        <f>0</f>
        <v>0</v>
      </c>
      <c r="C13" s="47">
        <f>362</f>
        <v>362</v>
      </c>
      <c r="D13" s="47">
        <f>-724</f>
        <v>-724</v>
      </c>
      <c r="E13" s="47">
        <f>-729</f>
        <v>-729</v>
      </c>
      <c r="F13" s="47">
        <f>-369</f>
        <v>-369</v>
      </c>
      <c r="G13" s="47">
        <f>721</f>
        <v>721</v>
      </c>
      <c r="H13" s="47">
        <f>732</f>
        <v>732</v>
      </c>
      <c r="I13" s="47">
        <f>-532</f>
        <v>-532</v>
      </c>
      <c r="J13" s="47">
        <f>-200</f>
        <v>-200</v>
      </c>
      <c r="K13" s="47">
        <f>365</f>
        <v>365</v>
      </c>
      <c r="L13" s="47">
        <f>-362</f>
        <v>-362</v>
      </c>
      <c r="M13" s="47">
        <v>729</v>
      </c>
      <c r="N13" s="48">
        <f t="shared" si="0"/>
        <v>-7</v>
      </c>
      <c r="O13" s="48">
        <f t="shared" si="1"/>
        <v>-0.58333333333333337</v>
      </c>
    </row>
    <row r="14" spans="1:15" x14ac:dyDescent="0.3">
      <c r="A14" s="44" t="s">
        <v>46</v>
      </c>
      <c r="B14" s="50">
        <f t="shared" ref="B14:M14" si="2">(((((B8)+(B9))+(B10))+(B11))+(B12))+(B13)</f>
        <v>10928.46</v>
      </c>
      <c r="C14" s="50">
        <f t="shared" si="2"/>
        <v>10554.34</v>
      </c>
      <c r="D14" s="50">
        <f t="shared" si="2"/>
        <v>8576.49</v>
      </c>
      <c r="E14" s="50">
        <f t="shared" si="2"/>
        <v>11642.47</v>
      </c>
      <c r="F14" s="50">
        <f t="shared" si="2"/>
        <v>9458.5400000000009</v>
      </c>
      <c r="G14" s="50">
        <f t="shared" si="2"/>
        <v>12039.51</v>
      </c>
      <c r="H14" s="50">
        <f t="shared" si="2"/>
        <v>11650.57</v>
      </c>
      <c r="I14" s="50">
        <f t="shared" si="2"/>
        <v>9657.58</v>
      </c>
      <c r="J14" s="50">
        <f t="shared" si="2"/>
        <v>9824.56</v>
      </c>
      <c r="K14" s="50">
        <f t="shared" si="2"/>
        <v>11293.63</v>
      </c>
      <c r="L14" s="50">
        <f t="shared" ref="L14" si="3">(((((L8)+(L9))+(L10))+(L11))+(L12))+(L13)</f>
        <v>9462.6</v>
      </c>
      <c r="M14" s="50">
        <f t="shared" si="2"/>
        <v>11283.68</v>
      </c>
      <c r="N14" s="51">
        <f t="shared" si="0"/>
        <v>126372.43000000002</v>
      </c>
      <c r="O14" s="51">
        <f t="shared" si="1"/>
        <v>10531.035833333335</v>
      </c>
    </row>
    <row r="15" spans="1:15" x14ac:dyDescent="0.3">
      <c r="A15" s="44" t="s">
        <v>47</v>
      </c>
      <c r="B15" s="50">
        <f t="shared" ref="B15:M15" si="4">(B14)-(0)</f>
        <v>10928.46</v>
      </c>
      <c r="C15" s="50">
        <f t="shared" si="4"/>
        <v>10554.34</v>
      </c>
      <c r="D15" s="50">
        <f t="shared" si="4"/>
        <v>8576.49</v>
      </c>
      <c r="E15" s="50">
        <f t="shared" si="4"/>
        <v>11642.47</v>
      </c>
      <c r="F15" s="50">
        <f t="shared" si="4"/>
        <v>9458.5400000000009</v>
      </c>
      <c r="G15" s="50">
        <f t="shared" si="4"/>
        <v>12039.51</v>
      </c>
      <c r="H15" s="50">
        <f t="shared" si="4"/>
        <v>11650.57</v>
      </c>
      <c r="I15" s="50">
        <f t="shared" si="4"/>
        <v>9657.58</v>
      </c>
      <c r="J15" s="50">
        <f t="shared" si="4"/>
        <v>9824.56</v>
      </c>
      <c r="K15" s="50">
        <f t="shared" si="4"/>
        <v>11293.63</v>
      </c>
      <c r="L15" s="50">
        <f t="shared" ref="L15" si="5">(L14)-(0)</f>
        <v>9462.6</v>
      </c>
      <c r="M15" s="50">
        <f t="shared" si="4"/>
        <v>11283.68</v>
      </c>
      <c r="N15" s="51">
        <f t="shared" si="0"/>
        <v>126372.43000000002</v>
      </c>
      <c r="O15" s="51">
        <f t="shared" si="1"/>
        <v>10531.035833333335</v>
      </c>
    </row>
    <row r="16" spans="1:15" x14ac:dyDescent="0.3">
      <c r="A16" s="44" t="s">
        <v>48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6">
        <f t="shared" si="1"/>
        <v>0</v>
      </c>
    </row>
    <row r="17" spans="1:15" x14ac:dyDescent="0.3">
      <c r="A17" s="44" t="s">
        <v>49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6">
        <f t="shared" si="1"/>
        <v>0</v>
      </c>
    </row>
    <row r="18" spans="1:15" x14ac:dyDescent="0.3">
      <c r="A18" s="44" t="s">
        <v>50</v>
      </c>
      <c r="B18" s="45"/>
      <c r="C18" s="45"/>
      <c r="D18" s="47">
        <f>170.41</f>
        <v>170.41</v>
      </c>
      <c r="E18" s="47">
        <f>171.69</f>
        <v>171.69</v>
      </c>
      <c r="F18" s="45"/>
      <c r="G18" s="45"/>
      <c r="H18" s="45"/>
      <c r="I18" s="45"/>
      <c r="J18" s="45"/>
      <c r="K18" s="47">
        <f>183.54</f>
        <v>183.54</v>
      </c>
      <c r="L18" s="45"/>
      <c r="M18" s="45"/>
      <c r="N18" s="46">
        <f t="shared" ref="N18:N46" si="6">SUM(B18:M18)</f>
        <v>525.64</v>
      </c>
      <c r="O18" s="46">
        <f t="shared" si="1"/>
        <v>43.803333333333335</v>
      </c>
    </row>
    <row r="19" spans="1:15" x14ac:dyDescent="0.3">
      <c r="A19" s="44" t="s">
        <v>52</v>
      </c>
      <c r="B19" s="47">
        <f>94.58</f>
        <v>94.58</v>
      </c>
      <c r="C19" s="47">
        <f>75.35</f>
        <v>75.349999999999994</v>
      </c>
      <c r="D19" s="47">
        <f>88.43</f>
        <v>88.43</v>
      </c>
      <c r="E19" s="47">
        <f>75.35</f>
        <v>75.349999999999994</v>
      </c>
      <c r="F19" s="47">
        <f>75.35</f>
        <v>75.349999999999994</v>
      </c>
      <c r="G19" s="47">
        <f>75.35</f>
        <v>75.349999999999994</v>
      </c>
      <c r="H19" s="47">
        <f>75.35</f>
        <v>75.349999999999994</v>
      </c>
      <c r="I19" s="47">
        <f>267.35</f>
        <v>267.35000000000002</v>
      </c>
      <c r="J19" s="47">
        <f>87.91</f>
        <v>87.91</v>
      </c>
      <c r="K19" s="47">
        <f>87.91</f>
        <v>87.91</v>
      </c>
      <c r="L19" s="47">
        <f>87.91</f>
        <v>87.91</v>
      </c>
      <c r="M19" s="47">
        <v>87.91</v>
      </c>
      <c r="N19" s="48">
        <f t="shared" si="6"/>
        <v>1178.7500000000002</v>
      </c>
      <c r="O19" s="48">
        <f t="shared" si="1"/>
        <v>98.229166666666686</v>
      </c>
    </row>
    <row r="20" spans="1:15" x14ac:dyDescent="0.3">
      <c r="A20" s="44" t="s">
        <v>53</v>
      </c>
      <c r="B20" s="50">
        <f t="shared" ref="B20:M20" si="7">((B17)+(B18))+(B19)</f>
        <v>94.58</v>
      </c>
      <c r="C20" s="50">
        <f t="shared" si="7"/>
        <v>75.349999999999994</v>
      </c>
      <c r="D20" s="50">
        <f t="shared" si="7"/>
        <v>258.84000000000003</v>
      </c>
      <c r="E20" s="50">
        <f t="shared" si="7"/>
        <v>247.04</v>
      </c>
      <c r="F20" s="50">
        <f t="shared" si="7"/>
        <v>75.349999999999994</v>
      </c>
      <c r="G20" s="50">
        <f t="shared" si="7"/>
        <v>75.349999999999994</v>
      </c>
      <c r="H20" s="50">
        <f t="shared" si="7"/>
        <v>75.349999999999994</v>
      </c>
      <c r="I20" s="50">
        <f t="shared" si="7"/>
        <v>267.35000000000002</v>
      </c>
      <c r="J20" s="50">
        <f t="shared" si="7"/>
        <v>87.91</v>
      </c>
      <c r="K20" s="50">
        <f t="shared" si="7"/>
        <v>271.45</v>
      </c>
      <c r="L20" s="50">
        <f t="shared" ref="L20" si="8">((L17)+(L18))+(L19)</f>
        <v>87.91</v>
      </c>
      <c r="M20" s="50">
        <f t="shared" si="7"/>
        <v>87.91</v>
      </c>
      <c r="N20" s="51">
        <f t="shared" si="6"/>
        <v>1704.3900000000003</v>
      </c>
      <c r="O20" s="51">
        <f t="shared" si="1"/>
        <v>142.03250000000003</v>
      </c>
    </row>
    <row r="21" spans="1:15" x14ac:dyDescent="0.3">
      <c r="A21" s="44" t="s">
        <v>97</v>
      </c>
      <c r="B21" s="45"/>
      <c r="C21" s="45"/>
      <c r="D21" s="45"/>
      <c r="E21" s="45"/>
      <c r="F21" s="45"/>
      <c r="G21" s="45"/>
      <c r="H21" s="45"/>
      <c r="I21" s="45"/>
      <c r="J21" s="47">
        <f>20</f>
        <v>20</v>
      </c>
      <c r="K21" s="45"/>
      <c r="L21" s="45"/>
      <c r="M21" s="45"/>
      <c r="N21" s="46">
        <f t="shared" si="6"/>
        <v>20</v>
      </c>
      <c r="O21" s="46">
        <f t="shared" si="1"/>
        <v>1.6666666666666667</v>
      </c>
    </row>
    <row r="22" spans="1:15" x14ac:dyDescent="0.3">
      <c r="A22" s="44" t="s">
        <v>54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>
        <f t="shared" si="6"/>
        <v>0</v>
      </c>
      <c r="O22" s="46">
        <f t="shared" si="1"/>
        <v>0</v>
      </c>
    </row>
    <row r="23" spans="1:15" x14ac:dyDescent="0.3">
      <c r="A23" s="44" t="s">
        <v>55</v>
      </c>
      <c r="B23" s="45"/>
      <c r="C23" s="45"/>
      <c r="D23" s="45"/>
      <c r="E23" s="45"/>
      <c r="F23" s="45"/>
      <c r="G23" s="45"/>
      <c r="H23" s="45"/>
      <c r="I23" s="45"/>
      <c r="J23" s="45"/>
      <c r="K23" s="47">
        <f>0</f>
        <v>0</v>
      </c>
      <c r="L23" s="45"/>
      <c r="M23" s="45">
        <v>23228</v>
      </c>
      <c r="N23" s="46">
        <f t="shared" si="6"/>
        <v>23228</v>
      </c>
      <c r="O23" s="46">
        <f t="shared" si="1"/>
        <v>1935.6666666666667</v>
      </c>
    </row>
    <row r="24" spans="1:15" x14ac:dyDescent="0.3">
      <c r="A24" s="44" t="s">
        <v>56</v>
      </c>
      <c r="B24" s="45"/>
      <c r="C24" s="45"/>
      <c r="D24" s="45"/>
      <c r="E24" s="45"/>
      <c r="F24" s="47">
        <f>22373</f>
        <v>22373</v>
      </c>
      <c r="G24" s="45"/>
      <c r="H24" s="45"/>
      <c r="I24" s="45"/>
      <c r="J24" s="45"/>
      <c r="K24" s="45"/>
      <c r="L24" s="45"/>
      <c r="M24" s="45"/>
      <c r="N24" s="46">
        <f t="shared" si="6"/>
        <v>22373</v>
      </c>
      <c r="O24" s="46">
        <f t="shared" si="1"/>
        <v>1864.4166666666667</v>
      </c>
    </row>
    <row r="25" spans="1:15" x14ac:dyDescent="0.3">
      <c r="A25" s="44" t="s">
        <v>57</v>
      </c>
      <c r="B25" s="50">
        <f t="shared" ref="B25:M25" si="9">((B22)+(B23))+(B24)</f>
        <v>0</v>
      </c>
      <c r="C25" s="50">
        <f t="shared" si="9"/>
        <v>0</v>
      </c>
      <c r="D25" s="50">
        <f t="shared" si="9"/>
        <v>0</v>
      </c>
      <c r="E25" s="50">
        <f t="shared" si="9"/>
        <v>0</v>
      </c>
      <c r="F25" s="50">
        <f t="shared" si="9"/>
        <v>22373</v>
      </c>
      <c r="G25" s="50">
        <f t="shared" si="9"/>
        <v>0</v>
      </c>
      <c r="H25" s="50">
        <f t="shared" si="9"/>
        <v>0</v>
      </c>
      <c r="I25" s="50">
        <f t="shared" si="9"/>
        <v>0</v>
      </c>
      <c r="J25" s="50">
        <f t="shared" si="9"/>
        <v>0</v>
      </c>
      <c r="K25" s="50">
        <f t="shared" si="9"/>
        <v>0</v>
      </c>
      <c r="L25" s="50">
        <f t="shared" ref="L25" si="10">((L22)+(L23))+(L24)</f>
        <v>0</v>
      </c>
      <c r="M25" s="50">
        <f t="shared" si="9"/>
        <v>23228</v>
      </c>
      <c r="N25" s="51">
        <f t="shared" si="6"/>
        <v>45601</v>
      </c>
      <c r="O25" s="51">
        <f t="shared" si="1"/>
        <v>3800.0833333333335</v>
      </c>
    </row>
    <row r="26" spans="1:15" x14ac:dyDescent="0.3">
      <c r="A26" s="44" t="s">
        <v>58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>
        <f t="shared" si="6"/>
        <v>0</v>
      </c>
      <c r="O26" s="46">
        <f t="shared" si="1"/>
        <v>0</v>
      </c>
    </row>
    <row r="27" spans="1:15" x14ac:dyDescent="0.3">
      <c r="A27" s="44" t="s">
        <v>59</v>
      </c>
      <c r="B27" s="45"/>
      <c r="C27" s="45"/>
      <c r="D27" s="47">
        <f>1057.43</f>
        <v>1057.43</v>
      </c>
      <c r="E27" s="45"/>
      <c r="F27" s="45"/>
      <c r="G27" s="45"/>
      <c r="H27" s="47">
        <f>4560.63</f>
        <v>4560.63</v>
      </c>
      <c r="I27" s="45"/>
      <c r="J27" s="45"/>
      <c r="K27" s="45"/>
      <c r="L27" s="45"/>
      <c r="M27" s="45">
        <v>1461.94</v>
      </c>
      <c r="N27" s="46">
        <f t="shared" si="6"/>
        <v>7080</v>
      </c>
      <c r="O27" s="46">
        <f t="shared" si="1"/>
        <v>590</v>
      </c>
    </row>
    <row r="28" spans="1:15" x14ac:dyDescent="0.3">
      <c r="A28" s="44" t="s">
        <v>60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>
        <f t="shared" si="6"/>
        <v>0</v>
      </c>
      <c r="O28" s="46">
        <f t="shared" si="1"/>
        <v>0</v>
      </c>
    </row>
    <row r="29" spans="1:15" x14ac:dyDescent="0.3">
      <c r="A29" s="44" t="s">
        <v>61</v>
      </c>
      <c r="B29" s="47">
        <f>2790</f>
        <v>2790</v>
      </c>
      <c r="C29" s="47">
        <f>429.39</f>
        <v>429.39</v>
      </c>
      <c r="D29" s="47">
        <f>1320</f>
        <v>1320</v>
      </c>
      <c r="E29" s="47">
        <f>1320</f>
        <v>1320</v>
      </c>
      <c r="F29" s="47">
        <f>1362</f>
        <v>1362</v>
      </c>
      <c r="G29" s="47">
        <f>1320</f>
        <v>1320</v>
      </c>
      <c r="H29" s="47">
        <f>1320</f>
        <v>1320</v>
      </c>
      <c r="I29" s="47">
        <f>1320</f>
        <v>1320</v>
      </c>
      <c r="J29" s="47">
        <f>1320</f>
        <v>1320</v>
      </c>
      <c r="K29" s="47">
        <f>1320</f>
        <v>1320</v>
      </c>
      <c r="L29" s="47">
        <f>1320</f>
        <v>1320</v>
      </c>
      <c r="M29" s="47">
        <v>2967</v>
      </c>
      <c r="N29" s="48">
        <f t="shared" si="6"/>
        <v>18108.39</v>
      </c>
      <c r="O29" s="48">
        <f t="shared" si="1"/>
        <v>1509.0325</v>
      </c>
    </row>
    <row r="30" spans="1:15" x14ac:dyDescent="0.3">
      <c r="A30" s="44" t="s">
        <v>62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>
        <f t="shared" si="6"/>
        <v>0</v>
      </c>
      <c r="O30" s="46">
        <f t="shared" si="1"/>
        <v>0</v>
      </c>
    </row>
    <row r="31" spans="1:15" x14ac:dyDescent="0.3">
      <c r="A31" s="44" t="s">
        <v>63</v>
      </c>
      <c r="B31" s="47">
        <f>77.48</f>
        <v>77.48</v>
      </c>
      <c r="C31" s="47">
        <f>77.48</f>
        <v>77.48</v>
      </c>
      <c r="D31" s="47">
        <f>79.81</f>
        <v>79.81</v>
      </c>
      <c r="E31" s="47">
        <f>79.81</f>
        <v>79.81</v>
      </c>
      <c r="F31" s="47">
        <f>79.81</f>
        <v>79.81</v>
      </c>
      <c r="G31" s="47">
        <f>79.81</f>
        <v>79.81</v>
      </c>
      <c r="H31" s="45"/>
      <c r="I31" s="47">
        <f>79.81</f>
        <v>79.81</v>
      </c>
      <c r="J31" s="45"/>
      <c r="K31" s="45"/>
      <c r="L31" s="47">
        <f>239.43</f>
        <v>239.43</v>
      </c>
      <c r="M31" s="47">
        <v>159.62</v>
      </c>
      <c r="N31" s="48">
        <f t="shared" si="6"/>
        <v>953.06000000000006</v>
      </c>
      <c r="O31" s="48">
        <f t="shared" si="1"/>
        <v>79.421666666666667</v>
      </c>
    </row>
    <row r="32" spans="1:15" x14ac:dyDescent="0.3">
      <c r="A32" s="44" t="s">
        <v>64</v>
      </c>
      <c r="B32" s="50">
        <f t="shared" ref="B32:M32" si="11">(((((B26)+(B27))+(B28))+(B29))+(B30))+(B31)</f>
        <v>2867.48</v>
      </c>
      <c r="C32" s="50">
        <f t="shared" si="11"/>
        <v>506.87</v>
      </c>
      <c r="D32" s="50">
        <f t="shared" si="11"/>
        <v>2457.2400000000002</v>
      </c>
      <c r="E32" s="50">
        <f t="shared" si="11"/>
        <v>1399.81</v>
      </c>
      <c r="F32" s="50">
        <f t="shared" si="11"/>
        <v>1441.81</v>
      </c>
      <c r="G32" s="50">
        <f t="shared" si="11"/>
        <v>1399.81</v>
      </c>
      <c r="H32" s="50">
        <f t="shared" si="11"/>
        <v>5880.63</v>
      </c>
      <c r="I32" s="50">
        <f t="shared" si="11"/>
        <v>1399.81</v>
      </c>
      <c r="J32" s="50">
        <f t="shared" si="11"/>
        <v>1320</v>
      </c>
      <c r="K32" s="50">
        <f t="shared" si="11"/>
        <v>1320</v>
      </c>
      <c r="L32" s="50">
        <f t="shared" ref="L32" si="12">(((((L26)+(L27))+(L28))+(L29))+(L30))+(L31)</f>
        <v>1559.43</v>
      </c>
      <c r="M32" s="50">
        <f t="shared" si="11"/>
        <v>4588.5600000000004</v>
      </c>
      <c r="N32" s="51">
        <f t="shared" si="6"/>
        <v>26141.45</v>
      </c>
      <c r="O32" s="51">
        <f t="shared" si="1"/>
        <v>2178.4541666666669</v>
      </c>
    </row>
    <row r="33" spans="1:15" x14ac:dyDescent="0.3">
      <c r="A33" s="44" t="s">
        <v>65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>
        <f t="shared" si="6"/>
        <v>0</v>
      </c>
      <c r="O33" s="46">
        <f t="shared" si="1"/>
        <v>0</v>
      </c>
    </row>
    <row r="34" spans="1:15" x14ac:dyDescent="0.3">
      <c r="A34" s="44" t="s">
        <v>66</v>
      </c>
      <c r="B34" s="47">
        <f>390</f>
        <v>390</v>
      </c>
      <c r="C34" s="47">
        <f>390</f>
        <v>390</v>
      </c>
      <c r="D34" s="47">
        <f>689</f>
        <v>689</v>
      </c>
      <c r="E34" s="47">
        <f>429</f>
        <v>429</v>
      </c>
      <c r="F34" s="47">
        <f>429</f>
        <v>429</v>
      </c>
      <c r="G34" s="47">
        <f>429</f>
        <v>429</v>
      </c>
      <c r="H34" s="47">
        <f>429</f>
        <v>429</v>
      </c>
      <c r="I34" s="47">
        <f>429</f>
        <v>429</v>
      </c>
      <c r="J34" s="47">
        <f>429</f>
        <v>429</v>
      </c>
      <c r="K34" s="47">
        <f>429</f>
        <v>429</v>
      </c>
      <c r="L34" s="47">
        <f>429</f>
        <v>429</v>
      </c>
      <c r="M34" s="47">
        <v>429</v>
      </c>
      <c r="N34" s="48">
        <f t="shared" si="6"/>
        <v>5330</v>
      </c>
      <c r="O34" s="48">
        <f t="shared" si="1"/>
        <v>444.16666666666669</v>
      </c>
    </row>
    <row r="35" spans="1:15" x14ac:dyDescent="0.3">
      <c r="A35" s="44" t="s">
        <v>67</v>
      </c>
      <c r="B35" s="45"/>
      <c r="C35" s="45"/>
      <c r="D35" s="47">
        <f>700</f>
        <v>700</v>
      </c>
      <c r="E35" s="47">
        <f>52.5</f>
        <v>52.5</v>
      </c>
      <c r="F35" s="45"/>
      <c r="G35" s="47">
        <f>1477.75</f>
        <v>1477.75</v>
      </c>
      <c r="H35" s="45"/>
      <c r="I35" s="47">
        <f>222</f>
        <v>222</v>
      </c>
      <c r="J35" s="47">
        <f>826.38</f>
        <v>826.38</v>
      </c>
      <c r="K35" s="45"/>
      <c r="L35" s="47">
        <f>52.5</f>
        <v>52.5</v>
      </c>
      <c r="M35" s="47">
        <v>52.5</v>
      </c>
      <c r="N35" s="48">
        <f t="shared" si="6"/>
        <v>3383.63</v>
      </c>
      <c r="O35" s="48">
        <f t="shared" si="1"/>
        <v>281.96916666666669</v>
      </c>
    </row>
    <row r="36" spans="1:15" x14ac:dyDescent="0.3">
      <c r="A36" s="44" t="s">
        <v>68</v>
      </c>
      <c r="B36" s="45"/>
      <c r="C36" s="45"/>
      <c r="D36" s="45"/>
      <c r="E36" s="45"/>
      <c r="F36" s="45"/>
      <c r="G36" s="45"/>
      <c r="H36" s="45"/>
      <c r="I36" s="45"/>
      <c r="J36" s="45"/>
      <c r="K36" s="47">
        <f>1850</f>
        <v>1850</v>
      </c>
      <c r="L36" s="45"/>
      <c r="M36" s="45"/>
      <c r="N36" s="46">
        <f t="shared" si="6"/>
        <v>1850</v>
      </c>
      <c r="O36" s="46">
        <f t="shared" si="1"/>
        <v>154.16666666666666</v>
      </c>
    </row>
    <row r="37" spans="1:15" x14ac:dyDescent="0.3">
      <c r="A37" s="44" t="s">
        <v>69</v>
      </c>
      <c r="B37" s="50">
        <f t="shared" ref="B37:M37" si="13">(((B33)+(B34))+(B35))+(B36)</f>
        <v>390</v>
      </c>
      <c r="C37" s="50">
        <f t="shared" si="13"/>
        <v>390</v>
      </c>
      <c r="D37" s="50">
        <f t="shared" si="13"/>
        <v>1389</v>
      </c>
      <c r="E37" s="50">
        <f t="shared" si="13"/>
        <v>481.5</v>
      </c>
      <c r="F37" s="50">
        <f t="shared" si="13"/>
        <v>429</v>
      </c>
      <c r="G37" s="50">
        <f t="shared" si="13"/>
        <v>1906.75</v>
      </c>
      <c r="H37" s="50">
        <f t="shared" si="13"/>
        <v>429</v>
      </c>
      <c r="I37" s="50">
        <f t="shared" si="13"/>
        <v>651</v>
      </c>
      <c r="J37" s="50">
        <f t="shared" si="13"/>
        <v>1255.3800000000001</v>
      </c>
      <c r="K37" s="50">
        <f t="shared" si="13"/>
        <v>2279</v>
      </c>
      <c r="L37" s="50">
        <f t="shared" ref="L37" si="14">(((L33)+(L34))+(L35))+(L36)</f>
        <v>481.5</v>
      </c>
      <c r="M37" s="50">
        <f t="shared" si="13"/>
        <v>481.5</v>
      </c>
      <c r="N37" s="51">
        <f t="shared" si="6"/>
        <v>10563.630000000001</v>
      </c>
      <c r="O37" s="51">
        <f t="shared" si="1"/>
        <v>880.30250000000012</v>
      </c>
    </row>
    <row r="38" spans="1:15" x14ac:dyDescent="0.3">
      <c r="A38" s="44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6">
        <f t="shared" si="6"/>
        <v>0</v>
      </c>
      <c r="O38" s="46">
        <f t="shared" si="1"/>
        <v>0</v>
      </c>
    </row>
    <row r="39" spans="1:15" x14ac:dyDescent="0.3">
      <c r="A39" s="44" t="s">
        <v>71</v>
      </c>
      <c r="B39" s="45"/>
      <c r="C39" s="45"/>
      <c r="D39" s="47">
        <f>770</f>
        <v>770</v>
      </c>
      <c r="E39" s="47">
        <f>168.61</f>
        <v>168.61</v>
      </c>
      <c r="F39" s="45"/>
      <c r="G39" s="45"/>
      <c r="H39" s="45"/>
      <c r="I39" s="45"/>
      <c r="J39" s="45"/>
      <c r="K39" s="45"/>
      <c r="L39" s="45"/>
      <c r="M39" s="45"/>
      <c r="N39" s="46">
        <f t="shared" si="6"/>
        <v>938.61</v>
      </c>
      <c r="O39" s="46">
        <f t="shared" si="1"/>
        <v>78.217500000000001</v>
      </c>
    </row>
    <row r="40" spans="1:15" x14ac:dyDescent="0.3">
      <c r="A40" s="44" t="s">
        <v>72</v>
      </c>
      <c r="B40" s="47">
        <f>13.46</f>
        <v>13.46</v>
      </c>
      <c r="C40" s="47">
        <f>13.49</f>
        <v>13.49</v>
      </c>
      <c r="D40" s="45"/>
      <c r="E40" s="47">
        <f>27.13</f>
        <v>27.13</v>
      </c>
      <c r="F40" s="47">
        <f>14.67</f>
        <v>14.67</v>
      </c>
      <c r="G40" s="47">
        <f>12.47</f>
        <v>12.47</v>
      </c>
      <c r="H40" s="47">
        <f>12.47</f>
        <v>12.47</v>
      </c>
      <c r="I40" s="47">
        <f>12.64</f>
        <v>12.64</v>
      </c>
      <c r="J40" s="47">
        <f>12.67</f>
        <v>12.67</v>
      </c>
      <c r="K40" s="47">
        <f>12.68</f>
        <v>12.68</v>
      </c>
      <c r="L40" s="47">
        <f>13.08</f>
        <v>13.08</v>
      </c>
      <c r="M40" s="47">
        <v>12.92</v>
      </c>
      <c r="N40" s="48">
        <f t="shared" si="6"/>
        <v>157.68</v>
      </c>
      <c r="O40" s="48">
        <f t="shared" si="1"/>
        <v>13.14</v>
      </c>
    </row>
    <row r="41" spans="1:15" x14ac:dyDescent="0.3">
      <c r="A41" s="44" t="s">
        <v>73</v>
      </c>
      <c r="B41" s="47">
        <f>1311.28</f>
        <v>1311.28</v>
      </c>
      <c r="C41" s="47">
        <f>1399.29</f>
        <v>1399.29</v>
      </c>
      <c r="D41" s="47">
        <f>1399.29</f>
        <v>1399.29</v>
      </c>
      <c r="E41" s="47">
        <f>1456.63</f>
        <v>1456.63</v>
      </c>
      <c r="F41" s="47">
        <f t="shared" ref="F41:L41" si="15">1399.29</f>
        <v>1399.29</v>
      </c>
      <c r="G41" s="47">
        <f t="shared" si="15"/>
        <v>1399.29</v>
      </c>
      <c r="H41" s="47">
        <f t="shared" si="15"/>
        <v>1399.29</v>
      </c>
      <c r="I41" s="47">
        <f t="shared" si="15"/>
        <v>1399.29</v>
      </c>
      <c r="J41" s="47">
        <f t="shared" si="15"/>
        <v>1399.29</v>
      </c>
      <c r="K41" s="47">
        <f t="shared" si="15"/>
        <v>1399.29</v>
      </c>
      <c r="L41" s="47">
        <f t="shared" si="15"/>
        <v>1399.29</v>
      </c>
      <c r="M41" s="47">
        <v>1412.18</v>
      </c>
      <c r="N41" s="48">
        <f t="shared" si="6"/>
        <v>16773.700000000004</v>
      </c>
      <c r="O41" s="48">
        <f t="shared" si="1"/>
        <v>1397.8083333333336</v>
      </c>
    </row>
    <row r="42" spans="1:15" x14ac:dyDescent="0.3">
      <c r="A42" s="44" t="s">
        <v>74</v>
      </c>
      <c r="B42" s="47">
        <f>179.01</f>
        <v>179.01</v>
      </c>
      <c r="C42" s="47">
        <f>179.21</f>
        <v>179.21</v>
      </c>
      <c r="D42" s="47">
        <f>179.21</f>
        <v>179.21</v>
      </c>
      <c r="E42" s="47">
        <f>192.43</f>
        <v>192.43</v>
      </c>
      <c r="F42" s="47">
        <f>192.53</f>
        <v>192.53</v>
      </c>
      <c r="G42" s="47">
        <f>170.25</f>
        <v>170.25</v>
      </c>
      <c r="H42" s="47">
        <f>177.33</f>
        <v>177.33</v>
      </c>
      <c r="I42" s="47">
        <f>177.27</f>
        <v>177.27</v>
      </c>
      <c r="J42" s="47">
        <f>182.01</f>
        <v>182.01</v>
      </c>
      <c r="K42" s="47">
        <f>184.84</f>
        <v>184.84</v>
      </c>
      <c r="L42" s="47">
        <f>185.62</f>
        <v>185.62</v>
      </c>
      <c r="M42" s="47">
        <v>185.62</v>
      </c>
      <c r="N42" s="48">
        <f t="shared" si="6"/>
        <v>2185.33</v>
      </c>
      <c r="O42" s="48">
        <f t="shared" si="1"/>
        <v>182.11083333333332</v>
      </c>
    </row>
    <row r="43" spans="1:15" x14ac:dyDescent="0.3">
      <c r="A43" s="44" t="s">
        <v>75</v>
      </c>
      <c r="B43" s="47">
        <f>461.06</f>
        <v>461.06</v>
      </c>
      <c r="C43" s="47">
        <f>231.45</f>
        <v>231.45</v>
      </c>
      <c r="D43" s="47">
        <f>234.15</f>
        <v>234.15</v>
      </c>
      <c r="E43" s="47">
        <f>232.92</f>
        <v>232.92</v>
      </c>
      <c r="F43" s="45"/>
      <c r="G43" s="47">
        <f>499.5</f>
        <v>499.5</v>
      </c>
      <c r="H43" s="47">
        <f>250.08</f>
        <v>250.08</v>
      </c>
      <c r="I43" s="45"/>
      <c r="J43" s="47">
        <f>564.27</f>
        <v>564.27</v>
      </c>
      <c r="K43" s="47">
        <f>253.07</f>
        <v>253.07</v>
      </c>
      <c r="L43" s="47">
        <f>320.65</f>
        <v>320.64999999999998</v>
      </c>
      <c r="M43" s="47">
        <v>317.95</v>
      </c>
      <c r="N43" s="48">
        <f t="shared" si="6"/>
        <v>3365.1</v>
      </c>
      <c r="O43" s="48">
        <f t="shared" si="1"/>
        <v>280.42500000000001</v>
      </c>
    </row>
    <row r="44" spans="1:15" x14ac:dyDescent="0.3">
      <c r="A44" s="44" t="s">
        <v>76</v>
      </c>
      <c r="B44" s="50">
        <f t="shared" ref="B44:M44" si="16">(((((B38)+(B39))+(B40))+(B41))+(B42))+(B43)</f>
        <v>1964.81</v>
      </c>
      <c r="C44" s="50">
        <f t="shared" si="16"/>
        <v>1823.44</v>
      </c>
      <c r="D44" s="50">
        <f t="shared" si="16"/>
        <v>2582.65</v>
      </c>
      <c r="E44" s="50">
        <f t="shared" si="16"/>
        <v>2077.7200000000003</v>
      </c>
      <c r="F44" s="50">
        <f t="shared" si="16"/>
        <v>1606.49</v>
      </c>
      <c r="G44" s="50">
        <f t="shared" si="16"/>
        <v>2081.5100000000002</v>
      </c>
      <c r="H44" s="50">
        <f t="shared" si="16"/>
        <v>1839.1699999999998</v>
      </c>
      <c r="I44" s="50">
        <f t="shared" si="16"/>
        <v>1589.2</v>
      </c>
      <c r="J44" s="50">
        <f t="shared" si="16"/>
        <v>2158.2399999999998</v>
      </c>
      <c r="K44" s="50">
        <f t="shared" si="16"/>
        <v>1849.8799999999999</v>
      </c>
      <c r="L44" s="50">
        <f t="shared" ref="L44" si="17">(((((L38)+(L39))+(L40))+(L41))+(L42))+(L43)</f>
        <v>1918.6399999999999</v>
      </c>
      <c r="M44" s="50">
        <f t="shared" si="16"/>
        <v>1928.6700000000003</v>
      </c>
      <c r="N44" s="51">
        <f t="shared" si="6"/>
        <v>23420.420000000002</v>
      </c>
      <c r="O44" s="51">
        <f t="shared" si="1"/>
        <v>1951.7016666666668</v>
      </c>
    </row>
    <row r="45" spans="1:15" x14ac:dyDescent="0.3">
      <c r="A45" s="44" t="s">
        <v>17</v>
      </c>
      <c r="B45" s="50">
        <f t="shared" ref="B45:M45" si="18">(((((B20)+(B21))+(B25))+(B32))+(B37))+(B44)</f>
        <v>5316.87</v>
      </c>
      <c r="C45" s="50">
        <f t="shared" si="18"/>
        <v>2795.66</v>
      </c>
      <c r="D45" s="50">
        <f t="shared" si="18"/>
        <v>6687.73</v>
      </c>
      <c r="E45" s="50">
        <f t="shared" si="18"/>
        <v>4206.07</v>
      </c>
      <c r="F45" s="50">
        <f t="shared" si="18"/>
        <v>25925.65</v>
      </c>
      <c r="G45" s="50">
        <f t="shared" si="18"/>
        <v>5463.42</v>
      </c>
      <c r="H45" s="50">
        <f t="shared" si="18"/>
        <v>8224.15</v>
      </c>
      <c r="I45" s="50">
        <f t="shared" si="18"/>
        <v>3907.3599999999997</v>
      </c>
      <c r="J45" s="50">
        <f t="shared" si="18"/>
        <v>4841.53</v>
      </c>
      <c r="K45" s="50">
        <f t="shared" si="18"/>
        <v>5720.33</v>
      </c>
      <c r="L45" s="50">
        <f t="shared" ref="L45" si="19">(((((L20)+(L21))+(L25))+(L32))+(L37))+(L44)</f>
        <v>4047.48</v>
      </c>
      <c r="M45" s="50">
        <f t="shared" si="18"/>
        <v>30314.640000000003</v>
      </c>
      <c r="N45" s="51">
        <f t="shared" si="6"/>
        <v>107450.89</v>
      </c>
      <c r="O45" s="51">
        <f t="shared" si="1"/>
        <v>8954.2408333333333</v>
      </c>
    </row>
    <row r="46" spans="1:15" x14ac:dyDescent="0.3">
      <c r="A46" s="44" t="s">
        <v>77</v>
      </c>
      <c r="B46" s="50">
        <f t="shared" ref="B46:M46" si="20">(B15)-(B45)</f>
        <v>5611.5899999999992</v>
      </c>
      <c r="C46" s="50">
        <f t="shared" si="20"/>
        <v>7758.68</v>
      </c>
      <c r="D46" s="50">
        <f t="shared" si="20"/>
        <v>1888.7600000000002</v>
      </c>
      <c r="E46" s="50">
        <f t="shared" si="20"/>
        <v>7436.4</v>
      </c>
      <c r="F46" s="50">
        <f t="shared" si="20"/>
        <v>-16467.11</v>
      </c>
      <c r="G46" s="50">
        <f t="shared" si="20"/>
        <v>6576.09</v>
      </c>
      <c r="H46" s="50">
        <f t="shared" si="20"/>
        <v>3426.42</v>
      </c>
      <c r="I46" s="50">
        <f t="shared" si="20"/>
        <v>5750.22</v>
      </c>
      <c r="J46" s="50">
        <f t="shared" si="20"/>
        <v>4983.03</v>
      </c>
      <c r="K46" s="50">
        <f t="shared" si="20"/>
        <v>5573.2999999999993</v>
      </c>
      <c r="L46" s="50">
        <f t="shared" ref="L46" si="21">(L15)-(L45)</f>
        <v>5415.1200000000008</v>
      </c>
      <c r="M46" s="50">
        <f t="shared" si="20"/>
        <v>-19030.960000000003</v>
      </c>
      <c r="N46" s="51">
        <f t="shared" si="6"/>
        <v>18921.539999999997</v>
      </c>
      <c r="O46" s="51">
        <f t="shared" si="1"/>
        <v>1576.7949999999998</v>
      </c>
    </row>
    <row r="47" spans="1:15" x14ac:dyDescent="0.3">
      <c r="A47" s="44" t="s">
        <v>78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6"/>
      <c r="O47" s="46">
        <f t="shared" si="1"/>
        <v>0</v>
      </c>
    </row>
    <row r="48" spans="1:15" x14ac:dyDescent="0.3">
      <c r="A48" s="44" t="s">
        <v>79</v>
      </c>
      <c r="B48" s="45"/>
      <c r="C48" s="47">
        <f>2246.04</f>
        <v>2246.04</v>
      </c>
      <c r="D48" s="45"/>
      <c r="E48" s="45"/>
      <c r="F48" s="45"/>
      <c r="G48" s="45"/>
      <c r="H48" s="47">
        <f>2742.6</f>
        <v>2742.6</v>
      </c>
      <c r="I48" s="45"/>
      <c r="J48" s="45"/>
      <c r="K48" s="45"/>
      <c r="L48" s="45"/>
      <c r="M48" s="45"/>
      <c r="N48" s="46"/>
      <c r="O48" s="46">
        <f t="shared" si="1"/>
        <v>0</v>
      </c>
    </row>
    <row r="49" spans="1:15" x14ac:dyDescent="0.3">
      <c r="A49" s="44" t="s">
        <v>80</v>
      </c>
      <c r="B49" s="50">
        <f t="shared" ref="B49:M49" si="22">B48</f>
        <v>0</v>
      </c>
      <c r="C49" s="50">
        <f t="shared" si="22"/>
        <v>2246.04</v>
      </c>
      <c r="D49" s="50">
        <f t="shared" si="22"/>
        <v>0</v>
      </c>
      <c r="E49" s="50">
        <f t="shared" si="22"/>
        <v>0</v>
      </c>
      <c r="F49" s="50">
        <f t="shared" si="22"/>
        <v>0</v>
      </c>
      <c r="G49" s="50">
        <f t="shared" si="22"/>
        <v>0</v>
      </c>
      <c r="H49" s="50">
        <f t="shared" si="22"/>
        <v>2742.6</v>
      </c>
      <c r="I49" s="50">
        <f t="shared" si="22"/>
        <v>0</v>
      </c>
      <c r="J49" s="50">
        <f t="shared" si="22"/>
        <v>0</v>
      </c>
      <c r="K49" s="50">
        <f t="shared" si="22"/>
        <v>0</v>
      </c>
      <c r="L49" s="50">
        <f t="shared" ref="L49" si="23">L48</f>
        <v>0</v>
      </c>
      <c r="M49" s="50">
        <f t="shared" si="22"/>
        <v>0</v>
      </c>
      <c r="N49" s="51">
        <f>SUM(B49:M49)</f>
        <v>4988.6399999999994</v>
      </c>
      <c r="O49" s="51">
        <f t="shared" si="1"/>
        <v>415.71999999999997</v>
      </c>
    </row>
    <row r="50" spans="1:15" x14ac:dyDescent="0.3">
      <c r="A50" s="44" t="s">
        <v>81</v>
      </c>
      <c r="B50" s="50">
        <f t="shared" ref="B50:M50" si="24">(0)-(B49)</f>
        <v>0</v>
      </c>
      <c r="C50" s="50">
        <f t="shared" si="24"/>
        <v>-2246.04</v>
      </c>
      <c r="D50" s="50">
        <f t="shared" si="24"/>
        <v>0</v>
      </c>
      <c r="E50" s="50">
        <f t="shared" si="24"/>
        <v>0</v>
      </c>
      <c r="F50" s="50">
        <f t="shared" si="24"/>
        <v>0</v>
      </c>
      <c r="G50" s="50">
        <f t="shared" si="24"/>
        <v>0</v>
      </c>
      <c r="H50" s="50">
        <f t="shared" si="24"/>
        <v>-2742.6</v>
      </c>
      <c r="I50" s="50">
        <f t="shared" si="24"/>
        <v>0</v>
      </c>
      <c r="J50" s="50">
        <f t="shared" si="24"/>
        <v>0</v>
      </c>
      <c r="K50" s="50">
        <f t="shared" si="24"/>
        <v>0</v>
      </c>
      <c r="L50" s="50">
        <f t="shared" ref="L50" si="25">(0)-(L49)</f>
        <v>0</v>
      </c>
      <c r="M50" s="50">
        <f t="shared" si="24"/>
        <v>0</v>
      </c>
      <c r="N50" s="51">
        <f>SUM(B50:M50)</f>
        <v>-4988.6399999999994</v>
      </c>
      <c r="O50" s="51">
        <f t="shared" si="1"/>
        <v>-415.71999999999997</v>
      </c>
    </row>
    <row r="51" spans="1:15" x14ac:dyDescent="0.3">
      <c r="A51" s="44" t="s">
        <v>82</v>
      </c>
      <c r="B51" s="50">
        <f t="shared" ref="B51:M51" si="26">(B46)+(B50)</f>
        <v>5611.5899999999992</v>
      </c>
      <c r="C51" s="50">
        <f t="shared" si="26"/>
        <v>5512.64</v>
      </c>
      <c r="D51" s="50">
        <f t="shared" si="26"/>
        <v>1888.7600000000002</v>
      </c>
      <c r="E51" s="50">
        <f t="shared" si="26"/>
        <v>7436.4</v>
      </c>
      <c r="F51" s="50">
        <f t="shared" si="26"/>
        <v>-16467.11</v>
      </c>
      <c r="G51" s="50">
        <f t="shared" si="26"/>
        <v>6576.09</v>
      </c>
      <c r="H51" s="50">
        <f t="shared" si="26"/>
        <v>683.82000000000016</v>
      </c>
      <c r="I51" s="50">
        <f t="shared" si="26"/>
        <v>5750.22</v>
      </c>
      <c r="J51" s="50">
        <f t="shared" si="26"/>
        <v>4983.03</v>
      </c>
      <c r="K51" s="50">
        <f t="shared" si="26"/>
        <v>5573.2999999999993</v>
      </c>
      <c r="L51" s="50">
        <f t="shared" ref="L51" si="27">(L46)+(L50)</f>
        <v>5415.1200000000008</v>
      </c>
      <c r="M51" s="50">
        <f t="shared" si="26"/>
        <v>-19030.960000000003</v>
      </c>
      <c r="N51" s="51">
        <f>SUM(B51:M51)</f>
        <v>13932.899999999998</v>
      </c>
      <c r="O51" s="51">
        <f t="shared" si="1"/>
        <v>1161.0749999999998</v>
      </c>
    </row>
    <row r="52" spans="1:15" x14ac:dyDescent="0.3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5" spans="1:15" x14ac:dyDescent="0.3">
      <c r="A55" s="56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</row>
  </sheetData>
  <mergeCells count="4">
    <mergeCell ref="A55:M55"/>
    <mergeCell ref="A1:O1"/>
    <mergeCell ref="A2:O2"/>
    <mergeCell ref="A3:O3"/>
  </mergeCells>
  <pageMargins left="0.7" right="0.7" top="0.25" bottom="0.25" header="0.3" footer="0.3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PPTH HOA 2026 Budget</vt:lpstr>
      <vt:lpstr>PPTH HOA 2026 Budget Detail</vt:lpstr>
      <vt:lpstr>PPTH HOA 2025 Actuals</vt:lpstr>
      <vt:lpstr>'PPTH HOA 2025 Actuals'!Print_Area</vt:lpstr>
      <vt:lpstr>'PPTH HOA 2026 Budget'!Print_Area</vt:lpstr>
      <vt:lpstr>'PPTH HOA 2026 Budget Detail'!Print_Area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Kevin Mayher</cp:lastModifiedBy>
  <cp:lastPrinted>2026-01-11T20:23:34Z</cp:lastPrinted>
  <dcterms:created xsi:type="dcterms:W3CDTF">2018-07-31T16:32:49Z</dcterms:created>
  <dcterms:modified xsi:type="dcterms:W3CDTF">2026-01-11T23:41:27Z</dcterms:modified>
</cp:coreProperties>
</file>