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uan\Desktop\"/>
    </mc:Choice>
  </mc:AlternateContent>
  <xr:revisionPtr revIDLastSave="0" documentId="8_{CA72D4E0-0DA1-4879-A628-32434507E1EF}" xr6:coauthVersionLast="47" xr6:coauthVersionMax="47" xr10:uidLastSave="{00000000-0000-0000-0000-000000000000}"/>
  <workbookProtection workbookPassword="DB71" lockStructure="1"/>
  <bookViews>
    <workbookView showHorizontalScroll="0" showVerticalScroll="0" showSheetTabs="0" xWindow="-120" yWindow="-120" windowWidth="19800" windowHeight="11760" tabRatio="637" xr2:uid="{00000000-000D-0000-FFFF-FFFF00000000}"/>
  </bookViews>
  <sheets>
    <sheet name="SWMS" sheetId="15" r:id="rId1"/>
    <sheet name="Data" sheetId="17" r:id="rId2"/>
  </sheets>
  <definedNames>
    <definedName name="Bedding">Data!$J$10:$J$13</definedName>
    <definedName name="_xlnm.Print_Area" localSheetId="1">Data!#REF!</definedName>
    <definedName name="_xlnm.Print_Area" localSheetId="0">SWMS!$C$1:$N$50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5" l="1"/>
  <c r="C12" i="15"/>
  <c r="D22" i="17" l="1"/>
  <c r="H14" i="15"/>
  <c r="H13" i="15"/>
  <c r="B20" i="15"/>
  <c r="C11" i="15"/>
  <c r="G26" i="15" l="1"/>
  <c r="C27" i="15"/>
  <c r="G12" i="15"/>
  <c r="G11" i="15"/>
  <c r="G7" i="15"/>
  <c r="G5" i="15"/>
  <c r="G4" i="15"/>
  <c r="H11" i="15"/>
  <c r="H22" i="15" l="1"/>
  <c r="H12" i="15"/>
  <c r="G6" i="15" l="1"/>
  <c r="C26" i="15" s="1"/>
  <c r="H4" i="15" l="1"/>
  <c r="G14" i="15"/>
  <c r="D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C26" i="17"/>
  <c r="E26" i="17" s="1"/>
  <c r="C25" i="17"/>
  <c r="E25" i="17" s="1"/>
  <c r="C24" i="17"/>
  <c r="E24" i="17"/>
  <c r="C23" i="17"/>
  <c r="E23" i="17" s="1"/>
  <c r="C22" i="17"/>
  <c r="E22" i="17"/>
  <c r="D26" i="17"/>
  <c r="G26" i="17"/>
  <c r="H26" i="17"/>
  <c r="D25" i="17"/>
  <c r="G25" i="17"/>
  <c r="H25" i="17"/>
  <c r="D24" i="17"/>
  <c r="G24" i="17"/>
  <c r="H24" i="17"/>
  <c r="D23" i="17"/>
  <c r="G23" i="17"/>
  <c r="H23" i="17"/>
  <c r="G22" i="17"/>
  <c r="H22" i="17"/>
  <c r="C21" i="17"/>
  <c r="E21" i="17"/>
  <c r="D21" i="17"/>
  <c r="G21" i="17"/>
  <c r="H21" i="17"/>
  <c r="C20" i="17"/>
  <c r="E20" i="17" s="1"/>
  <c r="D20" i="17"/>
  <c r="G20" i="17"/>
  <c r="H20" i="17"/>
  <c r="C19" i="17"/>
  <c r="E19" i="17" s="1"/>
  <c r="D19" i="17"/>
  <c r="G19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D9" i="17"/>
  <c r="C9" i="17"/>
  <c r="E9" i="17" s="1"/>
  <c r="D8" i="17"/>
  <c r="C8" i="17"/>
  <c r="E8" i="17" s="1"/>
  <c r="D10" i="17"/>
  <c r="D11" i="17"/>
  <c r="D12" i="17"/>
  <c r="G10" i="15" s="1"/>
  <c r="D18" i="15" s="1"/>
  <c r="D13" i="17"/>
  <c r="D14" i="17"/>
  <c r="D15" i="17"/>
  <c r="D16" i="17"/>
  <c r="D17" i="17"/>
  <c r="D18" i="17"/>
  <c r="D6" i="17"/>
  <c r="C10" i="17"/>
  <c r="E10" i="17" s="1"/>
  <c r="C12" i="17"/>
  <c r="E12" i="17" s="1"/>
  <c r="C6" i="17"/>
  <c r="E6" i="17" s="1"/>
  <c r="C7" i="17"/>
  <c r="E7" i="17" s="1"/>
  <c r="C11" i="17"/>
  <c r="E11" i="17" s="1"/>
  <c r="C13" i="17"/>
  <c r="E13" i="17" s="1"/>
  <c r="C14" i="17"/>
  <c r="E14" i="17" s="1"/>
  <c r="C15" i="17"/>
  <c r="E15" i="17" s="1"/>
  <c r="C16" i="17"/>
  <c r="E16" i="17" s="1"/>
  <c r="C17" i="17"/>
  <c r="E17" i="17" s="1"/>
  <c r="C18" i="17"/>
  <c r="E18" i="17" s="1"/>
  <c r="G8" i="15" l="1"/>
  <c r="G13" i="15" s="1"/>
  <c r="C15" i="15" l="1"/>
  <c r="G9" i="15"/>
  <c r="G15" i="15"/>
  <c r="C36" i="15" s="1"/>
  <c r="G16" i="15"/>
  <c r="G17" i="15" s="1"/>
  <c r="N37" i="15"/>
  <c r="G18" i="15"/>
  <c r="G19" i="15" l="1"/>
  <c r="G20" i="15" l="1"/>
  <c r="H30" i="15"/>
  <c r="M27" i="15" s="1"/>
  <c r="H48" i="15"/>
  <c r="M26" i="15" s="1"/>
  <c r="G21" i="15"/>
  <c r="G22" i="15" s="1"/>
  <c r="G23" i="15" l="1"/>
</calcChain>
</file>

<file path=xl/sharedStrings.xml><?xml version="1.0" encoding="utf-8"?>
<sst xmlns="http://schemas.openxmlformats.org/spreadsheetml/2006/main" count="65" uniqueCount="61">
  <si>
    <t>(ft)</t>
  </si>
  <si>
    <t>(in)</t>
  </si>
  <si>
    <t>Pipe Diameter</t>
  </si>
  <si>
    <t>Area</t>
  </si>
  <si>
    <t>(sf)</t>
  </si>
  <si>
    <t>Manifold Length (ft)</t>
  </si>
  <si>
    <t>Detention</t>
  </si>
  <si>
    <t>Retention</t>
  </si>
  <si>
    <t>CMP PARAMETERS</t>
  </si>
  <si>
    <t>ASTM</t>
  </si>
  <si>
    <t>AASHTO</t>
  </si>
  <si>
    <t>Minimum Lateral Spacing (ft)</t>
  </si>
  <si>
    <t>Cover (ft)</t>
  </si>
  <si>
    <t>Minimum</t>
  </si>
  <si>
    <t>Spacing (ft)</t>
  </si>
  <si>
    <t>Minimum Spacing (ft)</t>
  </si>
  <si>
    <t>F6</t>
  </si>
  <si>
    <t>Excavation Width (ft)</t>
  </si>
  <si>
    <t>Total Pipe Length (ft)</t>
  </si>
  <si>
    <t>Excavation Length (ft)</t>
  </si>
  <si>
    <t>Storage Depth (ft)</t>
  </si>
  <si>
    <t>Backfill Void Ratio</t>
  </si>
  <si>
    <t>Lateral Length (ft)</t>
  </si>
  <si>
    <t>Includes an additional 2-ft from the edge of pipe along each side of the SWMS.</t>
  </si>
  <si>
    <t>Includes an additional 2-ft from the edge of pipe on each end of the SWMS.</t>
  </si>
  <si>
    <t>No. of Laterals</t>
  </si>
  <si>
    <t>Pipe Diameter (inches)</t>
  </si>
  <si>
    <t>SWMS Type</t>
  </si>
  <si>
    <t>Diameter of Pipe (ft)</t>
  </si>
  <si>
    <r>
      <t>Cross-Sectional Area of Pipe (ft</t>
    </r>
    <r>
      <rPr>
        <b/>
        <vertAlign val="super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)</t>
    </r>
  </si>
  <si>
    <r>
      <t>Stone Required (yd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</si>
  <si>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Pipe Storage Volume Provided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</si>
  <si>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Stone Storage Volume Provided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</si>
  <si>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r>
      <t>Total Volume Provided (ft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</si>
  <si>
    <t>Entire SWMS of the same size pipe (manifolds/laterals of same diameter).</t>
  </si>
  <si>
    <r>
      <t>Cross-sectional area (ft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 is the same as the volume per foot of pipe (ft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/ft).</t>
    </r>
  </si>
  <si>
    <t>Minimum spacing between sides of pipe per AASHTO 12.6.7.</t>
  </si>
  <si>
    <t>System Length (ft)</t>
  </si>
  <si>
    <t xml:space="preserve">Excavation </t>
  </si>
  <si>
    <t>System</t>
  </si>
  <si>
    <t>Width (ft)</t>
  </si>
  <si>
    <t>Excavation Footprint</t>
  </si>
  <si>
    <t>sf</t>
  </si>
  <si>
    <t>Laterals</t>
  </si>
  <si>
    <t>System Footprint</t>
  </si>
  <si>
    <t>above dimensions in feet</t>
  </si>
  <si>
    <t>Simplified Storm Water Management System Notes</t>
  </si>
  <si>
    <t>A simplified system is rectangular with two manifolds (see sketch below).</t>
  </si>
  <si>
    <r>
      <t>Storage Volume Required (ft</t>
    </r>
    <r>
      <rPr>
        <b/>
        <sz val="10"/>
        <rFont val="Calibri"/>
        <family val="2"/>
      </rPr>
      <t>³</t>
    </r>
    <r>
      <rPr>
        <b/>
        <sz val="10"/>
        <rFont val="Calibri"/>
        <family val="2"/>
        <scheme val="minor"/>
      </rPr>
      <t>)</t>
    </r>
  </si>
  <si>
    <t>STORM WATER MANAGEMENT SYSTEM (SWMS) PIPE LAYOUT &amp; SYSTEM DATA</t>
  </si>
  <si>
    <t>Corrugated Metal Pipe (CMP)</t>
  </si>
  <si>
    <t>-in Diameter CMP</t>
  </si>
  <si>
    <t>Length of each lateral between manifolds.</t>
  </si>
  <si>
    <t>1. Choose the type of SWMS</t>
  </si>
  <si>
    <t>3. Choose pipe diameter (in)</t>
  </si>
  <si>
    <t>4. Choose the number of laterals</t>
  </si>
  <si>
    <t>5. Choose bedding depth (ft)</t>
  </si>
  <si>
    <r>
      <t>2. Type in below the total amount of storage volume required (ft</t>
    </r>
    <r>
      <rPr>
        <b/>
        <sz val="10"/>
        <rFont val="Calibri"/>
        <family val="2"/>
      </rPr>
      <t>³</t>
    </r>
    <r>
      <rPr>
        <b/>
        <sz val="10"/>
        <rFont val="Calibri"/>
        <family val="2"/>
        <scheme val="minor"/>
      </rPr>
      <t>)</t>
    </r>
  </si>
  <si>
    <t>Theoretical length of pipe needed for the entire SWMS (manifolds and laterals).</t>
  </si>
  <si>
    <t>Total amount of stone if backfilling to a height of 1-ft above top of pipe (recommended).</t>
  </si>
  <si>
    <t>Bedding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</si>
</sst>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8" fillId="3" borderId="0" xfId="0" applyFont="1" applyFill="1" applyBorder="1" applyAlignment="1" applyProtection="1"/>
    <xf numFmtId="0" fontId="5" fillId="3" borderId="0" xfId="0" applyFont="1" applyFill="1" applyAlignment="1" applyProtection="1">
      <alignment horizontal="center"/>
    </xf>
    <xf numFmtId="0" fontId="5" fillId="3" borderId="0" xfId="0" applyFont="1" applyFill="1" applyProtection="1"/>
    <xf numFmtId="0" fontId="5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right"/>
    </xf>
    <xf numFmtId="0" fontId="5" fillId="3" borderId="0" xfId="0" applyFont="1" applyFill="1" applyAlignment="1" applyProtection="1">
      <alignment horizontal="center" vertical="top"/>
    </xf>
    <xf numFmtId="2" fontId="5" fillId="3" borderId="0" xfId="0" applyNumberFormat="1" applyFont="1" applyFill="1" applyAlignment="1" applyProtection="1">
      <alignment vertical="top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8" fillId="3" borderId="0" xfId="0" applyNumberFormat="1" applyFont="1" applyFill="1" applyBorder="1" applyAlignment="1" applyProtection="1">
      <alignment horizontal="center"/>
    </xf>
    <xf numFmtId="2" fontId="8" fillId="3" borderId="0" xfId="0" applyNumberFormat="1" applyFont="1" applyFill="1" applyBorder="1" applyAlignment="1" applyProtection="1">
      <alignment horizontal="left" indent="1"/>
    </xf>
    <xf numFmtId="2" fontId="8" fillId="3" borderId="0" xfId="0" applyNumberFormat="1" applyFont="1" applyFill="1" applyBorder="1" applyAlignment="1" applyProtection="1">
      <alignment horizontal="right" vertical="top"/>
    </xf>
    <xf numFmtId="0" fontId="10" fillId="3" borderId="0" xfId="0" applyFont="1" applyFill="1" applyAlignment="1" applyProtection="1">
      <alignment horizontal="right"/>
    </xf>
    <xf numFmtId="0" fontId="10" fillId="3" borderId="0" xfId="0" quotePrefix="1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10" fillId="3" borderId="0" xfId="0" applyFont="1" applyFill="1" applyProtection="1"/>
    <xf numFmtId="1" fontId="10" fillId="3" borderId="0" xfId="0" applyNumberFormat="1" applyFont="1" applyFill="1" applyAlignment="1" applyProtection="1">
      <alignment horizontal="right"/>
    </xf>
    <xf numFmtId="2" fontId="5" fillId="3" borderId="0" xfId="0" applyNumberFormat="1" applyFont="1" applyFill="1" applyAlignment="1" applyProtection="1">
      <alignment horizontal="right" vertical="top"/>
    </xf>
    <xf numFmtId="0" fontId="8" fillId="3" borderId="0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/>
    <xf numFmtId="0" fontId="8" fillId="3" borderId="0" xfId="0" applyFont="1" applyFill="1" applyBorder="1" applyAlignment="1" applyProtection="1">
      <alignment horizontal="right"/>
    </xf>
    <xf numFmtId="0" fontId="8" fillId="2" borderId="13" xfId="0" applyFont="1" applyFill="1" applyBorder="1" applyAlignment="1" applyProtection="1">
      <alignment horizontal="left"/>
    </xf>
    <xf numFmtId="0" fontId="5" fillId="2" borderId="15" xfId="0" applyFont="1" applyFill="1" applyBorder="1" applyAlignment="1" applyProtection="1">
      <alignment horizontal="right" indent="2"/>
      <protection locked="0"/>
    </xf>
    <xf numFmtId="3" fontId="8" fillId="2" borderId="15" xfId="0" applyNumberFormat="1" applyFont="1" applyFill="1" applyBorder="1" applyAlignment="1" applyProtection="1">
      <alignment horizontal="right" indent="2"/>
      <protection locked="0"/>
    </xf>
    <xf numFmtId="0" fontId="5" fillId="2" borderId="15" xfId="0" applyFont="1" applyFill="1" applyBorder="1" applyProtection="1"/>
    <xf numFmtId="0" fontId="8" fillId="2" borderId="15" xfId="0" applyFont="1" applyFill="1" applyBorder="1" applyAlignment="1" applyProtection="1">
      <alignment horizontal="left"/>
    </xf>
    <xf numFmtId="0" fontId="7" fillId="2" borderId="15" xfId="0" applyFont="1" applyFill="1" applyBorder="1" applyProtection="1"/>
    <xf numFmtId="0" fontId="6" fillId="2" borderId="15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12" xfId="0" applyFont="1" applyFill="1" applyBorder="1" applyProtection="1"/>
    <xf numFmtId="0" fontId="5" fillId="2" borderId="14" xfId="0" applyFont="1" applyFill="1" applyBorder="1" applyProtection="1"/>
    <xf numFmtId="0" fontId="8" fillId="2" borderId="15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10" fillId="3" borderId="0" xfId="0" applyFont="1" applyFill="1" applyBorder="1" applyAlignment="1" applyProtection="1">
      <alignment horizontal="left" indent="1"/>
    </xf>
    <xf numFmtId="0" fontId="5" fillId="3" borderId="0" xfId="0" applyFont="1" applyFill="1" applyBorder="1" applyAlignment="1" applyProtection="1">
      <alignment horizontal="left" indent="1"/>
    </xf>
    <xf numFmtId="0" fontId="5" fillId="3" borderId="0" xfId="0" applyFont="1" applyFill="1" applyBorder="1" applyAlignment="1" applyProtection="1">
      <alignment horizontal="left" vertical="center" indent="1"/>
    </xf>
    <xf numFmtId="0" fontId="5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 indent="1"/>
    </xf>
    <xf numFmtId="0" fontId="5" fillId="3" borderId="0" xfId="0" applyFont="1" applyFill="1" applyBorder="1" applyProtection="1"/>
    <xf numFmtId="3" fontId="5" fillId="3" borderId="0" xfId="0" applyNumberFormat="1" applyFont="1" applyFill="1" applyAlignment="1" applyProtection="1">
      <alignment horizontal="left" indent="1"/>
    </xf>
    <xf numFmtId="1" fontId="5" fillId="3" borderId="0" xfId="0" applyNumberFormat="1" applyFont="1" applyFill="1" applyBorder="1" applyAlignment="1" applyProtection="1">
      <alignment horizontal="left" indent="1"/>
    </xf>
    <xf numFmtId="2" fontId="5" fillId="3" borderId="0" xfId="0" applyNumberFormat="1" applyFont="1" applyFill="1" applyBorder="1" applyAlignment="1" applyProtection="1">
      <alignment horizontal="left" indent="1"/>
    </xf>
    <xf numFmtId="9" fontId="5" fillId="3" borderId="0" xfId="0" applyNumberFormat="1" applyFont="1" applyFill="1" applyBorder="1" applyAlignment="1" applyProtection="1">
      <alignment horizontal="left" indent="1"/>
    </xf>
    <xf numFmtId="165" fontId="5" fillId="3" borderId="0" xfId="0" applyNumberFormat="1" applyFont="1" applyFill="1" applyBorder="1" applyAlignment="1" applyProtection="1">
      <alignment horizontal="left" indent="1"/>
    </xf>
    <xf numFmtId="3" fontId="5" fillId="3" borderId="0" xfId="0" applyNumberFormat="1" applyFont="1" applyFill="1" applyBorder="1" applyAlignment="1" applyProtection="1">
      <alignment horizontal="left" indent="1"/>
    </xf>
    <xf numFmtId="3" fontId="8" fillId="3" borderId="0" xfId="0" applyNumberFormat="1" applyFont="1" applyFill="1" applyBorder="1" applyAlignment="1" applyProtection="1">
      <alignment horizontal="left" indent="1"/>
    </xf>
    <xf numFmtId="2" fontId="8" fillId="2" borderId="15" xfId="0" applyNumberFormat="1" applyFont="1" applyFill="1" applyBorder="1" applyAlignment="1" applyProtection="1">
      <alignment horizontal="right" indent="1"/>
      <protection locked="0"/>
    </xf>
    <xf numFmtId="0" fontId="15" fillId="3" borderId="0" xfId="0" applyFont="1" applyFill="1" applyAlignment="1" applyProtection="1">
      <alignment horizontal="right" vertical="top"/>
    </xf>
    <xf numFmtId="0" fontId="14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 indent="1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2" fontId="0" fillId="4" borderId="0" xfId="0" applyNumberFormat="1" applyFill="1"/>
    <xf numFmtId="0" fontId="4" fillId="4" borderId="6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0" fillId="3" borderId="0" xfId="0" applyFont="1" applyFill="1" applyAlignment="1" applyProtection="1">
      <alignment horizontal="left" indent="5"/>
    </xf>
    <xf numFmtId="0" fontId="8" fillId="3" borderId="0" xfId="0" applyFont="1" applyFill="1" applyBorder="1" applyAlignment="1" applyProtection="1">
      <alignment horizontal="right"/>
    </xf>
    <xf numFmtId="0" fontId="8" fillId="2" borderId="15" xfId="0" applyFont="1" applyFill="1" applyBorder="1" applyAlignment="1" applyProtection="1">
      <alignment horizontal="left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5" xfId="0" applyFill="1" applyBorder="1" applyAlignment="1" applyProtection="1">
      <alignment horizontal="left"/>
    </xf>
    <xf numFmtId="0" fontId="8" fillId="3" borderId="0" xfId="0" applyFont="1" applyFill="1" applyAlignment="1" applyProtection="1">
      <alignment horizontal="left" vertical="top" wrapText="1"/>
    </xf>
    <xf numFmtId="0" fontId="0" fillId="3" borderId="0" xfId="0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 indent="1"/>
    </xf>
    <xf numFmtId="0" fontId="2" fillId="3" borderId="0" xfId="0" applyFont="1" applyFill="1" applyAlignment="1" applyProtection="1">
      <alignment horizontal="left" vertical="top" wrapText="1" indent="1"/>
    </xf>
    <xf numFmtId="0" fontId="0" fillId="3" borderId="0" xfId="0" applyFill="1" applyAlignment="1" applyProtection="1">
      <alignment horizontal="left" vertical="top" indent="1"/>
    </xf>
    <xf numFmtId="0" fontId="8" fillId="2" borderId="15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/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9" dropStyle="combo" dx="16" fmlaLink="$B$10" fmlaRange="Data!$B$6:$B$26" noThreeD="1" sel="7" val="6"/>
</file>

<file path=xl/ctrlProps/ctrlProp2.xml><?xml version="1.0" encoding="utf-8"?>
<formControlPr xmlns="http://schemas.microsoft.com/office/spreadsheetml/2009/9/main" objectType="Drop" dropLines="7" dropStyle="combo" dx="16" fmlaLink="$B$14" fmlaRange="Data!$A$6:$A$26" noThreeD="1" sel="10" val="9"/>
</file>

<file path=xl/ctrlProps/ctrlProp3.xml><?xml version="1.0" encoding="utf-8"?>
<formControlPr xmlns="http://schemas.microsoft.com/office/spreadsheetml/2009/9/main" objectType="Drop" dropLines="2" dropStyle="combo" dx="16" fmlaLink="$B$2" fmlaRange="Data!$J$4:$J$5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923925</xdr:colOff>
          <xdr:row>9</xdr:row>
          <xdr:rowOff>9525</xdr:rowOff>
        </xdr:from>
        <xdr:to>
          <xdr:col>1</xdr:col>
          <xdr:colOff>1476375</xdr:colOff>
          <xdr:row>9</xdr:row>
          <xdr:rowOff>190500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13</xdr:row>
          <xdr:rowOff>19050</xdr:rowOff>
        </xdr:from>
        <xdr:to>
          <xdr:col>1</xdr:col>
          <xdr:colOff>1504950</xdr:colOff>
          <xdr:row>13</xdr:row>
          <xdr:rowOff>190500</xdr:rowOff>
        </xdr:to>
        <xdr:sp macro="" textlink="">
          <xdr:nvSpPr>
            <xdr:cNvPr id="12332" name="Drop Down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0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490133</xdr:colOff>
      <xdr:row>0</xdr:row>
      <xdr:rowOff>207834</xdr:rowOff>
    </xdr:from>
    <xdr:to>
      <xdr:col>3</xdr:col>
      <xdr:colOff>682855</xdr:colOff>
      <xdr:row>3</xdr:row>
      <xdr:rowOff>176538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2733" y="1465134"/>
          <a:ext cx="983297" cy="597354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0</xdr:row>
      <xdr:rowOff>95250</xdr:rowOff>
    </xdr:from>
    <xdr:to>
      <xdr:col>7</xdr:col>
      <xdr:colOff>47625</xdr:colOff>
      <xdr:row>23</xdr:row>
      <xdr:rowOff>161925</xdr:rowOff>
    </xdr:to>
    <xdr:sp macro="" textlink="">
      <xdr:nvSpPr>
        <xdr:cNvPr id="3" name="Round Diagonal Corner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809750" y="1352550"/>
          <a:ext cx="4029075" cy="4886325"/>
        </a:xfrm>
        <a:prstGeom prst="round2DiagRect">
          <a:avLst/>
        </a:prstGeom>
        <a:noFill/>
        <a:ln w="317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567189</xdr:colOff>
      <xdr:row>11</xdr:row>
      <xdr:rowOff>163830</xdr:rowOff>
    </xdr:from>
    <xdr:to>
      <xdr:col>4</xdr:col>
      <xdr:colOff>548000</xdr:colOff>
      <xdr:row>17</xdr:row>
      <xdr:rowOff>3810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7" b="-7763"/>
        <a:stretch/>
      </xdr:blipFill>
      <xdr:spPr>
        <a:xfrm>
          <a:off x="2443614" y="2468880"/>
          <a:ext cx="1561961" cy="1097280"/>
        </a:xfrm>
        <a:prstGeom prst="rect">
          <a:avLst/>
        </a:prstGeom>
      </xdr:spPr>
    </xdr:pic>
    <xdr:clientData/>
  </xdr:twoCellAnchor>
  <xdr:twoCellAnchor>
    <xdr:from>
      <xdr:col>2</xdr:col>
      <xdr:colOff>302203</xdr:colOff>
      <xdr:row>12</xdr:row>
      <xdr:rowOff>135948</xdr:rowOff>
    </xdr:from>
    <xdr:to>
      <xdr:col>2</xdr:col>
      <xdr:colOff>485083</xdr:colOff>
      <xdr:row>12</xdr:row>
      <xdr:rowOff>135948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1098839" y="3876675"/>
          <a:ext cx="18288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311728</xdr:colOff>
      <xdr:row>15</xdr:row>
      <xdr:rowOff>154998</xdr:rowOff>
    </xdr:from>
    <xdr:to>
      <xdr:col>2</xdr:col>
      <xdr:colOff>494608</xdr:colOff>
      <xdr:row>15</xdr:row>
      <xdr:rowOff>154998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1108364" y="4519180"/>
          <a:ext cx="18288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401782</xdr:colOff>
      <xdr:row>14</xdr:row>
      <xdr:rowOff>180110</xdr:rowOff>
    </xdr:from>
    <xdr:to>
      <xdr:col>2</xdr:col>
      <xdr:colOff>401782</xdr:colOff>
      <xdr:row>15</xdr:row>
      <xdr:rowOff>155172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1198418" y="4336474"/>
          <a:ext cx="0" cy="18288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401782</xdr:colOff>
      <xdr:row>12</xdr:row>
      <xdr:rowOff>135948</xdr:rowOff>
    </xdr:from>
    <xdr:to>
      <xdr:col>2</xdr:col>
      <xdr:colOff>401782</xdr:colOff>
      <xdr:row>13</xdr:row>
      <xdr:rowOff>198987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 bwMode="auto">
        <a:xfrm>
          <a:off x="1198418" y="3876675"/>
          <a:ext cx="0" cy="270857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575830</xdr:colOff>
      <xdr:row>15</xdr:row>
      <xdr:rowOff>199159</xdr:rowOff>
    </xdr:from>
    <xdr:to>
      <xdr:col>2</xdr:col>
      <xdr:colOff>575830</xdr:colOff>
      <xdr:row>16</xdr:row>
      <xdr:rowOff>192509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 bwMode="auto">
        <a:xfrm>
          <a:off x="1372466" y="4563341"/>
          <a:ext cx="0" cy="201168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747280</xdr:colOff>
      <xdr:row>14</xdr:row>
      <xdr:rowOff>138545</xdr:rowOff>
    </xdr:from>
    <xdr:to>
      <xdr:col>2</xdr:col>
      <xdr:colOff>747280</xdr:colOff>
      <xdr:row>16</xdr:row>
      <xdr:rowOff>180109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 bwMode="auto">
        <a:xfrm>
          <a:off x="1543916" y="4294909"/>
          <a:ext cx="0" cy="4572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429491</xdr:colOff>
      <xdr:row>16</xdr:row>
      <xdr:rowOff>160886</xdr:rowOff>
    </xdr:from>
    <xdr:to>
      <xdr:col>2</xdr:col>
      <xdr:colOff>566651</xdr:colOff>
      <xdr:row>16</xdr:row>
      <xdr:rowOff>162791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 bwMode="auto">
        <a:xfrm flipH="1" flipV="1">
          <a:off x="1226127" y="4732886"/>
          <a:ext cx="13716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756805</xdr:colOff>
      <xdr:row>16</xdr:row>
      <xdr:rowOff>162791</xdr:rowOff>
    </xdr:from>
    <xdr:to>
      <xdr:col>3</xdr:col>
      <xdr:colOff>105987</xdr:colOff>
      <xdr:row>16</xdr:row>
      <xdr:rowOff>164696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 flipH="1" flipV="1">
          <a:off x="1553441" y="4734791"/>
          <a:ext cx="13716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481446</xdr:colOff>
      <xdr:row>14</xdr:row>
      <xdr:rowOff>164523</xdr:rowOff>
    </xdr:from>
    <xdr:to>
      <xdr:col>3</xdr:col>
      <xdr:colOff>481446</xdr:colOff>
      <xdr:row>16</xdr:row>
      <xdr:rowOff>206087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2066060" y="4320887"/>
          <a:ext cx="0" cy="4572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738620</xdr:colOff>
      <xdr:row>14</xdr:row>
      <xdr:rowOff>156730</xdr:rowOff>
    </xdr:from>
    <xdr:to>
      <xdr:col>3</xdr:col>
      <xdr:colOff>738620</xdr:colOff>
      <xdr:row>16</xdr:row>
      <xdr:rowOff>198294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2323234" y="4313094"/>
          <a:ext cx="0" cy="4572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344632</xdr:colOff>
      <xdr:row>16</xdr:row>
      <xdr:rowOff>171450</xdr:rowOff>
    </xdr:from>
    <xdr:to>
      <xdr:col>3</xdr:col>
      <xdr:colOff>481792</xdr:colOff>
      <xdr:row>16</xdr:row>
      <xdr:rowOff>173355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 flipH="1" flipV="1">
          <a:off x="1929246" y="4743450"/>
          <a:ext cx="13716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738620</xdr:colOff>
      <xdr:row>16</xdr:row>
      <xdr:rowOff>173356</xdr:rowOff>
    </xdr:from>
    <xdr:to>
      <xdr:col>4</xdr:col>
      <xdr:colOff>87803</xdr:colOff>
      <xdr:row>16</xdr:row>
      <xdr:rowOff>175261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 bwMode="auto">
        <a:xfrm flipH="1" flipV="1">
          <a:off x="2323234" y="4745356"/>
          <a:ext cx="13716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123825</xdr:colOff>
      <xdr:row>46</xdr:row>
      <xdr:rowOff>9525</xdr:rowOff>
    </xdr:from>
    <xdr:to>
      <xdr:col>2</xdr:col>
      <xdr:colOff>398145</xdr:colOff>
      <xdr:row>46</xdr:row>
      <xdr:rowOff>9525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 bwMode="auto">
        <a:xfrm>
          <a:off x="923925" y="12372975"/>
          <a:ext cx="27432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150669</xdr:colOff>
      <xdr:row>28</xdr:row>
      <xdr:rowOff>179243</xdr:rowOff>
    </xdr:from>
    <xdr:to>
      <xdr:col>2</xdr:col>
      <xdr:colOff>424989</xdr:colOff>
      <xdr:row>28</xdr:row>
      <xdr:rowOff>179243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 bwMode="auto">
        <a:xfrm>
          <a:off x="947305" y="8284152"/>
          <a:ext cx="27432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276225</xdr:colOff>
      <xdr:row>38</xdr:row>
      <xdr:rowOff>123825</xdr:rowOff>
    </xdr:from>
    <xdr:to>
      <xdr:col>2</xdr:col>
      <xdr:colOff>276225</xdr:colOff>
      <xdr:row>46</xdr:row>
      <xdr:rowOff>1905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1076325" y="10810875"/>
          <a:ext cx="0" cy="155448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276225</xdr:colOff>
      <xdr:row>28</xdr:row>
      <xdr:rowOff>191366</xdr:rowOff>
    </xdr:from>
    <xdr:to>
      <xdr:col>2</xdr:col>
      <xdr:colOff>276225</xdr:colOff>
      <xdr:row>35</xdr:row>
      <xdr:rowOff>16799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 bwMode="auto">
        <a:xfrm>
          <a:off x="1072861" y="8296275"/>
          <a:ext cx="0" cy="128016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523875</xdr:colOff>
      <xdr:row>46</xdr:row>
      <xdr:rowOff>200025</xdr:rowOff>
    </xdr:from>
    <xdr:to>
      <xdr:col>2</xdr:col>
      <xdr:colOff>523875</xdr:colOff>
      <xdr:row>48</xdr:row>
      <xdr:rowOff>55245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 bwMode="auto">
        <a:xfrm>
          <a:off x="1323975" y="12563475"/>
          <a:ext cx="0" cy="2743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200025</xdr:colOff>
      <xdr:row>47</xdr:row>
      <xdr:rowOff>9525</xdr:rowOff>
    </xdr:from>
    <xdr:to>
      <xdr:col>13</xdr:col>
      <xdr:colOff>200025</xdr:colOff>
      <xdr:row>48</xdr:row>
      <xdr:rowOff>74295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 bwMode="auto">
        <a:xfrm>
          <a:off x="9172575" y="12582525"/>
          <a:ext cx="0" cy="2743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542925</xdr:colOff>
      <xdr:row>47</xdr:row>
      <xdr:rowOff>114300</xdr:rowOff>
    </xdr:from>
    <xdr:to>
      <xdr:col>13</xdr:col>
      <xdr:colOff>203835</xdr:colOff>
      <xdr:row>47</xdr:row>
      <xdr:rowOff>116205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 bwMode="auto">
        <a:xfrm flipH="1" flipV="1">
          <a:off x="5381625" y="12687300"/>
          <a:ext cx="379476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514350</xdr:colOff>
      <xdr:row>47</xdr:row>
      <xdr:rowOff>106680</xdr:rowOff>
    </xdr:from>
    <xdr:to>
      <xdr:col>6</xdr:col>
      <xdr:colOff>767715</xdr:colOff>
      <xdr:row>47</xdr:row>
      <xdr:rowOff>108585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 bwMode="auto">
        <a:xfrm flipH="1" flipV="1">
          <a:off x="1314450" y="12679680"/>
          <a:ext cx="352044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19050</xdr:colOff>
      <xdr:row>44</xdr:row>
      <xdr:rowOff>182707</xdr:rowOff>
    </xdr:from>
    <xdr:to>
      <xdr:col>13</xdr:col>
      <xdr:colOff>476250</xdr:colOff>
      <xdr:row>44</xdr:row>
      <xdr:rowOff>182707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 bwMode="auto">
        <a:xfrm>
          <a:off x="8998527" y="11612707"/>
          <a:ext cx="457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28575</xdr:colOff>
      <xdr:row>30</xdr:row>
      <xdr:rowOff>95250</xdr:rowOff>
    </xdr:from>
    <xdr:to>
      <xdr:col>13</xdr:col>
      <xdr:colOff>485775</xdr:colOff>
      <xdr:row>30</xdr:row>
      <xdr:rowOff>95250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9008052" y="8615795"/>
          <a:ext cx="4572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352425</xdr:colOff>
      <xdr:row>39</xdr:row>
      <xdr:rowOff>34637</xdr:rowOff>
    </xdr:from>
    <xdr:to>
      <xdr:col>13</xdr:col>
      <xdr:colOff>352425</xdr:colOff>
      <xdr:row>44</xdr:row>
      <xdr:rowOff>184266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 bwMode="auto">
        <a:xfrm>
          <a:off x="9331902" y="10425546"/>
          <a:ext cx="0" cy="118872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344632</xdr:colOff>
      <xdr:row>30</xdr:row>
      <xdr:rowOff>95250</xdr:rowOff>
    </xdr:from>
    <xdr:to>
      <xdr:col>13</xdr:col>
      <xdr:colOff>344632</xdr:colOff>
      <xdr:row>35</xdr:row>
      <xdr:rowOff>153439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>
          <a:off x="9324109" y="8615795"/>
          <a:ext cx="0" cy="109728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80528</xdr:colOff>
      <xdr:row>28</xdr:row>
      <xdr:rowOff>179244</xdr:rowOff>
    </xdr:from>
    <xdr:to>
      <xdr:col>3</xdr:col>
      <xdr:colOff>80528</xdr:colOff>
      <xdr:row>30</xdr:row>
      <xdr:rowOff>34464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 bwMode="auto">
        <a:xfrm>
          <a:off x="1665142" y="8284153"/>
          <a:ext cx="0" cy="27085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480580</xdr:colOff>
      <xdr:row>28</xdr:row>
      <xdr:rowOff>173183</xdr:rowOff>
    </xdr:from>
    <xdr:to>
      <xdr:col>12</xdr:col>
      <xdr:colOff>480580</xdr:colOff>
      <xdr:row>30</xdr:row>
      <xdr:rowOff>28403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 bwMode="auto">
        <a:xfrm>
          <a:off x="8819285" y="8278092"/>
          <a:ext cx="0" cy="27085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132483</xdr:colOff>
      <xdr:row>29</xdr:row>
      <xdr:rowOff>104775</xdr:rowOff>
    </xdr:from>
    <xdr:to>
      <xdr:col>12</xdr:col>
      <xdr:colOff>480232</xdr:colOff>
      <xdr:row>29</xdr:row>
      <xdr:rowOff>106680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 bwMode="auto">
        <a:xfrm flipH="1" flipV="1">
          <a:off x="5527097" y="8417502"/>
          <a:ext cx="3291840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sm" len="med"/>
          <a:tailEnd type="non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88322</xdr:colOff>
      <xdr:row>29</xdr:row>
      <xdr:rowOff>98021</xdr:rowOff>
    </xdr:from>
    <xdr:to>
      <xdr:col>7</xdr:col>
      <xdr:colOff>130406</xdr:colOff>
      <xdr:row>29</xdr:row>
      <xdr:rowOff>99926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 bwMode="auto">
        <a:xfrm flipH="1" flipV="1">
          <a:off x="1672936" y="8410748"/>
          <a:ext cx="3289243" cy="190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med"/>
          <a:tailEnd type="triangle" w="sm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3</xdr:col>
      <xdr:colOff>51961</xdr:colOff>
      <xdr:row>30</xdr:row>
      <xdr:rowOff>69273</xdr:rowOff>
    </xdr:from>
    <xdr:to>
      <xdr:col>12</xdr:col>
      <xdr:colOff>529631</xdr:colOff>
      <xdr:row>44</xdr:row>
      <xdr:rowOff>197912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575" y="8589818"/>
          <a:ext cx="7231761" cy="30380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714375</xdr:colOff>
          <xdr:row>1</xdr:row>
          <xdr:rowOff>19050</xdr:rowOff>
        </xdr:from>
        <xdr:to>
          <xdr:col>1</xdr:col>
          <xdr:colOff>1438275</xdr:colOff>
          <xdr:row>1</xdr:row>
          <xdr:rowOff>200025</xdr:rowOff>
        </xdr:to>
        <xdr:sp macro="" textlink="">
          <xdr:nvSpPr>
            <xdr:cNvPr id="12341" name="Drop Down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0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N137"/>
  <sheetViews>
    <sheetView showRowColHeaders="0" tabSelected="1" showOutlineSymbols="0" zoomScaleNormal="100" workbookViewId="0">
      <selection activeCell="B2" sqref="B2"/>
    </sheetView>
  </sheetViews>
  <sheetFormatPr defaultRowHeight="12.75" x14ac:dyDescent="0.2"/>
  <cols>
    <col min="1" max="1" width="3.7109375" style="1" customWidth="1"/>
    <col min="2" max="2" width="24.42578125" style="1" customWidth="1"/>
    <col min="3" max="4" width="11.85546875" style="1" customWidth="1"/>
    <col min="5" max="5" width="14" style="1" customWidth="1"/>
    <col min="6" max="6" width="11.28515625" style="1" customWidth="1"/>
    <col min="7" max="7" width="11.5703125" style="2" customWidth="1"/>
    <col min="8" max="8" width="8.42578125" style="2" customWidth="1"/>
    <col min="9" max="9" width="15.28515625" style="1" customWidth="1"/>
    <col min="10" max="14" width="9.5703125" style="1" customWidth="1"/>
    <col min="15" max="16384" width="9.140625" style="1"/>
  </cols>
  <sheetData>
    <row r="1" spans="1:14" ht="16.5" customHeight="1" thickTop="1" x14ac:dyDescent="0.25">
      <c r="A1" s="33"/>
      <c r="B1" s="25" t="s">
        <v>53</v>
      </c>
      <c r="C1" s="92"/>
      <c r="D1" s="93"/>
      <c r="E1" s="5"/>
      <c r="F1" s="5"/>
      <c r="G1" s="4"/>
      <c r="H1" s="38" t="s">
        <v>46</v>
      </c>
      <c r="I1" s="23"/>
      <c r="J1" s="23"/>
      <c r="K1" s="23"/>
      <c r="L1" s="23"/>
      <c r="M1" s="23"/>
      <c r="N1" s="23"/>
    </row>
    <row r="2" spans="1:14" ht="16.5" customHeight="1" x14ac:dyDescent="0.2">
      <c r="A2" s="34"/>
      <c r="B2" s="26">
        <v>2</v>
      </c>
      <c r="C2" s="92"/>
      <c r="D2" s="93"/>
      <c r="E2" s="86" t="s">
        <v>49</v>
      </c>
      <c r="F2" s="86"/>
      <c r="G2" s="87"/>
      <c r="H2" s="39" t="s">
        <v>47</v>
      </c>
      <c r="I2" s="40"/>
      <c r="J2" s="40"/>
      <c r="K2" s="40"/>
      <c r="L2" s="40"/>
      <c r="M2" s="40"/>
      <c r="N2" s="41"/>
    </row>
    <row r="3" spans="1:14" ht="16.5" customHeight="1" x14ac:dyDescent="0.2">
      <c r="A3" s="34"/>
      <c r="B3" s="28"/>
      <c r="C3" s="5"/>
      <c r="D3" s="22"/>
      <c r="E3" s="87"/>
      <c r="F3" s="87"/>
      <c r="G3" s="87"/>
      <c r="H3" s="4"/>
      <c r="I3" s="42"/>
      <c r="J3" s="40"/>
      <c r="K3" s="40"/>
      <c r="L3" s="40"/>
      <c r="M3" s="40"/>
      <c r="N3" s="41"/>
    </row>
    <row r="4" spans="1:14" ht="16.5" customHeight="1" x14ac:dyDescent="0.2">
      <c r="A4" s="34"/>
      <c r="B4" s="83" t="s">
        <v>57</v>
      </c>
      <c r="C4" s="5"/>
      <c r="D4" s="3"/>
      <c r="E4" s="5"/>
      <c r="F4" s="21" t="s">
        <v>27</v>
      </c>
      <c r="G4" s="39" t="str">
        <f>VLOOKUP($B$2,Data!$I$4:$J$5,2)</f>
        <v>Retention</v>
      </c>
      <c r="H4" s="39" t="str">
        <f>IF(B2=1,"Detention implies a restricted outlet with solid wall pipe.", "Retention implies groundwater infiltration using fully perforated pipe.")</f>
        <v>Retention implies groundwater infiltration using fully perforated pipe.</v>
      </c>
      <c r="I4" s="39"/>
      <c r="J4" s="39"/>
      <c r="K4" s="39"/>
      <c r="L4" s="39"/>
      <c r="M4" s="39"/>
      <c r="N4" s="43"/>
    </row>
    <row r="5" spans="1:14" ht="16.5" customHeight="1" x14ac:dyDescent="0.2">
      <c r="A5" s="34"/>
      <c r="B5" s="84"/>
      <c r="C5" s="88" t="s">
        <v>50</v>
      </c>
      <c r="D5" s="89"/>
      <c r="E5" s="82" t="s">
        <v>48</v>
      </c>
      <c r="F5" s="82"/>
      <c r="G5" s="44">
        <f>$B$7</f>
        <v>35400</v>
      </c>
      <c r="H5" s="4"/>
      <c r="I5" s="39"/>
      <c r="J5" s="39"/>
      <c r="K5" s="39"/>
      <c r="L5" s="39"/>
      <c r="M5" s="39"/>
      <c r="N5" s="43"/>
    </row>
    <row r="6" spans="1:14" ht="16.5" customHeight="1" x14ac:dyDescent="0.2">
      <c r="A6" s="34"/>
      <c r="B6" s="85"/>
      <c r="C6" s="89"/>
      <c r="D6" s="89"/>
      <c r="E6" s="82" t="s">
        <v>26</v>
      </c>
      <c r="F6" s="82"/>
      <c r="G6" s="45">
        <f>VLOOKUP($B$10,Data!$A$6:$H$26,2)</f>
        <v>60</v>
      </c>
      <c r="H6" s="39" t="s">
        <v>34</v>
      </c>
      <c r="I6" s="39"/>
      <c r="J6" s="39"/>
      <c r="K6" s="39"/>
      <c r="L6" s="39"/>
      <c r="M6" s="39"/>
      <c r="N6" s="43"/>
    </row>
    <row r="7" spans="1:14" ht="16.5" customHeight="1" x14ac:dyDescent="0.2">
      <c r="A7" s="34"/>
      <c r="B7" s="27">
        <v>35400</v>
      </c>
      <c r="C7" s="90"/>
      <c r="D7" s="90"/>
      <c r="E7" s="82" t="s">
        <v>25</v>
      </c>
      <c r="F7" s="82"/>
      <c r="G7" s="39">
        <f>$B$14</f>
        <v>10</v>
      </c>
      <c r="H7" s="39"/>
      <c r="I7" s="39"/>
      <c r="J7" s="39"/>
      <c r="K7" s="39"/>
      <c r="L7" s="39"/>
      <c r="M7" s="39"/>
      <c r="N7" s="43"/>
    </row>
    <row r="8" spans="1:14" ht="16.5" customHeight="1" x14ac:dyDescent="0.2">
      <c r="A8" s="34"/>
      <c r="B8" s="28"/>
      <c r="C8" s="82" t="s">
        <v>28</v>
      </c>
      <c r="D8" s="82"/>
      <c r="E8" s="82"/>
      <c r="F8" s="82"/>
      <c r="G8" s="46">
        <f>VLOOKUP($B$10,Data!$A$6:$H$26,3)</f>
        <v>5</v>
      </c>
      <c r="H8" s="39"/>
      <c r="I8" s="39"/>
      <c r="J8" s="39"/>
      <c r="K8" s="39"/>
      <c r="L8" s="39"/>
      <c r="M8" s="39"/>
      <c r="N8" s="43"/>
    </row>
    <row r="9" spans="1:14" ht="16.5" customHeight="1" x14ac:dyDescent="0.2">
      <c r="A9" s="34"/>
      <c r="B9" s="29" t="s">
        <v>54</v>
      </c>
      <c r="C9" s="82" t="s">
        <v>29</v>
      </c>
      <c r="D9" s="82"/>
      <c r="E9" s="82"/>
      <c r="F9" s="82"/>
      <c r="G9" s="46">
        <f>PI()*$G$8^2/4</f>
        <v>19.634954084936208</v>
      </c>
      <c r="H9" s="39" t="s">
        <v>35</v>
      </c>
      <c r="I9" s="39"/>
      <c r="J9" s="39"/>
      <c r="K9" s="39"/>
      <c r="L9" s="39"/>
      <c r="M9" s="39"/>
      <c r="N9" s="43"/>
    </row>
    <row r="10" spans="1:14" ht="16.5" customHeight="1" x14ac:dyDescent="0.2">
      <c r="A10" s="34"/>
      <c r="B10" s="26">
        <v>7</v>
      </c>
      <c r="C10" s="82" t="s">
        <v>11</v>
      </c>
      <c r="D10" s="82"/>
      <c r="E10" s="82"/>
      <c r="F10" s="82"/>
      <c r="G10" s="46">
        <f>VLOOKUP($B$10,Data!$A$6:$H$26,4)</f>
        <v>2.5</v>
      </c>
      <c r="H10" s="39" t="s">
        <v>36</v>
      </c>
      <c r="I10" s="39"/>
      <c r="J10" s="39"/>
      <c r="K10" s="39"/>
      <c r="L10" s="39"/>
      <c r="M10" s="39"/>
      <c r="N10" s="43"/>
    </row>
    <row r="11" spans="1:14" ht="16.5" customHeight="1" x14ac:dyDescent="0.2">
      <c r="A11" s="34"/>
      <c r="B11" s="28"/>
      <c r="C11" s="82" t="str">
        <f>IF($B$2=1,"Height of Backfill Over Pipe (ft)","Stone Storage Above Pipe (ft)")</f>
        <v>Stone Storage Above Pipe (ft)</v>
      </c>
      <c r="D11" s="82"/>
      <c r="E11" s="82"/>
      <c r="F11" s="82"/>
      <c r="G11" s="46">
        <f>$B$22</f>
        <v>1</v>
      </c>
      <c r="H11" s="39" t="str">
        <f>IF($B$2=1,"As required by project specifications (recommended 1-ft).","As available for infiltration systems.")</f>
        <v>As available for infiltration systems.</v>
      </c>
      <c r="I11" s="39"/>
      <c r="J11" s="39"/>
      <c r="K11" s="39"/>
      <c r="L11" s="39"/>
      <c r="M11" s="39"/>
      <c r="N11" s="43"/>
    </row>
    <row r="12" spans="1:14" ht="16.5" customHeight="1" x14ac:dyDescent="0.2">
      <c r="A12" s="34"/>
      <c r="B12" s="28"/>
      <c r="C12" s="54" t="str">
        <f>IF($B$18=0.33,"4-in bedding",IF($B$18=0.5,"6-in bedding",IF($B$18=0.75,"9-in bedding","12-in bedding")))</f>
        <v>6-in bedding</v>
      </c>
      <c r="D12" s="53" t="str">
        <f>IF($B$22=0.33,"backfill 4-in above pipe",IF($B$22=0.5,"backfill 6-in above pipe",IF($B$22=0.75,"backfill 9-in above pipe","backfill 12-in above pipe")))</f>
        <v>backfill 12-in above pipe</v>
      </c>
      <c r="E12" s="5"/>
      <c r="F12" s="24" t="s">
        <v>60</v>
      </c>
      <c r="G12" s="46">
        <f>$B$18</f>
        <v>0.5</v>
      </c>
      <c r="H12" s="39" t="str">
        <f>IF(B2=1,"Bedding for detention system per project specifications.","Bedding used as part of the storage depth for retention systems.")</f>
        <v>Bedding used as part of the storage depth for retention systems.</v>
      </c>
      <c r="I12" s="39"/>
      <c r="J12" s="39"/>
      <c r="K12" s="39"/>
      <c r="L12" s="39"/>
      <c r="M12" s="39"/>
      <c r="N12" s="43"/>
    </row>
    <row r="13" spans="1:14" ht="16.5" customHeight="1" x14ac:dyDescent="0.2">
      <c r="A13" s="34"/>
      <c r="B13" s="30" t="s">
        <v>55</v>
      </c>
      <c r="C13" s="8"/>
      <c r="D13" s="8"/>
      <c r="E13" s="82" t="s">
        <v>20</v>
      </c>
      <c r="F13" s="82"/>
      <c r="G13" s="46">
        <f>IF($B$2=1,"N/A",$G$8+$G$12+$G$11)</f>
        <v>6.5</v>
      </c>
      <c r="H13" s="39" t="str">
        <f>IF($B$2=1,"Applicable when using backfill/bedding for storage.","Bedding thickness + Pipe OD + storage above pipe.")</f>
        <v>Bedding thickness + Pipe OD + storage above pipe.</v>
      </c>
      <c r="I13" s="39"/>
      <c r="J13" s="39"/>
      <c r="K13" s="39"/>
      <c r="L13" s="39"/>
      <c r="M13" s="39"/>
      <c r="N13" s="43"/>
    </row>
    <row r="14" spans="1:14" ht="16.5" customHeight="1" x14ac:dyDescent="0.2">
      <c r="A14" s="34"/>
      <c r="B14" s="26">
        <v>10</v>
      </c>
      <c r="C14" s="8"/>
      <c r="D14" s="8"/>
      <c r="E14" s="82" t="s">
        <v>21</v>
      </c>
      <c r="F14" s="82"/>
      <c r="G14" s="47">
        <f>IF($B$2=1,"N/A",40%)</f>
        <v>0.4</v>
      </c>
      <c r="H14" s="39" t="str">
        <f>IF($B$2=1,"Applicable when using backfill/bedding for storage.","40% porosity for washed, open graded, angular aggregate.")</f>
        <v>40% porosity for washed, open graded, angular aggregate.</v>
      </c>
      <c r="I14" s="39"/>
      <c r="J14" s="39"/>
      <c r="K14" s="39"/>
      <c r="L14" s="39"/>
      <c r="M14" s="39"/>
      <c r="N14" s="43"/>
    </row>
    <row r="15" spans="1:14" ht="16.5" customHeight="1" x14ac:dyDescent="0.2">
      <c r="A15" s="34"/>
      <c r="B15" s="31"/>
      <c r="C15" s="9">
        <f>IF($B$2=1,G12+G8+1,G12+G8+G11)</f>
        <v>6.5</v>
      </c>
      <c r="D15" s="8"/>
      <c r="E15" s="82" t="s">
        <v>5</v>
      </c>
      <c r="F15" s="82"/>
      <c r="G15" s="46">
        <f>$G$7*$G$8+$G$10*($G$7-1)</f>
        <v>72.5</v>
      </c>
      <c r="H15" s="39"/>
      <c r="I15" s="39"/>
      <c r="J15" s="39"/>
      <c r="K15" s="39"/>
      <c r="L15" s="39"/>
      <c r="M15" s="39"/>
      <c r="N15" s="43"/>
    </row>
    <row r="16" spans="1:14" ht="16.5" customHeight="1" x14ac:dyDescent="0.2">
      <c r="A16" s="34"/>
      <c r="B16" s="32"/>
      <c r="C16" s="8"/>
      <c r="D16" s="8"/>
      <c r="E16" s="82" t="s">
        <v>22</v>
      </c>
      <c r="F16" s="82"/>
      <c r="G16" s="46">
        <f>IF($B$2=1,($B$7-$G$9*$G$15*2)/($G$9*$G$7),($B$7-$G$9*$G$15*2-4*$G$13*($G$15+4)*$G$14-$G$13*($G$15+4)*2*$G$8*$G$14+$G$9*$G$15*2*$G$14)/($G$9*$G$7+$G$13*($G$15+4)*$G$14-$G$9*$G$7*$G$14))</f>
        <v>97.588285432239758</v>
      </c>
      <c r="H16" s="39" t="s">
        <v>52</v>
      </c>
      <c r="I16" s="39"/>
      <c r="J16" s="39"/>
      <c r="K16" s="39"/>
      <c r="L16" s="39"/>
      <c r="M16" s="39"/>
      <c r="N16" s="43"/>
    </row>
    <row r="17" spans="1:14" ht="16.5" customHeight="1" x14ac:dyDescent="0.2">
      <c r="A17" s="34"/>
      <c r="B17" s="35" t="s">
        <v>56</v>
      </c>
      <c r="C17" s="8"/>
      <c r="D17" s="8"/>
      <c r="E17" s="82" t="s">
        <v>18</v>
      </c>
      <c r="F17" s="82"/>
      <c r="G17" s="48">
        <f>2*$G$15+$G$7*$G$16</f>
        <v>1120.8828543223976</v>
      </c>
      <c r="H17" s="39" t="s">
        <v>58</v>
      </c>
      <c r="I17" s="39"/>
      <c r="J17" s="39"/>
      <c r="K17" s="39"/>
      <c r="L17" s="39"/>
      <c r="M17" s="39"/>
      <c r="N17" s="43"/>
    </row>
    <row r="18" spans="1:14" ht="16.5" customHeight="1" x14ac:dyDescent="0.2">
      <c r="A18" s="34"/>
      <c r="B18" s="51">
        <v>0.5</v>
      </c>
      <c r="C18" s="10">
        <v>2</v>
      </c>
      <c r="D18" s="20">
        <f>G10</f>
        <v>2.5</v>
      </c>
      <c r="E18" s="82" t="s">
        <v>17</v>
      </c>
      <c r="F18" s="82"/>
      <c r="G18" s="46">
        <f>$G$15+4</f>
        <v>76.5</v>
      </c>
      <c r="H18" s="39" t="s">
        <v>23</v>
      </c>
      <c r="I18" s="39"/>
      <c r="J18" s="39"/>
      <c r="K18" s="39"/>
      <c r="L18" s="39"/>
      <c r="M18" s="39"/>
      <c r="N18" s="43"/>
    </row>
    <row r="19" spans="1:14" ht="16.5" customHeight="1" x14ac:dyDescent="0.2">
      <c r="A19" s="34"/>
      <c r="B19" s="28"/>
      <c r="C19" s="8"/>
      <c r="D19" s="52" t="s">
        <v>45</v>
      </c>
      <c r="E19" s="82" t="s">
        <v>19</v>
      </c>
      <c r="F19" s="82"/>
      <c r="G19" s="46">
        <f>$G$16+2*$G$8+4</f>
        <v>111.58828543223976</v>
      </c>
      <c r="H19" s="39" t="s">
        <v>24</v>
      </c>
      <c r="I19" s="39"/>
      <c r="J19" s="39"/>
      <c r="K19" s="39"/>
      <c r="L19" s="39"/>
      <c r="M19" s="39"/>
      <c r="N19" s="43"/>
    </row>
    <row r="20" spans="1:14" ht="16.5" customHeight="1" x14ac:dyDescent="0.2">
      <c r="A20" s="34"/>
      <c r="B20" s="91" t="str">
        <f>IF($B$2=1,"6. Choose height of backfill over pipe (ft)","6. Choose amount of stone storage above pipe (ft)")</f>
        <v>6. Choose amount of stone storage above pipe (ft)</v>
      </c>
      <c r="C20" s="21"/>
      <c r="D20" s="21"/>
      <c r="E20" s="82" t="s">
        <v>30</v>
      </c>
      <c r="F20" s="82"/>
      <c r="G20" s="49">
        <f>IF($B$2=1,(($G$8+1)*$G$18*$G$19-$G$9*$G$17)/27,(($G$8+$G$12+1)*$G$18*$G$19-$G$9*$G$17)/27)</f>
        <v>1239.9552426655077</v>
      </c>
      <c r="H20" s="39" t="s">
        <v>59</v>
      </c>
      <c r="I20" s="39"/>
      <c r="J20" s="39"/>
      <c r="K20" s="39"/>
      <c r="L20" s="39"/>
      <c r="M20" s="39"/>
      <c r="N20" s="43"/>
    </row>
    <row r="21" spans="1:14" ht="16.5" customHeight="1" x14ac:dyDescent="0.2">
      <c r="A21" s="34"/>
      <c r="B21" s="84"/>
      <c r="C21" s="82" t="s">
        <v>31</v>
      </c>
      <c r="D21" s="82"/>
      <c r="E21" s="82"/>
      <c r="F21" s="82"/>
      <c r="G21" s="49">
        <f>$G$17*$G$9</f>
        <v>22008.483379212517</v>
      </c>
      <c r="H21" s="39"/>
      <c r="I21" s="39"/>
      <c r="J21" s="39"/>
      <c r="K21" s="39"/>
      <c r="L21" s="39"/>
      <c r="M21" s="39"/>
      <c r="N21" s="43"/>
    </row>
    <row r="22" spans="1:14" ht="16.5" customHeight="1" x14ac:dyDescent="0.2">
      <c r="A22" s="34"/>
      <c r="B22" s="51">
        <v>1</v>
      </c>
      <c r="C22" s="82" t="s">
        <v>32</v>
      </c>
      <c r="D22" s="82"/>
      <c r="E22" s="82"/>
      <c r="F22" s="82"/>
      <c r="G22" s="45">
        <f>IF($B$2=1,"N/A",($G$19*$G$18*$G$13-$G$21)*$G$14)</f>
        <v>13391.516620787484</v>
      </c>
      <c r="H22" s="39" t="str">
        <f>IF($B$2=1,"Applicable for infiltration systems (i.e. using stone bedding/backfill for storage).","See storage depth note above.")</f>
        <v>See storage depth note above.</v>
      </c>
      <c r="I22" s="39"/>
      <c r="J22" s="39"/>
      <c r="K22" s="39"/>
      <c r="L22" s="39"/>
      <c r="M22" s="39"/>
      <c r="N22" s="43"/>
    </row>
    <row r="23" spans="1:14" ht="16.5" customHeight="1" x14ac:dyDescent="0.2">
      <c r="A23" s="34"/>
      <c r="B23" s="28"/>
      <c r="C23" s="82" t="s">
        <v>33</v>
      </c>
      <c r="D23" s="82"/>
      <c r="E23" s="82"/>
      <c r="F23" s="82"/>
      <c r="G23" s="50">
        <f>IF($B$2=1,$G$21,$G$21+$G$22)</f>
        <v>35400</v>
      </c>
      <c r="H23" s="39"/>
      <c r="I23" s="39"/>
      <c r="J23" s="39"/>
      <c r="K23" s="39"/>
      <c r="L23" s="39"/>
      <c r="M23" s="39"/>
      <c r="N23" s="43"/>
    </row>
    <row r="24" spans="1:14" ht="16.5" customHeight="1" thickBot="1" x14ac:dyDescent="0.25">
      <c r="A24" s="36"/>
      <c r="B24" s="37"/>
      <c r="C24" s="82"/>
      <c r="D24" s="82"/>
      <c r="E24" s="82"/>
      <c r="F24" s="82"/>
      <c r="G24" s="45"/>
      <c r="H24" s="39"/>
      <c r="I24" s="39"/>
      <c r="J24" s="39"/>
      <c r="K24" s="39"/>
      <c r="L24" s="39"/>
      <c r="M24" s="39"/>
      <c r="N24" s="43"/>
    </row>
    <row r="25" spans="1:14" ht="16.5" customHeight="1" thickTop="1" x14ac:dyDescent="0.2">
      <c r="A25" s="5"/>
      <c r="B25" s="5"/>
      <c r="C25" s="5"/>
      <c r="D25" s="5"/>
      <c r="E25" s="5"/>
      <c r="F25" s="5"/>
      <c r="G25" s="4"/>
      <c r="H25" s="4"/>
      <c r="I25" s="7"/>
      <c r="J25" s="5"/>
      <c r="K25" s="5"/>
      <c r="L25" s="5"/>
      <c r="M25" s="7"/>
      <c r="N25" s="5"/>
    </row>
    <row r="26" spans="1:14" ht="16.5" customHeight="1" x14ac:dyDescent="0.25">
      <c r="A26" s="5"/>
      <c r="B26" s="5"/>
      <c r="C26" s="19">
        <f>$G$6</f>
        <v>60</v>
      </c>
      <c r="D26" s="16" t="s">
        <v>51</v>
      </c>
      <c r="E26" s="5"/>
      <c r="F26" s="5"/>
      <c r="G26" s="15">
        <f>$B$14</f>
        <v>10</v>
      </c>
      <c r="H26" s="17" t="s">
        <v>43</v>
      </c>
      <c r="I26" s="21"/>
      <c r="J26" s="5"/>
      <c r="K26" s="5"/>
      <c r="L26" s="15" t="s">
        <v>41</v>
      </c>
      <c r="M26" s="19">
        <f>C36*H48</f>
        <v>8536.5038355663419</v>
      </c>
      <c r="N26" s="18" t="s">
        <v>42</v>
      </c>
    </row>
    <row r="27" spans="1:14" ht="16.5" customHeight="1" x14ac:dyDescent="0.25">
      <c r="A27" s="5"/>
      <c r="B27" s="5"/>
      <c r="C27" s="81" t="str">
        <f>IF($B$2=1,"Solid Wall Detention System","Fully Perforated Retention System")</f>
        <v>Fully Perforated Retention System</v>
      </c>
      <c r="D27" s="81"/>
      <c r="E27" s="81"/>
      <c r="F27" s="81"/>
      <c r="G27" s="5"/>
      <c r="H27" s="5"/>
      <c r="I27" s="5"/>
      <c r="J27" s="5"/>
      <c r="K27" s="5"/>
      <c r="L27" s="15" t="s">
        <v>44</v>
      </c>
      <c r="M27" s="19">
        <f>N37*H30</f>
        <v>7800.1506938373823</v>
      </c>
      <c r="N27" s="18" t="s">
        <v>42</v>
      </c>
    </row>
    <row r="28" spans="1:14" ht="16.5" customHeight="1" x14ac:dyDescent="0.2">
      <c r="A28" s="5"/>
      <c r="B28" s="5"/>
      <c r="C28" s="5"/>
      <c r="D28" s="5"/>
      <c r="E28" s="5"/>
      <c r="F28" s="5"/>
      <c r="G28" s="4"/>
      <c r="H28" s="5"/>
      <c r="I28" s="5"/>
      <c r="J28" s="5"/>
      <c r="K28" s="5"/>
      <c r="L28" s="5"/>
      <c r="M28" s="5"/>
      <c r="N28" s="5"/>
    </row>
    <row r="29" spans="1:14" ht="16.5" customHeight="1" x14ac:dyDescent="0.2">
      <c r="A29" s="5"/>
      <c r="B29" s="5"/>
      <c r="C29" s="5"/>
      <c r="D29" s="5"/>
      <c r="E29" s="5"/>
      <c r="F29" s="5"/>
      <c r="G29" s="4"/>
      <c r="H29" s="4" t="s">
        <v>37</v>
      </c>
      <c r="I29" s="5"/>
      <c r="J29" s="5"/>
      <c r="K29" s="5"/>
      <c r="L29" s="5"/>
      <c r="M29" s="5"/>
      <c r="N29" s="5"/>
    </row>
    <row r="30" spans="1:14" ht="16.5" customHeight="1" x14ac:dyDescent="0.2">
      <c r="A30" s="5"/>
      <c r="B30" s="5"/>
      <c r="C30" s="5"/>
      <c r="D30" s="5"/>
      <c r="E30" s="5"/>
      <c r="F30" s="5"/>
      <c r="G30" s="4"/>
      <c r="H30" s="14">
        <f>G19-4</f>
        <v>107.58828543223976</v>
      </c>
      <c r="I30" s="5"/>
      <c r="J30" s="5"/>
      <c r="K30" s="5"/>
      <c r="L30" s="5"/>
      <c r="M30" s="5"/>
      <c r="N30" s="5"/>
    </row>
    <row r="31" spans="1:14" ht="16.5" customHeight="1" x14ac:dyDescent="0.2">
      <c r="A31" s="5"/>
      <c r="B31" s="5"/>
      <c r="C31" s="5"/>
      <c r="D31" s="5"/>
      <c r="E31" s="5"/>
      <c r="F31" s="5"/>
      <c r="G31" s="4"/>
      <c r="H31" s="4"/>
      <c r="I31" s="5"/>
      <c r="J31" s="5"/>
      <c r="K31" s="5"/>
      <c r="L31" s="5"/>
      <c r="M31" s="5"/>
      <c r="N31" s="5"/>
    </row>
    <row r="32" spans="1:14" ht="16.5" customHeight="1" x14ac:dyDescent="0.2">
      <c r="A32" s="5"/>
      <c r="B32" s="5"/>
      <c r="C32" s="5"/>
      <c r="D32" s="5"/>
      <c r="E32" s="5"/>
      <c r="F32" s="5"/>
      <c r="G32" s="4"/>
      <c r="H32" s="4"/>
      <c r="I32" s="5"/>
      <c r="J32" s="5"/>
      <c r="K32" s="5"/>
      <c r="L32" s="5"/>
      <c r="M32" s="5"/>
      <c r="N32" s="5"/>
    </row>
    <row r="33" spans="1:14" ht="16.5" customHeight="1" x14ac:dyDescent="0.2">
      <c r="A33" s="5"/>
      <c r="B33" s="5"/>
      <c r="C33" s="5"/>
      <c r="D33" s="5"/>
      <c r="E33" s="5"/>
      <c r="F33" s="5"/>
      <c r="G33" s="4"/>
      <c r="H33" s="4"/>
      <c r="I33" s="5"/>
      <c r="J33" s="5"/>
      <c r="K33" s="5"/>
      <c r="L33" s="5"/>
      <c r="M33" s="5"/>
      <c r="N33" s="5"/>
    </row>
    <row r="34" spans="1:14" ht="16.5" customHeight="1" x14ac:dyDescent="0.2">
      <c r="A34" s="5"/>
      <c r="B34" s="5"/>
      <c r="C34" s="5"/>
      <c r="D34" s="5"/>
      <c r="E34" s="5"/>
      <c r="F34" s="5"/>
      <c r="G34" s="4"/>
      <c r="H34" s="4"/>
      <c r="I34" s="5"/>
      <c r="J34" s="5"/>
      <c r="K34" s="5"/>
      <c r="L34" s="5"/>
      <c r="M34" s="5"/>
      <c r="N34" s="5"/>
    </row>
    <row r="35" spans="1:14" ht="16.5" customHeight="1" x14ac:dyDescent="0.2">
      <c r="A35" s="5"/>
      <c r="B35" s="5"/>
      <c r="C35" s="5"/>
      <c r="D35" s="5"/>
      <c r="E35" s="5"/>
      <c r="F35" s="5"/>
      <c r="G35" s="4"/>
      <c r="H35" s="4"/>
      <c r="I35" s="5"/>
      <c r="J35" s="5"/>
      <c r="K35" s="5"/>
      <c r="L35" s="5"/>
      <c r="M35" s="5"/>
      <c r="N35" s="5"/>
    </row>
    <row r="36" spans="1:14" ht="16.5" customHeight="1" x14ac:dyDescent="0.2">
      <c r="A36" s="5"/>
      <c r="B36" s="5"/>
      <c r="C36" s="13">
        <f>G15+4</f>
        <v>76.5</v>
      </c>
      <c r="D36" s="5"/>
      <c r="E36" s="5"/>
      <c r="F36" s="5"/>
      <c r="G36" s="4"/>
      <c r="H36" s="4"/>
      <c r="I36" s="5"/>
      <c r="J36" s="5"/>
      <c r="K36" s="5"/>
      <c r="L36" s="5"/>
      <c r="M36" s="5"/>
      <c r="N36" s="12"/>
    </row>
    <row r="37" spans="1:14" ht="16.5" customHeight="1" x14ac:dyDescent="0.2">
      <c r="A37" s="5"/>
      <c r="B37" s="5"/>
      <c r="C37" s="6" t="s">
        <v>38</v>
      </c>
      <c r="D37" s="5"/>
      <c r="E37" s="5"/>
      <c r="F37" s="5"/>
      <c r="G37" s="4"/>
      <c r="H37" s="4"/>
      <c r="I37" s="5"/>
      <c r="J37" s="5"/>
      <c r="K37" s="5"/>
      <c r="L37" s="5"/>
      <c r="M37" s="5"/>
      <c r="N37" s="12">
        <f>G15</f>
        <v>72.5</v>
      </c>
    </row>
    <row r="38" spans="1:14" ht="16.5" customHeight="1" x14ac:dyDescent="0.2">
      <c r="A38" s="5"/>
      <c r="B38" s="5"/>
      <c r="C38" s="6" t="s">
        <v>40</v>
      </c>
      <c r="D38" s="5"/>
      <c r="E38" s="5"/>
      <c r="F38" s="5"/>
      <c r="G38" s="4"/>
      <c r="H38" s="4"/>
      <c r="I38" s="5"/>
      <c r="J38" s="5"/>
      <c r="K38" s="5"/>
      <c r="L38" s="5"/>
      <c r="M38" s="5"/>
      <c r="N38" s="4" t="s">
        <v>39</v>
      </c>
    </row>
    <row r="39" spans="1:14" ht="16.5" customHeight="1" x14ac:dyDescent="0.2">
      <c r="A39" s="5"/>
      <c r="B39" s="5"/>
      <c r="C39" s="5"/>
      <c r="D39" s="5"/>
      <c r="E39" s="5"/>
      <c r="F39" s="5"/>
      <c r="G39" s="4"/>
      <c r="H39" s="4"/>
      <c r="I39" s="5"/>
      <c r="J39" s="5"/>
      <c r="K39" s="5"/>
      <c r="L39" s="5"/>
      <c r="M39" s="5"/>
      <c r="N39" s="4" t="s">
        <v>40</v>
      </c>
    </row>
    <row r="40" spans="1:14" ht="16.5" customHeight="1" x14ac:dyDescent="0.2">
      <c r="A40" s="5"/>
      <c r="B40" s="5"/>
      <c r="C40" s="5"/>
      <c r="D40" s="5"/>
      <c r="E40" s="5"/>
      <c r="F40" s="5"/>
      <c r="G40" s="4"/>
      <c r="H40" s="4"/>
      <c r="I40" s="5"/>
      <c r="J40" s="5"/>
      <c r="K40" s="5"/>
      <c r="L40" s="5"/>
      <c r="M40" s="5"/>
      <c r="N40" s="5"/>
    </row>
    <row r="41" spans="1:14" ht="16.5" customHeight="1" x14ac:dyDescent="0.2">
      <c r="A41" s="5"/>
      <c r="B41" s="5"/>
      <c r="C41" s="5"/>
      <c r="D41" s="5"/>
      <c r="E41" s="5"/>
      <c r="F41" s="5"/>
      <c r="G41" s="4"/>
      <c r="H41" s="4"/>
      <c r="I41" s="5"/>
      <c r="J41" s="5"/>
      <c r="K41" s="5"/>
      <c r="L41" s="5"/>
      <c r="M41" s="5"/>
      <c r="N41" s="5"/>
    </row>
    <row r="42" spans="1:14" ht="16.5" customHeight="1" x14ac:dyDescent="0.2">
      <c r="A42" s="5"/>
      <c r="B42" s="5"/>
      <c r="C42" s="5"/>
      <c r="D42" s="5"/>
      <c r="E42" s="5"/>
      <c r="F42" s="5"/>
      <c r="G42" s="4"/>
      <c r="H42" s="4"/>
      <c r="I42" s="5"/>
      <c r="J42" s="5"/>
      <c r="K42" s="5"/>
      <c r="L42" s="5"/>
      <c r="M42" s="5"/>
      <c r="N42" s="5"/>
    </row>
    <row r="43" spans="1:14" ht="16.5" customHeight="1" x14ac:dyDescent="0.2">
      <c r="A43" s="5"/>
      <c r="B43" s="5"/>
      <c r="C43" s="5"/>
      <c r="D43" s="5"/>
      <c r="E43" s="5"/>
      <c r="F43" s="5"/>
      <c r="G43" s="4"/>
      <c r="H43" s="4"/>
      <c r="I43" s="5"/>
      <c r="J43" s="5"/>
      <c r="K43" s="5"/>
      <c r="L43" s="5"/>
      <c r="M43" s="5"/>
      <c r="N43" s="5"/>
    </row>
    <row r="44" spans="1:14" ht="16.5" customHeight="1" x14ac:dyDescent="0.2">
      <c r="A44" s="5"/>
      <c r="B44" s="5"/>
      <c r="C44" s="5"/>
      <c r="D44" s="5"/>
      <c r="E44" s="5"/>
      <c r="F44" s="5"/>
      <c r="G44" s="4"/>
      <c r="H44" s="4"/>
      <c r="I44" s="5"/>
      <c r="J44" s="5"/>
      <c r="K44" s="5"/>
      <c r="L44" s="5"/>
      <c r="M44" s="5"/>
      <c r="N44" s="5"/>
    </row>
    <row r="45" spans="1:14" ht="16.5" customHeight="1" x14ac:dyDescent="0.2">
      <c r="A45" s="5"/>
      <c r="B45" s="5"/>
      <c r="C45" s="5"/>
      <c r="D45" s="5"/>
      <c r="E45" s="5"/>
      <c r="F45" s="5"/>
      <c r="G45" s="4"/>
      <c r="H45" s="4"/>
      <c r="I45" s="5"/>
      <c r="J45" s="5"/>
      <c r="K45" s="5"/>
      <c r="L45" s="5"/>
      <c r="M45" s="5"/>
      <c r="N45" s="5"/>
    </row>
    <row r="46" spans="1:14" ht="16.5" customHeight="1" x14ac:dyDescent="0.2">
      <c r="A46" s="5"/>
      <c r="B46" s="5"/>
      <c r="C46" s="5"/>
      <c r="D46" s="5"/>
      <c r="E46" s="5"/>
      <c r="F46" s="5"/>
      <c r="G46" s="4"/>
      <c r="H46" s="4"/>
      <c r="I46" s="5"/>
      <c r="J46" s="5"/>
      <c r="K46" s="5"/>
      <c r="L46" s="5"/>
      <c r="M46" s="5"/>
      <c r="N46" s="5"/>
    </row>
    <row r="47" spans="1:14" ht="16.5" customHeight="1" x14ac:dyDescent="0.2">
      <c r="A47" s="5"/>
      <c r="B47" s="5"/>
      <c r="C47" s="5"/>
      <c r="D47" s="5"/>
      <c r="E47" s="5"/>
      <c r="F47" s="5"/>
      <c r="G47" s="4"/>
      <c r="H47" s="4"/>
      <c r="I47" s="5"/>
      <c r="J47" s="5"/>
      <c r="K47" s="5"/>
      <c r="L47" s="5"/>
      <c r="M47" s="5"/>
      <c r="N47" s="5"/>
    </row>
    <row r="48" spans="1:14" ht="16.5" customHeight="1" x14ac:dyDescent="0.2">
      <c r="A48" s="5"/>
      <c r="B48" s="5"/>
      <c r="C48" s="5"/>
      <c r="D48" s="5"/>
      <c r="E48" s="5"/>
      <c r="F48" s="5"/>
      <c r="G48" s="4"/>
      <c r="H48" s="11">
        <f>G19</f>
        <v>111.58828543223976</v>
      </c>
      <c r="I48" s="5"/>
      <c r="J48" s="5"/>
      <c r="K48" s="5"/>
      <c r="L48" s="5"/>
      <c r="M48" s="5"/>
      <c r="N48" s="5"/>
    </row>
    <row r="49" spans="1:14" ht="16.5" customHeight="1" x14ac:dyDescent="0.2">
      <c r="A49" s="5"/>
      <c r="B49" s="5"/>
      <c r="C49" s="5"/>
      <c r="D49" s="5"/>
      <c r="E49" s="5"/>
      <c r="F49" s="5"/>
      <c r="G49" s="4"/>
      <c r="H49" s="4" t="s">
        <v>19</v>
      </c>
      <c r="I49" s="5"/>
      <c r="J49" s="5"/>
      <c r="K49" s="5"/>
      <c r="L49" s="5"/>
      <c r="M49" s="5"/>
      <c r="N49" s="5"/>
    </row>
    <row r="50" spans="1:14" ht="16.5" customHeight="1" x14ac:dyDescent="0.2">
      <c r="A50" s="5"/>
      <c r="B50" s="5"/>
      <c r="C50" s="5"/>
      <c r="D50" s="5"/>
      <c r="E50" s="5"/>
      <c r="F50" s="5"/>
      <c r="G50" s="4"/>
      <c r="H50" s="4"/>
      <c r="I50" s="5"/>
      <c r="J50" s="5"/>
      <c r="K50" s="5"/>
      <c r="L50" s="5"/>
      <c r="M50" s="5"/>
      <c r="N50" s="5"/>
    </row>
    <row r="51" spans="1:14" ht="16.5" customHeight="1" x14ac:dyDescent="0.2">
      <c r="A51" s="5"/>
      <c r="B51" s="5"/>
      <c r="C51" s="5"/>
      <c r="D51" s="5"/>
      <c r="E51" s="5"/>
      <c r="F51" s="5"/>
      <c r="G51" s="4"/>
      <c r="H51" s="4"/>
      <c r="I51" s="5"/>
      <c r="J51" s="5"/>
      <c r="K51" s="5"/>
      <c r="L51" s="5"/>
      <c r="M51" s="5"/>
      <c r="N51" s="5"/>
    </row>
    <row r="52" spans="1:14" ht="16.5" customHeight="1" x14ac:dyDescent="0.2"/>
    <row r="53" spans="1:14" ht="16.5" customHeight="1" x14ac:dyDescent="0.2"/>
    <row r="54" spans="1:14" ht="16.5" customHeight="1" x14ac:dyDescent="0.2"/>
    <row r="55" spans="1:14" ht="16.5" customHeight="1" x14ac:dyDescent="0.2"/>
    <row r="56" spans="1:14" ht="16.5" customHeight="1" x14ac:dyDescent="0.2"/>
    <row r="57" spans="1:14" ht="16.5" customHeight="1" x14ac:dyDescent="0.2"/>
    <row r="58" spans="1:14" ht="16.5" customHeight="1" x14ac:dyDescent="0.2"/>
    <row r="59" spans="1:14" ht="16.5" customHeight="1" x14ac:dyDescent="0.2"/>
    <row r="60" spans="1:14" ht="16.5" customHeight="1" x14ac:dyDescent="0.2"/>
    <row r="61" spans="1:14" ht="16.5" customHeight="1" x14ac:dyDescent="0.2"/>
    <row r="62" spans="1:14" ht="16.5" customHeight="1" x14ac:dyDescent="0.2"/>
    <row r="63" spans="1:14" ht="16.5" customHeight="1" x14ac:dyDescent="0.2"/>
    <row r="64" spans="1:1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</sheetData>
  <sheetProtection password="DB71" sheet="1" objects="1" scenarios="1" selectLockedCells="1"/>
  <mergeCells count="25">
    <mergeCell ref="B4:B6"/>
    <mergeCell ref="E2:G3"/>
    <mergeCell ref="E7:F7"/>
    <mergeCell ref="C5:D7"/>
    <mergeCell ref="B20:B21"/>
    <mergeCell ref="C8:F8"/>
    <mergeCell ref="E15:F15"/>
    <mergeCell ref="E6:F6"/>
    <mergeCell ref="E5:F5"/>
    <mergeCell ref="C1:D2"/>
    <mergeCell ref="C9:F9"/>
    <mergeCell ref="C10:F10"/>
    <mergeCell ref="C27:F27"/>
    <mergeCell ref="E20:F20"/>
    <mergeCell ref="C11:F11"/>
    <mergeCell ref="E14:F14"/>
    <mergeCell ref="E18:F18"/>
    <mergeCell ref="E19:F19"/>
    <mergeCell ref="E17:F17"/>
    <mergeCell ref="C24:F24"/>
    <mergeCell ref="C21:F21"/>
    <mergeCell ref="C22:F22"/>
    <mergeCell ref="E13:F13"/>
    <mergeCell ref="C23:F23"/>
    <mergeCell ref="E16:F16"/>
  </mergeCells>
  <phoneticPr fontId="3" type="noConversion"/>
  <dataValidations disablePrompts="1" count="2">
    <dataValidation type="whole" allowBlank="1" showInputMessage="1" showErrorMessage="1" errorTitle="Manifold" error="Enter the # of Manifolds for the CSP System." sqref="B16" xr:uid="{00000000-0002-0000-0000-000000000000}">
      <formula1>0</formula1>
      <formula2>2</formula2>
    </dataValidation>
    <dataValidation type="list" allowBlank="1" showInputMessage="1" showErrorMessage="1" sqref="B22 B18" xr:uid="{00000000-0002-0000-0000-000001000000}">
      <formula1>Bedding</formula1>
    </dataValidation>
  </dataValidations>
  <printOptions horizontalCentered="1"/>
  <pageMargins left="0.75" right="0.75" top="1.5016666666666667" bottom="1" header="0.5" footer="0.5"/>
  <pageSetup scale="68" orientation="portrait" horizontalDpi="1200" verticalDpi="1200" r:id="rId1"/>
  <headerFooter alignWithMargins="0">
    <oddHeader>&amp;C&amp;G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3" r:id="rId5" name="Drop Down 5">
              <controlPr defaultSize="0" autoLine="0" autoPict="0">
                <anchor moveWithCells="1">
                  <from>
                    <xdr:col>1</xdr:col>
                    <xdr:colOff>923925</xdr:colOff>
                    <xdr:row>9</xdr:row>
                    <xdr:rowOff>9525</xdr:rowOff>
                  </from>
                  <to>
                    <xdr:col>1</xdr:col>
                    <xdr:colOff>1476375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6" name="Drop Down 44">
              <controlPr defaultSize="0" autoLine="0" autoPict="0">
                <anchor moveWithCells="1">
                  <from>
                    <xdr:col>1</xdr:col>
                    <xdr:colOff>1009650</xdr:colOff>
                    <xdr:row>13</xdr:row>
                    <xdr:rowOff>19050</xdr:rowOff>
                  </from>
                  <to>
                    <xdr:col>1</xdr:col>
                    <xdr:colOff>1504950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7" name="Drop Down 53">
              <controlPr defaultSize="0" autoLine="0" autoPict="0">
                <anchor>
                  <from>
                    <xdr:col>1</xdr:col>
                    <xdr:colOff>714375</xdr:colOff>
                    <xdr:row>1</xdr:row>
                    <xdr:rowOff>19050</xdr:rowOff>
                  </from>
                  <to>
                    <xdr:col>1</xdr:col>
                    <xdr:colOff>1438275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J29"/>
  <sheetViews>
    <sheetView showRowColHeaders="0" zoomScale="85" zoomScaleNormal="70" workbookViewId="0">
      <selection activeCell="F41" sqref="F41"/>
    </sheetView>
  </sheetViews>
  <sheetFormatPr defaultColWidth="8.85546875" defaultRowHeight="12.75" x14ac:dyDescent="0.2"/>
  <cols>
    <col min="1" max="1" width="4.42578125" style="55" customWidth="1"/>
    <col min="2" max="2" width="10.5703125" style="55" customWidth="1"/>
    <col min="3" max="3" width="9.7109375" style="55" customWidth="1"/>
    <col min="4" max="4" width="13.28515625" style="55" customWidth="1"/>
    <col min="5" max="5" width="9.28515625" style="55" customWidth="1"/>
    <col min="6" max="6" width="10.5703125" style="55" customWidth="1"/>
    <col min="7" max="8" width="12.7109375" style="56" customWidth="1"/>
    <col min="9" max="9" width="8.85546875" style="56"/>
    <col min="10" max="10" width="11.140625" style="56" customWidth="1"/>
    <col min="11" max="16384" width="8.85546875" style="56"/>
  </cols>
  <sheetData>
    <row r="1" spans="1:10" ht="13.5" thickBot="1" x14ac:dyDescent="0.25"/>
    <row r="2" spans="1:10" ht="13.5" thickBot="1" x14ac:dyDescent="0.25">
      <c r="A2" s="57">
        <v>1</v>
      </c>
      <c r="B2" s="58">
        <v>2</v>
      </c>
      <c r="C2" s="58">
        <v>3</v>
      </c>
      <c r="D2" s="58">
        <v>4</v>
      </c>
      <c r="E2" s="58">
        <v>5</v>
      </c>
      <c r="F2" s="58">
        <v>6</v>
      </c>
      <c r="G2" s="58">
        <v>7</v>
      </c>
      <c r="H2" s="59">
        <v>8</v>
      </c>
      <c r="I2" s="55"/>
    </row>
    <row r="3" spans="1:10" ht="18.75" thickBot="1" x14ac:dyDescent="0.3">
      <c r="A3" s="99" t="s">
        <v>16</v>
      </c>
      <c r="B3" s="96" t="s">
        <v>8</v>
      </c>
      <c r="C3" s="97"/>
      <c r="D3" s="97"/>
      <c r="E3" s="97"/>
      <c r="F3" s="97"/>
      <c r="G3" s="97"/>
      <c r="H3" s="98"/>
      <c r="J3" s="60"/>
    </row>
    <row r="4" spans="1:10" ht="13.5" thickBot="1" x14ac:dyDescent="0.25">
      <c r="A4" s="100"/>
      <c r="B4" s="94" t="s">
        <v>2</v>
      </c>
      <c r="C4" s="95"/>
      <c r="D4" s="61" t="s">
        <v>13</v>
      </c>
      <c r="E4" s="61" t="s">
        <v>3</v>
      </c>
      <c r="F4" s="61" t="s">
        <v>13</v>
      </c>
      <c r="G4" s="94" t="s">
        <v>15</v>
      </c>
      <c r="H4" s="95"/>
      <c r="I4" s="56">
        <v>1</v>
      </c>
      <c r="J4" s="62" t="s">
        <v>6</v>
      </c>
    </row>
    <row r="5" spans="1:10" ht="13.5" thickBot="1" x14ac:dyDescent="0.25">
      <c r="A5" s="101"/>
      <c r="B5" s="63" t="s">
        <v>1</v>
      </c>
      <c r="C5" s="63" t="s">
        <v>0</v>
      </c>
      <c r="D5" s="63" t="s">
        <v>14</v>
      </c>
      <c r="E5" s="63" t="s">
        <v>4</v>
      </c>
      <c r="F5" s="63" t="s">
        <v>12</v>
      </c>
      <c r="G5" s="64" t="s">
        <v>9</v>
      </c>
      <c r="H5" s="64" t="s">
        <v>10</v>
      </c>
      <c r="I5" s="56">
        <v>2</v>
      </c>
      <c r="J5" s="65" t="s">
        <v>7</v>
      </c>
    </row>
    <row r="6" spans="1:10" x14ac:dyDescent="0.2">
      <c r="A6" s="66">
        <v>1</v>
      </c>
      <c r="B6" s="67">
        <v>24</v>
      </c>
      <c r="C6" s="68">
        <f t="shared" ref="C6:C26" si="0">$B6/12</f>
        <v>2</v>
      </c>
      <c r="D6" s="69">
        <f t="shared" ref="D6:D26" si="1">IF(($B6/12)/2&lt;3,(B6/12)/2,3)</f>
        <v>1</v>
      </c>
      <c r="E6" s="69">
        <f t="shared" ref="E6:E26" si="2">PI()*(($C6/2)^2)</f>
        <v>3.1415926535897931</v>
      </c>
      <c r="F6" s="69">
        <f t="shared" ref="F6:F26" si="3">IF(B6/8&lt;12,1,B6/96)</f>
        <v>1</v>
      </c>
      <c r="G6" s="69">
        <f>IF(B6&gt;48,IF(B6/2&gt;36,3,B6/24),2)</f>
        <v>2</v>
      </c>
      <c r="H6" s="69">
        <f>IF(B6&lt;24,1,IF(B6&lt;=72,B6/24,3))</f>
        <v>1</v>
      </c>
    </row>
    <row r="7" spans="1:10" x14ac:dyDescent="0.2">
      <c r="A7" s="70">
        <v>2</v>
      </c>
      <c r="B7" s="71">
        <v>30</v>
      </c>
      <c r="C7" s="72">
        <f t="shared" si="0"/>
        <v>2.5</v>
      </c>
      <c r="D7" s="73">
        <f>IF(($B7/12)/2&lt;3,(B7/12)/2,3)</f>
        <v>1.25</v>
      </c>
      <c r="E7" s="73">
        <f t="shared" si="2"/>
        <v>4.908738521234052</v>
      </c>
      <c r="F7" s="73">
        <f t="shared" si="3"/>
        <v>1</v>
      </c>
      <c r="G7" s="73">
        <f t="shared" ref="G7:G26" si="4">IF(B7&gt;48,IF(B7/2&gt;36,3,B7/24),2)</f>
        <v>2</v>
      </c>
      <c r="H7" s="73">
        <f t="shared" ref="H7:H26" si="5">IF(B7&lt;24,1,IF(B7&lt;=72,B7/24,3))</f>
        <v>1.25</v>
      </c>
    </row>
    <row r="8" spans="1:10" x14ac:dyDescent="0.2">
      <c r="A8" s="70">
        <v>3</v>
      </c>
      <c r="B8" s="71">
        <v>36</v>
      </c>
      <c r="C8" s="72">
        <f t="shared" si="0"/>
        <v>3</v>
      </c>
      <c r="D8" s="73">
        <f t="shared" si="1"/>
        <v>1.5</v>
      </c>
      <c r="E8" s="73">
        <f t="shared" si="2"/>
        <v>7.0685834705770345</v>
      </c>
      <c r="F8" s="73">
        <f t="shared" si="3"/>
        <v>1</v>
      </c>
      <c r="G8" s="73">
        <f t="shared" si="4"/>
        <v>2</v>
      </c>
      <c r="H8" s="73">
        <f t="shared" si="5"/>
        <v>1.5</v>
      </c>
    </row>
    <row r="9" spans="1:10" x14ac:dyDescent="0.2">
      <c r="A9" s="70">
        <v>4</v>
      </c>
      <c r="B9" s="71">
        <v>42</v>
      </c>
      <c r="C9" s="72">
        <f t="shared" si="0"/>
        <v>3.5</v>
      </c>
      <c r="D9" s="73">
        <f t="shared" si="1"/>
        <v>1.75</v>
      </c>
      <c r="E9" s="73">
        <f t="shared" si="2"/>
        <v>9.6211275016187408</v>
      </c>
      <c r="F9" s="73">
        <f t="shared" si="3"/>
        <v>1</v>
      </c>
      <c r="G9" s="73">
        <f t="shared" si="4"/>
        <v>2</v>
      </c>
      <c r="H9" s="73">
        <f t="shared" si="5"/>
        <v>1.75</v>
      </c>
    </row>
    <row r="10" spans="1:10" x14ac:dyDescent="0.2">
      <c r="A10" s="70">
        <v>5</v>
      </c>
      <c r="B10" s="71">
        <v>48</v>
      </c>
      <c r="C10" s="72">
        <f t="shared" si="0"/>
        <v>4</v>
      </c>
      <c r="D10" s="73">
        <f t="shared" si="1"/>
        <v>2</v>
      </c>
      <c r="E10" s="73">
        <f t="shared" si="2"/>
        <v>12.566370614359172</v>
      </c>
      <c r="F10" s="73">
        <f t="shared" si="3"/>
        <v>1</v>
      </c>
      <c r="G10" s="73">
        <f t="shared" si="4"/>
        <v>2</v>
      </c>
      <c r="H10" s="73">
        <f t="shared" si="5"/>
        <v>2</v>
      </c>
      <c r="J10" s="74">
        <v>0.33</v>
      </c>
    </row>
    <row r="11" spans="1:10" x14ac:dyDescent="0.2">
      <c r="A11" s="70">
        <v>6</v>
      </c>
      <c r="B11" s="71">
        <v>54</v>
      </c>
      <c r="C11" s="72">
        <f t="shared" si="0"/>
        <v>4.5</v>
      </c>
      <c r="D11" s="73">
        <f t="shared" si="1"/>
        <v>2.25</v>
      </c>
      <c r="E11" s="73">
        <f t="shared" si="2"/>
        <v>15.904312808798327</v>
      </c>
      <c r="F11" s="73">
        <f t="shared" si="3"/>
        <v>1</v>
      </c>
      <c r="G11" s="73">
        <f t="shared" si="4"/>
        <v>2.25</v>
      </c>
      <c r="H11" s="73">
        <f t="shared" si="5"/>
        <v>2.25</v>
      </c>
      <c r="J11" s="74">
        <v>0.5</v>
      </c>
    </row>
    <row r="12" spans="1:10" x14ac:dyDescent="0.2">
      <c r="A12" s="70">
        <v>7</v>
      </c>
      <c r="B12" s="71">
        <v>60</v>
      </c>
      <c r="C12" s="72">
        <f t="shared" si="0"/>
        <v>5</v>
      </c>
      <c r="D12" s="73">
        <f t="shared" si="1"/>
        <v>2.5</v>
      </c>
      <c r="E12" s="73">
        <f t="shared" si="2"/>
        <v>19.634954084936208</v>
      </c>
      <c r="F12" s="73">
        <f t="shared" si="3"/>
        <v>1</v>
      </c>
      <c r="G12" s="73">
        <f t="shared" si="4"/>
        <v>2.5</v>
      </c>
      <c r="H12" s="73">
        <f t="shared" si="5"/>
        <v>2.5</v>
      </c>
      <c r="J12" s="74">
        <v>0.75</v>
      </c>
    </row>
    <row r="13" spans="1:10" ht="13.5" customHeight="1" x14ac:dyDescent="0.2">
      <c r="A13" s="70">
        <v>8</v>
      </c>
      <c r="B13" s="71">
        <v>66</v>
      </c>
      <c r="C13" s="72">
        <f t="shared" si="0"/>
        <v>5.5</v>
      </c>
      <c r="D13" s="73">
        <f t="shared" si="1"/>
        <v>2.75</v>
      </c>
      <c r="E13" s="73">
        <f t="shared" si="2"/>
        <v>23.758294442772812</v>
      </c>
      <c r="F13" s="73">
        <f t="shared" si="3"/>
        <v>1</v>
      </c>
      <c r="G13" s="73">
        <f t="shared" si="4"/>
        <v>2.75</v>
      </c>
      <c r="H13" s="73">
        <f t="shared" si="5"/>
        <v>2.75</v>
      </c>
      <c r="J13" s="74">
        <v>1</v>
      </c>
    </row>
    <row r="14" spans="1:10" x14ac:dyDescent="0.2">
      <c r="A14" s="70">
        <v>9</v>
      </c>
      <c r="B14" s="71">
        <v>72</v>
      </c>
      <c r="C14" s="72">
        <f t="shared" si="0"/>
        <v>6</v>
      </c>
      <c r="D14" s="73">
        <f t="shared" si="1"/>
        <v>3</v>
      </c>
      <c r="E14" s="73">
        <f t="shared" si="2"/>
        <v>28.274333882308138</v>
      </c>
      <c r="F14" s="73">
        <f t="shared" si="3"/>
        <v>1</v>
      </c>
      <c r="G14" s="73">
        <f t="shared" si="4"/>
        <v>3</v>
      </c>
      <c r="H14" s="73">
        <f t="shared" si="5"/>
        <v>3</v>
      </c>
    </row>
    <row r="15" spans="1:10" x14ac:dyDescent="0.2">
      <c r="A15" s="70">
        <v>10</v>
      </c>
      <c r="B15" s="71">
        <v>78</v>
      </c>
      <c r="C15" s="72">
        <f t="shared" si="0"/>
        <v>6.5</v>
      </c>
      <c r="D15" s="73">
        <f t="shared" si="1"/>
        <v>3</v>
      </c>
      <c r="E15" s="73">
        <f t="shared" si="2"/>
        <v>33.183072403542191</v>
      </c>
      <c r="F15" s="73">
        <f t="shared" si="3"/>
        <v>1</v>
      </c>
      <c r="G15" s="73">
        <f t="shared" si="4"/>
        <v>3</v>
      </c>
      <c r="H15" s="73">
        <f t="shared" si="5"/>
        <v>3</v>
      </c>
    </row>
    <row r="16" spans="1:10" x14ac:dyDescent="0.2">
      <c r="A16" s="70">
        <v>11</v>
      </c>
      <c r="B16" s="71">
        <v>84</v>
      </c>
      <c r="C16" s="72">
        <f t="shared" si="0"/>
        <v>7</v>
      </c>
      <c r="D16" s="73">
        <f t="shared" si="1"/>
        <v>3</v>
      </c>
      <c r="E16" s="73">
        <f t="shared" si="2"/>
        <v>38.484510006474963</v>
      </c>
      <c r="F16" s="73">
        <f t="shared" si="3"/>
        <v>1</v>
      </c>
      <c r="G16" s="73">
        <f t="shared" si="4"/>
        <v>3</v>
      </c>
      <c r="H16" s="73">
        <f t="shared" si="5"/>
        <v>3</v>
      </c>
    </row>
    <row r="17" spans="1:8" x14ac:dyDescent="0.2">
      <c r="A17" s="70">
        <v>12</v>
      </c>
      <c r="B17" s="71">
        <v>90</v>
      </c>
      <c r="C17" s="72">
        <f t="shared" si="0"/>
        <v>7.5</v>
      </c>
      <c r="D17" s="73">
        <f t="shared" si="1"/>
        <v>3</v>
      </c>
      <c r="E17" s="73">
        <f t="shared" si="2"/>
        <v>44.178646691106465</v>
      </c>
      <c r="F17" s="73">
        <f t="shared" si="3"/>
        <v>1</v>
      </c>
      <c r="G17" s="73">
        <f t="shared" si="4"/>
        <v>3</v>
      </c>
      <c r="H17" s="73">
        <f t="shared" si="5"/>
        <v>3</v>
      </c>
    </row>
    <row r="18" spans="1:8" x14ac:dyDescent="0.2">
      <c r="A18" s="70">
        <v>13</v>
      </c>
      <c r="B18" s="71">
        <v>96</v>
      </c>
      <c r="C18" s="72">
        <f t="shared" si="0"/>
        <v>8</v>
      </c>
      <c r="D18" s="73">
        <f t="shared" si="1"/>
        <v>3</v>
      </c>
      <c r="E18" s="73">
        <f t="shared" si="2"/>
        <v>50.26548245743669</v>
      </c>
      <c r="F18" s="73">
        <f t="shared" si="3"/>
        <v>1</v>
      </c>
      <c r="G18" s="73">
        <f t="shared" si="4"/>
        <v>3</v>
      </c>
      <c r="H18" s="73">
        <f t="shared" si="5"/>
        <v>3</v>
      </c>
    </row>
    <row r="19" spans="1:8" x14ac:dyDescent="0.2">
      <c r="A19" s="70">
        <v>14</v>
      </c>
      <c r="B19" s="71">
        <v>102</v>
      </c>
      <c r="C19" s="72">
        <f t="shared" si="0"/>
        <v>8.5</v>
      </c>
      <c r="D19" s="73">
        <f t="shared" si="1"/>
        <v>3</v>
      </c>
      <c r="E19" s="73">
        <f t="shared" si="2"/>
        <v>56.745017305465637</v>
      </c>
      <c r="F19" s="73">
        <f t="shared" si="3"/>
        <v>1.0625</v>
      </c>
      <c r="G19" s="73">
        <f t="shared" si="4"/>
        <v>3</v>
      </c>
      <c r="H19" s="73">
        <f t="shared" si="5"/>
        <v>3</v>
      </c>
    </row>
    <row r="20" spans="1:8" x14ac:dyDescent="0.2">
      <c r="A20" s="70">
        <v>15</v>
      </c>
      <c r="B20" s="71">
        <v>108</v>
      </c>
      <c r="C20" s="72">
        <f t="shared" si="0"/>
        <v>9</v>
      </c>
      <c r="D20" s="73">
        <f t="shared" si="1"/>
        <v>3</v>
      </c>
      <c r="E20" s="73">
        <f t="shared" si="2"/>
        <v>63.617251235193308</v>
      </c>
      <c r="F20" s="73">
        <f t="shared" si="3"/>
        <v>1.125</v>
      </c>
      <c r="G20" s="73">
        <f t="shared" si="4"/>
        <v>3</v>
      </c>
      <c r="H20" s="73">
        <f t="shared" si="5"/>
        <v>3</v>
      </c>
    </row>
    <row r="21" spans="1:8" x14ac:dyDescent="0.2">
      <c r="A21" s="70">
        <v>16</v>
      </c>
      <c r="B21" s="71">
        <v>114</v>
      </c>
      <c r="C21" s="72">
        <f t="shared" si="0"/>
        <v>9.5</v>
      </c>
      <c r="D21" s="73">
        <f t="shared" si="1"/>
        <v>3</v>
      </c>
      <c r="E21" s="73">
        <f t="shared" si="2"/>
        <v>70.882184246619701</v>
      </c>
      <c r="F21" s="73">
        <f t="shared" si="3"/>
        <v>1.1875</v>
      </c>
      <c r="G21" s="73">
        <f t="shared" si="4"/>
        <v>3</v>
      </c>
      <c r="H21" s="73">
        <f t="shared" si="5"/>
        <v>3</v>
      </c>
    </row>
    <row r="22" spans="1:8" x14ac:dyDescent="0.2">
      <c r="A22" s="70">
        <v>17</v>
      </c>
      <c r="B22" s="71">
        <v>120</v>
      </c>
      <c r="C22" s="72">
        <f t="shared" si="0"/>
        <v>10</v>
      </c>
      <c r="D22" s="73">
        <f>IF(($B22/12)/2&lt;3,(B22/12)/2,3)</f>
        <v>3</v>
      </c>
      <c r="E22" s="73">
        <f t="shared" si="2"/>
        <v>78.539816339744831</v>
      </c>
      <c r="F22" s="73">
        <f t="shared" si="3"/>
        <v>1.25</v>
      </c>
      <c r="G22" s="73">
        <f t="shared" si="4"/>
        <v>3</v>
      </c>
      <c r="H22" s="73">
        <f t="shared" si="5"/>
        <v>3</v>
      </c>
    </row>
    <row r="23" spans="1:8" x14ac:dyDescent="0.2">
      <c r="A23" s="70">
        <v>18</v>
      </c>
      <c r="B23" s="71">
        <v>126</v>
      </c>
      <c r="C23" s="72">
        <f t="shared" si="0"/>
        <v>10.5</v>
      </c>
      <c r="D23" s="73">
        <f t="shared" si="1"/>
        <v>3</v>
      </c>
      <c r="E23" s="73">
        <f t="shared" si="2"/>
        <v>86.59014751456867</v>
      </c>
      <c r="F23" s="73">
        <f t="shared" si="3"/>
        <v>1.3125</v>
      </c>
      <c r="G23" s="73">
        <f t="shared" si="4"/>
        <v>3</v>
      </c>
      <c r="H23" s="73">
        <f t="shared" si="5"/>
        <v>3</v>
      </c>
    </row>
    <row r="24" spans="1:8" x14ac:dyDescent="0.2">
      <c r="A24" s="70">
        <v>19</v>
      </c>
      <c r="B24" s="71">
        <v>132</v>
      </c>
      <c r="C24" s="72">
        <f t="shared" si="0"/>
        <v>11</v>
      </c>
      <c r="D24" s="73">
        <f t="shared" si="1"/>
        <v>3</v>
      </c>
      <c r="E24" s="73">
        <f t="shared" si="2"/>
        <v>95.033177771091246</v>
      </c>
      <c r="F24" s="73">
        <f t="shared" si="3"/>
        <v>1.375</v>
      </c>
      <c r="G24" s="73">
        <f t="shared" si="4"/>
        <v>3</v>
      </c>
      <c r="H24" s="73">
        <f t="shared" si="5"/>
        <v>3</v>
      </c>
    </row>
    <row r="25" spans="1:8" x14ac:dyDescent="0.2">
      <c r="A25" s="70">
        <v>20</v>
      </c>
      <c r="B25" s="71">
        <v>138</v>
      </c>
      <c r="C25" s="72">
        <f t="shared" si="0"/>
        <v>11.5</v>
      </c>
      <c r="D25" s="73">
        <f t="shared" si="1"/>
        <v>3</v>
      </c>
      <c r="E25" s="73">
        <f t="shared" si="2"/>
        <v>103.86890710931253</v>
      </c>
      <c r="F25" s="73">
        <f t="shared" si="3"/>
        <v>1.4375</v>
      </c>
      <c r="G25" s="73">
        <f t="shared" si="4"/>
        <v>3</v>
      </c>
      <c r="H25" s="73">
        <f t="shared" si="5"/>
        <v>3</v>
      </c>
    </row>
    <row r="26" spans="1:8" ht="13.5" thickBot="1" x14ac:dyDescent="0.25">
      <c r="A26" s="75">
        <v>21</v>
      </c>
      <c r="B26" s="76">
        <v>144</v>
      </c>
      <c r="C26" s="77">
        <f t="shared" si="0"/>
        <v>12</v>
      </c>
      <c r="D26" s="78">
        <f t="shared" si="1"/>
        <v>3</v>
      </c>
      <c r="E26" s="78">
        <f t="shared" si="2"/>
        <v>113.09733552923255</v>
      </c>
      <c r="F26" s="78">
        <f t="shared" si="3"/>
        <v>1.5</v>
      </c>
      <c r="G26" s="78">
        <f t="shared" si="4"/>
        <v>3</v>
      </c>
      <c r="H26" s="78">
        <f t="shared" si="5"/>
        <v>3</v>
      </c>
    </row>
    <row r="27" spans="1:8" x14ac:dyDescent="0.2">
      <c r="E27" s="79"/>
      <c r="F27" s="79"/>
    </row>
    <row r="28" spans="1:8" x14ac:dyDescent="0.2">
      <c r="E28" s="79"/>
      <c r="F28" s="80"/>
    </row>
    <row r="29" spans="1:8" x14ac:dyDescent="0.2">
      <c r="E29" s="79"/>
      <c r="F29" s="79"/>
    </row>
  </sheetData>
  <sheetProtection password="DB71" sheet="1" objects="1" scenarios="1" selectLockedCells="1"/>
  <mergeCells count="4">
    <mergeCell ref="B4:C4"/>
    <mergeCell ref="G4:H4"/>
    <mergeCell ref="B3:H3"/>
    <mergeCell ref="A3:A5"/>
  </mergeCells>
  <phoneticPr fontId="0" type="noConversion"/>
  <printOptions horizontalCentered="1"/>
  <pageMargins left="0.75" right="0.75" top="1" bottom="1" header="0.5" footer="0.5"/>
  <pageSetup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SWMS</vt:lpstr>
      <vt:lpstr>Data</vt:lpstr>
      <vt:lpstr>Bedding</vt:lpstr>
      <vt:lpstr>SWMS!Print_Area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Silagyi</dc:creator>
  <cp:lastModifiedBy>louan tillman</cp:lastModifiedBy>
  <cp:lastPrinted>2017-08-02T16:40:13Z</cp:lastPrinted>
  <dcterms:created xsi:type="dcterms:W3CDTF">1999-07-28T20:17:59Z</dcterms:created>
  <dcterms:modified xsi:type="dcterms:W3CDTF">2022-04-17T15:18:19Z</dcterms:modified>
</cp:coreProperties>
</file>