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Godfrey Dol\Desktop\Desktop\7.0 Semi Closed Glasshouse\Accessories\"/>
    </mc:Choice>
  </mc:AlternateContent>
  <xr:revisionPtr revIDLastSave="0" documentId="13_ncr:1_{FD14E408-C3D5-4EB3-AB0C-D9996C543DE9}" xr6:coauthVersionLast="45" xr6:coauthVersionMax="45" xr10:uidLastSave="{00000000-0000-0000-0000-000000000000}"/>
  <bookViews>
    <workbookView xWindow="-98" yWindow="-98" windowWidth="22695" windowHeight="1459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" i="2" l="1"/>
  <c r="K26" i="2" s="1"/>
  <c r="X12" i="2"/>
  <c r="T11" i="2" l="1"/>
  <c r="X20" i="2"/>
  <c r="V26" i="2"/>
  <c r="X11" i="2"/>
  <c r="AB12" i="2"/>
  <c r="W15" i="2"/>
  <c r="V18" i="2"/>
  <c r="U21" i="2"/>
  <c r="T24" i="2"/>
  <c r="D11" i="2"/>
  <c r="F13" i="2"/>
  <c r="E16" i="2"/>
  <c r="Y17" i="2"/>
  <c r="AB11" i="2"/>
  <c r="T16" i="2"/>
  <c r="S19" i="2"/>
  <c r="R22" i="2"/>
  <c r="AB24" i="2"/>
  <c r="L11" i="2"/>
  <c r="N13" i="2"/>
  <c r="M16" i="2"/>
  <c r="Z14" i="2"/>
  <c r="W23" i="2"/>
  <c r="V13" i="2"/>
  <c r="V12" i="2"/>
  <c r="R14" i="2"/>
  <c r="AB16" i="2"/>
  <c r="AA19" i="2"/>
  <c r="Z22" i="2"/>
  <c r="Y25" i="2"/>
  <c r="I12" i="2"/>
  <c r="K14" i="2"/>
  <c r="J17" i="2"/>
  <c r="H15" i="2"/>
  <c r="G18" i="2"/>
  <c r="D19" i="2"/>
  <c r="L19" i="2"/>
  <c r="I20" i="2"/>
  <c r="F21" i="2"/>
  <c r="N21" i="2"/>
  <c r="K22" i="2"/>
  <c r="H23" i="2"/>
  <c r="E24" i="2"/>
  <c r="M24" i="2"/>
  <c r="J25" i="2"/>
  <c r="G26" i="2"/>
  <c r="U11" i="2"/>
  <c r="Y11" i="2"/>
  <c r="R12" i="2"/>
  <c r="R13" i="2"/>
  <c r="X13" i="2"/>
  <c r="S14" i="2"/>
  <c r="AA14" i="2"/>
  <c r="X15" i="2"/>
  <c r="U16" i="2"/>
  <c r="R17" i="2"/>
  <c r="Z17" i="2"/>
  <c r="W18" i="2"/>
  <c r="T19" i="2"/>
  <c r="AB19" i="2"/>
  <c r="Y20" i="2"/>
  <c r="V21" i="2"/>
  <c r="S22" i="2"/>
  <c r="AA22" i="2"/>
  <c r="X23" i="2"/>
  <c r="U24" i="2"/>
  <c r="R25" i="2"/>
  <c r="Z25" i="2"/>
  <c r="W26" i="2"/>
  <c r="E11" i="2"/>
  <c r="M11" i="2"/>
  <c r="G13" i="2"/>
  <c r="L14" i="2"/>
  <c r="F16" i="2"/>
  <c r="K17" i="2"/>
  <c r="H18" i="2"/>
  <c r="M19" i="2"/>
  <c r="G21" i="2"/>
  <c r="L22" i="2"/>
  <c r="F24" i="2"/>
  <c r="H26" i="2"/>
  <c r="R11" i="2"/>
  <c r="V11" i="2"/>
  <c r="Z11" i="2"/>
  <c r="S12" i="2"/>
  <c r="Y12" i="2"/>
  <c r="T13" i="2"/>
  <c r="Y13" i="2"/>
  <c r="V14" i="2"/>
  <c r="S15" i="2"/>
  <c r="AA15" i="2"/>
  <c r="X16" i="2"/>
  <c r="U17" i="2"/>
  <c r="R18" i="2"/>
  <c r="Z18" i="2"/>
  <c r="W19" i="2"/>
  <c r="T20" i="2"/>
  <c r="AB20" i="2"/>
  <c r="Y21" i="2"/>
  <c r="V22" i="2"/>
  <c r="S23" i="2"/>
  <c r="AA23" i="2"/>
  <c r="X24" i="2"/>
  <c r="U25" i="2"/>
  <c r="R26" i="2"/>
  <c r="Z26" i="2"/>
  <c r="H11" i="2"/>
  <c r="E12" i="2"/>
  <c r="M12" i="2"/>
  <c r="J13" i="2"/>
  <c r="G14" i="2"/>
  <c r="D15" i="2"/>
  <c r="L15" i="2"/>
  <c r="I16" i="2"/>
  <c r="F17" i="2"/>
  <c r="N17" i="2"/>
  <c r="K18" i="2"/>
  <c r="H19" i="2"/>
  <c r="E20" i="2"/>
  <c r="M20" i="2"/>
  <c r="J21" i="2"/>
  <c r="G22" i="2"/>
  <c r="D23" i="2"/>
  <c r="L23" i="2"/>
  <c r="I24" i="2"/>
  <c r="F25" i="2"/>
  <c r="N25" i="2"/>
  <c r="N26" i="2"/>
  <c r="J26" i="2"/>
  <c r="F26" i="2"/>
  <c r="M25" i="2"/>
  <c r="I25" i="2"/>
  <c r="E25" i="2"/>
  <c r="L24" i="2"/>
  <c r="H24" i="2"/>
  <c r="D24" i="2"/>
  <c r="K23" i="2"/>
  <c r="G23" i="2"/>
  <c r="N22" i="2"/>
  <c r="J22" i="2"/>
  <c r="F22" i="2"/>
  <c r="M21" i="2"/>
  <c r="I21" i="2"/>
  <c r="E21" i="2"/>
  <c r="L20" i="2"/>
  <c r="H20" i="2"/>
  <c r="D20" i="2"/>
  <c r="K19" i="2"/>
  <c r="G19" i="2"/>
  <c r="N18" i="2"/>
  <c r="J18" i="2"/>
  <c r="F18" i="2"/>
  <c r="M17" i="2"/>
  <c r="I17" i="2"/>
  <c r="E17" i="2"/>
  <c r="L16" i="2"/>
  <c r="H16" i="2"/>
  <c r="D16" i="2"/>
  <c r="K15" i="2"/>
  <c r="G15" i="2"/>
  <c r="N14" i="2"/>
  <c r="J14" i="2"/>
  <c r="F14" i="2"/>
  <c r="M13" i="2"/>
  <c r="I13" i="2"/>
  <c r="E13" i="2"/>
  <c r="L12" i="2"/>
  <c r="H12" i="2"/>
  <c r="D12" i="2"/>
  <c r="K11" i="2"/>
  <c r="G11" i="2"/>
  <c r="W12" i="2"/>
  <c r="Y26" i="2"/>
  <c r="U26" i="2"/>
  <c r="AB25" i="2"/>
  <c r="X25" i="2"/>
  <c r="T25" i="2"/>
  <c r="AA24" i="2"/>
  <c r="W24" i="2"/>
  <c r="S24" i="2"/>
  <c r="Z23" i="2"/>
  <c r="V23" i="2"/>
  <c r="R23" i="2"/>
  <c r="Y22" i="2"/>
  <c r="U22" i="2"/>
  <c r="AB21" i="2"/>
  <c r="X21" i="2"/>
  <c r="T21" i="2"/>
  <c r="AA20" i="2"/>
  <c r="W20" i="2"/>
  <c r="S20" i="2"/>
  <c r="Z19" i="2"/>
  <c r="V19" i="2"/>
  <c r="R19" i="2"/>
  <c r="Y18" i="2"/>
  <c r="U18" i="2"/>
  <c r="AB17" i="2"/>
  <c r="X17" i="2"/>
  <c r="T17" i="2"/>
  <c r="AA16" i="2"/>
  <c r="W16" i="2"/>
  <c r="S16" i="2"/>
  <c r="Z15" i="2"/>
  <c r="V15" i="2"/>
  <c r="R15" i="2"/>
  <c r="Y14" i="2"/>
  <c r="U14" i="2"/>
  <c r="AB13" i="2"/>
  <c r="M26" i="2"/>
  <c r="I26" i="2"/>
  <c r="E26" i="2"/>
  <c r="L25" i="2"/>
  <c r="H25" i="2"/>
  <c r="D25" i="2"/>
  <c r="K24" i="2"/>
  <c r="G24" i="2"/>
  <c r="N23" i="2"/>
  <c r="J23" i="2"/>
  <c r="F23" i="2"/>
  <c r="M22" i="2"/>
  <c r="I22" i="2"/>
  <c r="E22" i="2"/>
  <c r="L21" i="2"/>
  <c r="H21" i="2"/>
  <c r="D21" i="2"/>
  <c r="K20" i="2"/>
  <c r="G20" i="2"/>
  <c r="N19" i="2"/>
  <c r="J19" i="2"/>
  <c r="F19" i="2"/>
  <c r="M18" i="2"/>
  <c r="I18" i="2"/>
  <c r="E18" i="2"/>
  <c r="L17" i="2"/>
  <c r="H17" i="2"/>
  <c r="D17" i="2"/>
  <c r="K16" i="2"/>
  <c r="G16" i="2"/>
  <c r="N15" i="2"/>
  <c r="J15" i="2"/>
  <c r="F15" i="2"/>
  <c r="M14" i="2"/>
  <c r="I14" i="2"/>
  <c r="E14" i="2"/>
  <c r="L13" i="2"/>
  <c r="H13" i="2"/>
  <c r="D13" i="2"/>
  <c r="K12" i="2"/>
  <c r="G12" i="2"/>
  <c r="N11" i="2"/>
  <c r="J11" i="2"/>
  <c r="F11" i="2"/>
  <c r="AB26" i="2"/>
  <c r="X26" i="2"/>
  <c r="T26" i="2"/>
  <c r="AA25" i="2"/>
  <c r="W25" i="2"/>
  <c r="S25" i="2"/>
  <c r="Z24" i="2"/>
  <c r="V24" i="2"/>
  <c r="R24" i="2"/>
  <c r="Y23" i="2"/>
  <c r="U23" i="2"/>
  <c r="AB22" i="2"/>
  <c r="X22" i="2"/>
  <c r="T22" i="2"/>
  <c r="AA21" i="2"/>
  <c r="W21" i="2"/>
  <c r="S21" i="2"/>
  <c r="Z20" i="2"/>
  <c r="V20" i="2"/>
  <c r="R20" i="2"/>
  <c r="Y19" i="2"/>
  <c r="U19" i="2"/>
  <c r="AB18" i="2"/>
  <c r="X18" i="2"/>
  <c r="T18" i="2"/>
  <c r="AA17" i="2"/>
  <c r="W17" i="2"/>
  <c r="S17" i="2"/>
  <c r="Z16" i="2"/>
  <c r="V16" i="2"/>
  <c r="R16" i="2"/>
  <c r="Y15" i="2"/>
  <c r="U15" i="2"/>
  <c r="AB14" i="2"/>
  <c r="X14" i="2"/>
  <c r="T14" i="2"/>
  <c r="AA13" i="2"/>
  <c r="W13" i="2"/>
  <c r="S13" i="2"/>
  <c r="Z12" i="2"/>
  <c r="U12" i="2"/>
  <c r="D14" i="2"/>
  <c r="I15" i="2"/>
  <c r="N16" i="2"/>
  <c r="E19" i="2"/>
  <c r="J20" i="2"/>
  <c r="D22" i="2"/>
  <c r="I23" i="2"/>
  <c r="N24" i="2"/>
  <c r="K25" i="2"/>
  <c r="S11" i="2"/>
  <c r="W11" i="2"/>
  <c r="AA11" i="2"/>
  <c r="T12" i="2"/>
  <c r="AA12" i="2"/>
  <c r="U13" i="2"/>
  <c r="Z13" i="2"/>
  <c r="W14" i="2"/>
  <c r="T15" i="2"/>
  <c r="AB15" i="2"/>
  <c r="Y16" i="2"/>
  <c r="V17" i="2"/>
  <c r="S18" i="2"/>
  <c r="AA18" i="2"/>
  <c r="X19" i="2"/>
  <c r="U20" i="2"/>
  <c r="R21" i="2"/>
  <c r="Z21" i="2"/>
  <c r="W22" i="2"/>
  <c r="T23" i="2"/>
  <c r="AB23" i="2"/>
  <c r="Y24" i="2"/>
  <c r="V25" i="2"/>
  <c r="S26" i="2"/>
  <c r="AA26" i="2"/>
  <c r="I11" i="2"/>
  <c r="F12" i="2"/>
  <c r="N12" i="2"/>
  <c r="K13" i="2"/>
  <c r="H14" i="2"/>
  <c r="E15" i="2"/>
  <c r="M15" i="2"/>
  <c r="J16" i="2"/>
  <c r="G17" i="2"/>
  <c r="D18" i="2"/>
  <c r="L18" i="2"/>
  <c r="I19" i="2"/>
  <c r="F20" i="2"/>
  <c r="N20" i="2"/>
  <c r="K21" i="2"/>
  <c r="H22" i="2"/>
  <c r="E23" i="2"/>
  <c r="M23" i="2"/>
  <c r="J24" i="2"/>
  <c r="G25" i="2"/>
  <c r="D26" i="2"/>
  <c r="L26" i="2"/>
  <c r="J12" i="1"/>
  <c r="E20" i="1" l="1"/>
  <c r="L13" i="1"/>
  <c r="M26" i="1"/>
  <c r="N25" i="1"/>
  <c r="N21" i="1"/>
  <c r="N16" i="1"/>
  <c r="N14" i="1"/>
  <c r="L22" i="1"/>
  <c r="L18" i="1"/>
  <c r="M23" i="1"/>
  <c r="M18" i="1"/>
  <c r="K25" i="1"/>
  <c r="K20" i="1"/>
  <c r="M14" i="1"/>
  <c r="K19" i="1"/>
  <c r="M11" i="1"/>
  <c r="K14" i="1"/>
  <c r="L15" i="1"/>
  <c r="J23" i="1"/>
  <c r="J19" i="1"/>
  <c r="J15" i="1"/>
  <c r="H17" i="1"/>
  <c r="I24" i="1"/>
  <c r="I19" i="1"/>
  <c r="I15" i="1"/>
  <c r="I13" i="1"/>
  <c r="H24" i="1"/>
  <c r="L12" i="1"/>
  <c r="M25" i="1"/>
  <c r="N24" i="1"/>
  <c r="N20" i="1"/>
  <c r="N17" i="1"/>
  <c r="L25" i="1"/>
  <c r="L21" i="1"/>
  <c r="L17" i="1"/>
  <c r="M22" i="1"/>
  <c r="M17" i="1"/>
  <c r="K24" i="1"/>
  <c r="K21" i="1"/>
  <c r="M13" i="1"/>
  <c r="K18" i="1"/>
  <c r="L14" i="1"/>
  <c r="K13" i="1"/>
  <c r="J26" i="1"/>
  <c r="J22" i="1"/>
  <c r="J18" i="1"/>
  <c r="J14" i="1"/>
  <c r="I14" i="1"/>
  <c r="I23" i="1"/>
  <c r="I18" i="1"/>
  <c r="H16" i="1"/>
  <c r="I11" i="1"/>
  <c r="F14" i="1"/>
  <c r="M24" i="1"/>
  <c r="N23" i="1"/>
  <c r="N19" i="1"/>
  <c r="N13" i="1"/>
  <c r="L24" i="1"/>
  <c r="L20" i="1"/>
  <c r="L16" i="1"/>
  <c r="M20" i="1"/>
  <c r="M16" i="1"/>
  <c r="K23" i="1"/>
  <c r="I21" i="1"/>
  <c r="N12" i="1"/>
  <c r="K17" i="1"/>
  <c r="K16" i="1"/>
  <c r="K12" i="1"/>
  <c r="J25" i="1"/>
  <c r="J21" i="1"/>
  <c r="J17" i="1"/>
  <c r="J13" i="1"/>
  <c r="I26" i="1"/>
  <c r="I22" i="1"/>
  <c r="I17" i="1"/>
  <c r="H15" i="1"/>
  <c r="H26" i="1"/>
  <c r="M12" i="1"/>
  <c r="L26" i="1"/>
  <c r="N26" i="1"/>
  <c r="N22" i="1"/>
  <c r="N18" i="1"/>
  <c r="N15" i="1"/>
  <c r="L23" i="1"/>
  <c r="L19" i="1"/>
  <c r="M21" i="1"/>
  <c r="M19" i="1"/>
  <c r="K26" i="1"/>
  <c r="K22" i="1"/>
  <c r="M15" i="1"/>
  <c r="N11" i="1"/>
  <c r="L11" i="1"/>
  <c r="K15" i="1"/>
  <c r="K11" i="1"/>
  <c r="J24" i="1"/>
  <c r="J20" i="1"/>
  <c r="J16" i="1"/>
  <c r="J11" i="1"/>
  <c r="I25" i="1"/>
  <c r="I20" i="1"/>
  <c r="I16" i="1"/>
  <c r="I12" i="1"/>
  <c r="H25" i="1"/>
  <c r="F12" i="1"/>
  <c r="F17" i="1"/>
  <c r="F25" i="1"/>
  <c r="G17" i="1"/>
  <c r="G25" i="1"/>
  <c r="H21" i="1"/>
  <c r="E25" i="1"/>
  <c r="F13" i="1"/>
  <c r="F18" i="1"/>
  <c r="F22" i="1"/>
  <c r="F26" i="1"/>
  <c r="G14" i="1"/>
  <c r="G18" i="1"/>
  <c r="G22" i="1"/>
  <c r="G26" i="1"/>
  <c r="H14" i="1"/>
  <c r="H18" i="1"/>
  <c r="H22" i="1"/>
  <c r="E24" i="1"/>
  <c r="F21" i="1"/>
  <c r="G13" i="1"/>
  <c r="G21" i="1"/>
  <c r="H13" i="1"/>
  <c r="E26" i="1"/>
  <c r="F15" i="1"/>
  <c r="F19" i="1"/>
  <c r="F23" i="1"/>
  <c r="G11" i="1"/>
  <c r="G15" i="1"/>
  <c r="G19" i="1"/>
  <c r="G23" i="1"/>
  <c r="H11" i="1"/>
  <c r="H19" i="1"/>
  <c r="H23" i="1"/>
  <c r="E23" i="1"/>
  <c r="F11" i="1"/>
  <c r="F16" i="1"/>
  <c r="F20" i="1"/>
  <c r="F24" i="1"/>
  <c r="G12" i="1"/>
  <c r="G16" i="1"/>
  <c r="G20" i="1"/>
  <c r="G24" i="1"/>
  <c r="H12" i="1"/>
  <c r="H20" i="1"/>
  <c r="D25" i="1"/>
  <c r="D13" i="1"/>
  <c r="E17" i="1"/>
  <c r="E13" i="1"/>
  <c r="D17" i="1"/>
  <c r="D21" i="1"/>
  <c r="E21" i="1"/>
  <c r="D11" i="1"/>
  <c r="D15" i="1"/>
  <c r="D19" i="1"/>
  <c r="D23" i="1"/>
  <c r="E11" i="1"/>
  <c r="E15" i="1"/>
  <c r="E19" i="1"/>
  <c r="D14" i="1"/>
  <c r="D18" i="1"/>
  <c r="D22" i="1"/>
  <c r="D26" i="1"/>
  <c r="E14" i="1"/>
  <c r="E18" i="1"/>
  <c r="E22" i="1"/>
  <c r="D12" i="1"/>
  <c r="D16" i="1"/>
  <c r="D20" i="1"/>
  <c r="D24" i="1"/>
  <c r="E12" i="1"/>
  <c r="E16" i="1"/>
</calcChain>
</file>

<file path=xl/sharedStrings.xml><?xml version="1.0" encoding="utf-8"?>
<sst xmlns="http://schemas.openxmlformats.org/spreadsheetml/2006/main" count="50" uniqueCount="17">
  <si>
    <t>R e l a t I v e   H u m i d I t y</t>
  </si>
  <si>
    <t>T</t>
  </si>
  <si>
    <t>E</t>
  </si>
  <si>
    <t>M</t>
  </si>
  <si>
    <t>P</t>
  </si>
  <si>
    <t>R</t>
  </si>
  <si>
    <t>A</t>
  </si>
  <si>
    <t>U</t>
  </si>
  <si>
    <t>Generative</t>
  </si>
  <si>
    <t>Neutral</t>
  </si>
  <si>
    <t>Vegetative</t>
  </si>
  <si>
    <t>Exhaustion</t>
  </si>
  <si>
    <t>Air Exchange  =</t>
  </si>
  <si>
    <t>Safe</t>
  </si>
  <si>
    <t>Not Safe</t>
  </si>
  <si>
    <t>Stress</t>
  </si>
  <si>
    <t xml:space="preserve"> More Stress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</si>
</sst>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A4CEEA"/>
        <bgColor indexed="64"/>
      </patternFill>
    </fill>
    <fill>
      <patternFill patternType="solid">
        <fgColor rgb="FFF8D4CC"/>
        <bgColor indexed="64"/>
      </patternFill>
    </fill>
    <fill>
      <patternFill patternType="solid">
        <fgColor rgb="FF27A1DF"/>
        <bgColor indexed="64"/>
      </patternFill>
    </fill>
    <fill>
      <patternFill patternType="solid">
        <fgColor rgb="FF4BB4ED"/>
        <bgColor indexed="64"/>
      </patternFill>
    </fill>
    <fill>
      <patternFill patternType="solid">
        <fgColor rgb="FFFC816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CC"/>
        <bgColor indexed="64"/>
      </patternFill>
    </fill>
  </fills>
  <borders count="3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2" borderId="1" xfId="0" applyFont="1" applyFill="1" applyBorder="1"/>
    <xf numFmtId="0" fontId="0" fillId="3" borderId="1" xfId="0" applyFill="1" applyBorder="1"/>
    <xf numFmtId="0" fontId="0" fillId="5" borderId="1" xfId="0" applyFill="1" applyBorder="1"/>
    <xf numFmtId="0" fontId="0" fillId="6" borderId="1" xfId="0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64" fontId="0" fillId="7" borderId="10" xfId="0" applyNumberForma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164" fontId="0" fillId="8" borderId="13" xfId="0" applyNumberFormat="1" applyFill="1" applyBorder="1" applyAlignment="1">
      <alignment horizontal="center"/>
    </xf>
    <xf numFmtId="164" fontId="0" fillId="9" borderId="13" xfId="0" applyNumberFormat="1" applyFill="1" applyBorder="1" applyAlignment="1">
      <alignment horizontal="center"/>
    </xf>
    <xf numFmtId="164" fontId="0" fillId="10" borderId="13" xfId="0" applyNumberFormat="1" applyFill="1" applyBorder="1" applyAlignment="1">
      <alignment horizontal="center"/>
    </xf>
    <xf numFmtId="164" fontId="0" fillId="11" borderId="14" xfId="0" applyNumberFormat="1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164" fontId="0" fillId="11" borderId="13" xfId="0" applyNumberFormat="1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0" fillId="8" borderId="0" xfId="0" applyFill="1"/>
    <xf numFmtId="0" fontId="0" fillId="12" borderId="0" xfId="0" applyFill="1"/>
    <xf numFmtId="0" fontId="0" fillId="9" borderId="0" xfId="0" applyFill="1"/>
    <xf numFmtId="0" fontId="0" fillId="13" borderId="0" xfId="0" applyFill="1"/>
    <xf numFmtId="0" fontId="0" fillId="3" borderId="0" xfId="0" applyFill="1"/>
    <xf numFmtId="0" fontId="0" fillId="0" borderId="0" xfId="0" applyAlignment="1">
      <alignment horizontal="left"/>
    </xf>
    <xf numFmtId="164" fontId="0" fillId="9" borderId="0" xfId="0" applyNumberFormat="1" applyFill="1" applyAlignment="1">
      <alignment horizontal="center" vertical="center"/>
    </xf>
    <xf numFmtId="164" fontId="0" fillId="14" borderId="13" xfId="0" applyNumberFormat="1" applyFill="1" applyBorder="1" applyAlignment="1">
      <alignment horizontal="center"/>
    </xf>
    <xf numFmtId="164" fontId="0" fillId="7" borderId="13" xfId="0" applyNumberForma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164" fontId="0" fillId="7" borderId="21" xfId="0" applyNumberFormat="1" applyFill="1" applyBorder="1" applyAlignment="1">
      <alignment horizontal="center"/>
    </xf>
    <xf numFmtId="164" fontId="0" fillId="7" borderId="22" xfId="0" applyNumberFormat="1" applyFill="1" applyBorder="1" applyAlignment="1">
      <alignment horizontal="center"/>
    </xf>
    <xf numFmtId="164" fontId="0" fillId="9" borderId="22" xfId="0" applyNumberForma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164" fontId="0" fillId="7" borderId="25" xfId="0" applyNumberFormat="1" applyFill="1" applyBorder="1" applyAlignment="1">
      <alignment horizontal="center"/>
    </xf>
    <xf numFmtId="164" fontId="0" fillId="11" borderId="26" xfId="0" applyNumberForma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164" fontId="0" fillId="7" borderId="28" xfId="0" applyNumberFormat="1" applyFill="1" applyBorder="1" applyAlignment="1">
      <alignment horizontal="center"/>
    </xf>
    <xf numFmtId="164" fontId="0" fillId="9" borderId="29" xfId="0" applyNumberFormat="1" applyFill="1" applyBorder="1" applyAlignment="1">
      <alignment horizontal="center"/>
    </xf>
    <xf numFmtId="164" fontId="0" fillId="11" borderId="29" xfId="0" applyNumberFormat="1" applyFill="1" applyBorder="1" applyAlignment="1">
      <alignment horizontal="center"/>
    </xf>
    <xf numFmtId="164" fontId="0" fillId="11" borderId="30" xfId="0" applyNumberFormat="1" applyFill="1" applyBorder="1" applyAlignment="1">
      <alignment horizontal="center"/>
    </xf>
    <xf numFmtId="164" fontId="0" fillId="12" borderId="13" xfId="0" applyNumberFormat="1" applyFill="1" applyBorder="1" applyAlignment="1">
      <alignment horizontal="center"/>
    </xf>
    <xf numFmtId="164" fontId="0" fillId="12" borderId="29" xfId="0" applyNumberFormat="1" applyFill="1" applyBorder="1" applyAlignment="1">
      <alignment horizontal="center"/>
    </xf>
    <xf numFmtId="164" fontId="0" fillId="12" borderId="22" xfId="0" applyNumberFormat="1" applyFill="1" applyBorder="1" applyAlignment="1">
      <alignment horizontal="center"/>
    </xf>
    <xf numFmtId="0" fontId="0" fillId="15" borderId="0" xfId="0" applyFill="1"/>
    <xf numFmtId="164" fontId="0" fillId="15" borderId="22" xfId="0" applyNumberFormat="1" applyFill="1" applyBorder="1" applyAlignment="1">
      <alignment horizontal="center"/>
    </xf>
    <xf numFmtId="164" fontId="0" fillId="15" borderId="23" xfId="0" applyNumberFormat="1" applyFill="1" applyBorder="1" applyAlignment="1">
      <alignment horizontal="center"/>
    </xf>
    <xf numFmtId="164" fontId="0" fillId="15" borderId="13" xfId="0" applyNumberFormat="1" applyFill="1" applyBorder="1" applyAlignment="1">
      <alignment horizontal="center"/>
    </xf>
    <xf numFmtId="164" fontId="0" fillId="15" borderId="26" xfId="0" applyNumberFormat="1" applyFill="1" applyBorder="1" applyAlignment="1">
      <alignment horizontal="center"/>
    </xf>
    <xf numFmtId="164" fontId="0" fillId="15" borderId="29" xfId="0" applyNumberFormat="1" applyFill="1" applyBorder="1" applyAlignment="1">
      <alignment horizontal="center"/>
    </xf>
    <xf numFmtId="0" fontId="0" fillId="8" borderId="0" xfId="0" applyFill="1" applyAlignment="1">
      <alignment horizontal="left"/>
    </xf>
    <xf numFmtId="164" fontId="0" fillId="10" borderId="29" xfId="0" applyNumberFormat="1" applyFill="1" applyBorder="1" applyAlignment="1">
      <alignment horizontal="center"/>
    </xf>
    <xf numFmtId="164" fontId="0" fillId="10" borderId="22" xfId="0" applyNumberFormat="1" applyFill="1" applyBorder="1" applyAlignment="1">
      <alignment horizontal="center"/>
    </xf>
    <xf numFmtId="0" fontId="0" fillId="11" borderId="0" xfId="0" applyFill="1"/>
    <xf numFmtId="0" fontId="0" fillId="10" borderId="0" xfId="0" applyFill="1"/>
    <xf numFmtId="0" fontId="0" fillId="11" borderId="0" xfId="0" applyFill="1" applyAlignment="1">
      <alignment horizontal="left"/>
    </xf>
    <xf numFmtId="0" fontId="3" fillId="4" borderId="2" xfId="0" applyFont="1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</cellXfs>
  <cellStyles count="1">
    <cellStyle name="Normal" xfId="0" builtinId="0"/>
  </cellStyles>
  <dxfs count="5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7</xdr:row>
      <xdr:rowOff>0</xdr:rowOff>
    </xdr:from>
    <xdr:to>
      <xdr:col>7</xdr:col>
      <xdr:colOff>223520</xdr:colOff>
      <xdr:row>14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3080BF-DA46-4F6A-911B-D0338BE7705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0" y="1266825"/>
          <a:ext cx="2814320" cy="1343025"/>
        </a:xfrm>
        <a:prstGeom prst="rect">
          <a:avLst/>
        </a:prstGeom>
      </xdr:spPr>
    </xdr:pic>
    <xdr:clientData/>
  </xdr:twoCellAnchor>
  <xdr:twoCellAnchor editAs="oneCell">
    <xdr:from>
      <xdr:col>7</xdr:col>
      <xdr:colOff>223837</xdr:colOff>
      <xdr:row>7</xdr:row>
      <xdr:rowOff>9525</xdr:rowOff>
    </xdr:from>
    <xdr:to>
      <xdr:col>11</xdr:col>
      <xdr:colOff>447357</xdr:colOff>
      <xdr:row>14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425DD4-CD1F-44EE-AA29-D7F748B1CE8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7737" y="1276350"/>
          <a:ext cx="2814320" cy="1343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N28"/>
  <sheetViews>
    <sheetView tabSelected="1" workbookViewId="0">
      <selection activeCell="E4" sqref="E4"/>
    </sheetView>
  </sheetViews>
  <sheetFormatPr defaultRowHeight="14.25" x14ac:dyDescent="0.45"/>
  <cols>
    <col min="2" max="2" width="3.46484375" customWidth="1"/>
    <col min="3" max="9" width="4.59765625" customWidth="1"/>
    <col min="10" max="10" width="5.3984375" customWidth="1"/>
    <col min="11" max="14" width="4.59765625" customWidth="1"/>
    <col min="16" max="28" width="4.3984375" customWidth="1"/>
  </cols>
  <sheetData>
    <row r="3" spans="2:14" x14ac:dyDescent="0.45">
      <c r="B3" t="s">
        <v>12</v>
      </c>
      <c r="E3" s="26">
        <v>8</v>
      </c>
    </row>
    <row r="8" spans="2:14" ht="14.65" thickBot="1" x14ac:dyDescent="0.5"/>
    <row r="9" spans="2:14" ht="18.75" customHeight="1" thickTop="1" thickBot="1" x14ac:dyDescent="0.6">
      <c r="B9" s="1"/>
      <c r="C9" s="2"/>
      <c r="D9" s="60" t="s">
        <v>0</v>
      </c>
      <c r="E9" s="61"/>
      <c r="F9" s="61"/>
      <c r="G9" s="61"/>
      <c r="H9" s="61"/>
      <c r="I9" s="61"/>
      <c r="J9" s="61"/>
      <c r="K9" s="61"/>
      <c r="L9" s="61"/>
      <c r="M9" s="61"/>
      <c r="N9" s="62"/>
    </row>
    <row r="10" spans="2:14" ht="18.75" thickTop="1" thickBot="1" x14ac:dyDescent="0.6">
      <c r="B10" s="3"/>
      <c r="C10" s="4"/>
      <c r="D10" s="5">
        <v>95</v>
      </c>
      <c r="E10" s="6">
        <v>90</v>
      </c>
      <c r="F10" s="6">
        <v>85</v>
      </c>
      <c r="G10" s="6">
        <v>80</v>
      </c>
      <c r="H10" s="6">
        <v>75</v>
      </c>
      <c r="I10" s="6">
        <v>70</v>
      </c>
      <c r="J10" s="6">
        <v>65</v>
      </c>
      <c r="K10" s="6">
        <v>60</v>
      </c>
      <c r="L10" s="6">
        <v>55</v>
      </c>
      <c r="M10" s="6">
        <v>50</v>
      </c>
      <c r="N10" s="7">
        <v>45</v>
      </c>
    </row>
    <row r="11" spans="2:14" ht="18.399999999999999" thickTop="1" x14ac:dyDescent="0.55000000000000004">
      <c r="B11" s="8"/>
      <c r="C11" s="9">
        <v>15</v>
      </c>
      <c r="D11" s="10">
        <f>0.6*$J$12/4.8</f>
        <v>0.60469608196727698</v>
      </c>
      <c r="E11" s="10">
        <f>1.3*$J$12/4.8</f>
        <v>1.3101748442624337</v>
      </c>
      <c r="F11" s="10">
        <f>1.9*$J$12/4.8</f>
        <v>1.9148709262297103</v>
      </c>
      <c r="G11" s="13">
        <f>2.6*$J$12/4.8</f>
        <v>2.6203496885248674</v>
      </c>
      <c r="H11" s="13">
        <f>3.2*$J$12/4.8</f>
        <v>3.225045770492144</v>
      </c>
      <c r="I11" s="13">
        <f>3.9*$J$12/4.8</f>
        <v>3.9305245327873006</v>
      </c>
      <c r="J11" s="14">
        <f>4.6*$J$12/4.84</f>
        <v>4.5976892182635938</v>
      </c>
      <c r="K11" s="14">
        <f>5.2*$J$12/4.8</f>
        <v>5.2406993770497348</v>
      </c>
      <c r="L11" s="15">
        <f>5.8*$J$12/4.8</f>
        <v>5.845395459017011</v>
      </c>
      <c r="M11" s="15">
        <f>6.5*$J$12/4.84</f>
        <v>6.4967347649376865</v>
      </c>
      <c r="N11" s="13">
        <f>7.1*$J$12/4.84</f>
        <v>7.0964333586242425</v>
      </c>
    </row>
    <row r="12" spans="2:14" ht="18" x14ac:dyDescent="0.55000000000000004">
      <c r="B12" s="11" t="s">
        <v>1</v>
      </c>
      <c r="C12" s="12">
        <v>16</v>
      </c>
      <c r="D12" s="10">
        <f>0.7*$J$12/4.8</f>
        <v>0.70547876229515649</v>
      </c>
      <c r="E12" s="10">
        <f>1.4*$J$12/4.8</f>
        <v>1.410957524590313</v>
      </c>
      <c r="F12" s="13">
        <f>2.1*$J$12/4.8</f>
        <v>2.1164362868854698</v>
      </c>
      <c r="G12" s="13">
        <f>2.7*$J$12/4.8</f>
        <v>2.7211323688527469</v>
      </c>
      <c r="H12" s="13">
        <f>3.4*$J$12/4.8</f>
        <v>3.4266111311479031</v>
      </c>
      <c r="I12" s="14">
        <f>4.1*$J$12/4.8</f>
        <v>4.1320898934430597</v>
      </c>
      <c r="J12" s="27">
        <f>39.761*POWER(E3,-1.013)</f>
        <v>4.8375686557382158</v>
      </c>
      <c r="K12" s="14">
        <f>5.5*$J$12/4.8</f>
        <v>5.5430474180333729</v>
      </c>
      <c r="L12" s="15">
        <f>6.2*$J$12/4.84</f>
        <v>6.1968854680944085</v>
      </c>
      <c r="M12" s="15">
        <f>6.9*$J$12/4.84</f>
        <v>6.8965338273953911</v>
      </c>
      <c r="N12" s="13">
        <f>7.3*$J$12/4.84</f>
        <v>7.2963328898530939</v>
      </c>
    </row>
    <row r="13" spans="2:14" ht="18" x14ac:dyDescent="0.55000000000000004">
      <c r="B13" s="11" t="s">
        <v>2</v>
      </c>
      <c r="C13" s="12">
        <v>17</v>
      </c>
      <c r="D13" s="10">
        <f t="shared" ref="D13" si="0">0.7*$J$12/4.8</f>
        <v>0.70547876229515649</v>
      </c>
      <c r="E13" s="10">
        <f t="shared" ref="E13:E14" si="1">1.5*$J$12/4.8</f>
        <v>1.5117402049181925</v>
      </c>
      <c r="F13" s="28">
        <f>2.2*$J$12/4.8</f>
        <v>2.2172189672133493</v>
      </c>
      <c r="G13" s="13">
        <f>2.9*$J$12/4.8</f>
        <v>2.9226977295085055</v>
      </c>
      <c r="H13" s="13">
        <f>3.6*$J$12/4.8</f>
        <v>3.6281764918036625</v>
      </c>
      <c r="I13" s="14">
        <f>4.4*$J$12/4.8</f>
        <v>4.4344379344266986</v>
      </c>
      <c r="J13" s="14">
        <f>5.1*$J$12/4.84</f>
        <v>5.0974380463357232</v>
      </c>
      <c r="K13" s="15">
        <f>5.8*$J$12/4.8</f>
        <v>5.845395459017011</v>
      </c>
      <c r="L13" s="15">
        <f>6.5*$J$12/4.84</f>
        <v>6.4967347649376865</v>
      </c>
      <c r="M13" s="13">
        <f>7.3*$J$12/4.84</f>
        <v>7.2963328898530939</v>
      </c>
      <c r="N13" s="13">
        <f>8*$J$12/4.84</f>
        <v>7.9959812491540756</v>
      </c>
    </row>
    <row r="14" spans="2:14" ht="18" x14ac:dyDescent="0.55000000000000004">
      <c r="B14" s="11" t="s">
        <v>3</v>
      </c>
      <c r="C14" s="12">
        <v>18</v>
      </c>
      <c r="D14" s="10">
        <f>0.8*$J$12/4.8</f>
        <v>0.80626144262303601</v>
      </c>
      <c r="E14" s="10">
        <f t="shared" si="1"/>
        <v>1.5117402049181925</v>
      </c>
      <c r="F14" s="13">
        <f>2.3*$J$12/4.8</f>
        <v>2.3180016475412284</v>
      </c>
      <c r="G14" s="13">
        <f>3.1*$J$12/4.8</f>
        <v>3.1242630901642645</v>
      </c>
      <c r="H14" s="13">
        <f>3.9*$J$12/4.8</f>
        <v>3.9305245327873006</v>
      </c>
      <c r="I14" s="14">
        <f>4.6*$J$12/4.84</f>
        <v>4.5976892182635938</v>
      </c>
      <c r="J14" s="14">
        <f>5.4*$J$12/4.84</f>
        <v>5.3972873431790021</v>
      </c>
      <c r="K14" s="15">
        <f>6.2*$J$12/4.84</f>
        <v>6.1968854680944085</v>
      </c>
      <c r="L14" s="15">
        <f>6.8*$J$12/4.8</f>
        <v>6.8532222622958061</v>
      </c>
      <c r="M14" s="13">
        <f>7.7*$J$12/4.84</f>
        <v>7.6961319523107985</v>
      </c>
      <c r="N14" s="13">
        <f>8.5*$J$12/4.84</f>
        <v>8.4957300772262059</v>
      </c>
    </row>
    <row r="15" spans="2:14" ht="18" x14ac:dyDescent="0.55000000000000004">
      <c r="B15" s="11" t="s">
        <v>4</v>
      </c>
      <c r="C15" s="12">
        <v>19</v>
      </c>
      <c r="D15" s="10">
        <f t="shared" ref="D15" si="2">0.8*$J$12/4.8</f>
        <v>0.80626144262303601</v>
      </c>
      <c r="E15" s="10">
        <f>1.6*$J$12/4.8</f>
        <v>1.612522885246072</v>
      </c>
      <c r="F15" s="13">
        <f>2.3*$J$12/4.8</f>
        <v>2.3180016475412284</v>
      </c>
      <c r="G15" s="13">
        <f>3.3*$J$12/4.8</f>
        <v>3.3258284508200231</v>
      </c>
      <c r="H15" s="14">
        <f>4.1*$J$12/4.8</f>
        <v>4.1320898934430597</v>
      </c>
      <c r="I15" s="14">
        <f>4.9*$J$12/4.8</f>
        <v>4.9383513360660958</v>
      </c>
      <c r="J15" s="15">
        <f>5.7*$J$12/4.84</f>
        <v>5.6971366400222792</v>
      </c>
      <c r="K15" s="15">
        <f>6.5*$J$12/4.84</f>
        <v>6.4967347649376865</v>
      </c>
      <c r="L15" s="13">
        <f>7.3*$J$12/4.84</f>
        <v>7.2963328898530939</v>
      </c>
      <c r="M15" s="13">
        <f>8.2*$J$12/4.84</f>
        <v>8.195880780382927</v>
      </c>
      <c r="N15" s="13">
        <f>9*$J$12/4.84</f>
        <v>8.9954789052983362</v>
      </c>
    </row>
    <row r="16" spans="2:14" ht="18" x14ac:dyDescent="0.55000000000000004">
      <c r="B16" s="11" t="s">
        <v>2</v>
      </c>
      <c r="C16" s="12">
        <v>20</v>
      </c>
      <c r="D16" s="10">
        <f>0.9*$J$12/4.8</f>
        <v>0.90704412295091563</v>
      </c>
      <c r="E16" s="10">
        <f>1.7*$J$12/4.8</f>
        <v>1.7133055655739515</v>
      </c>
      <c r="F16" s="13">
        <f>2.4*$J$12/4.8</f>
        <v>2.4187843278691079</v>
      </c>
      <c r="G16" s="13">
        <f>3.5*$J$12/4.8</f>
        <v>3.5273938114757826</v>
      </c>
      <c r="H16" s="14">
        <f>4.3*$J$12/4.8</f>
        <v>4.3336552540988187</v>
      </c>
      <c r="I16" s="14">
        <f>5.2*$J$12/4.8</f>
        <v>5.2406993770497348</v>
      </c>
      <c r="J16" s="15">
        <f>6.1*$J$12/4.8</f>
        <v>6.1477435000006491</v>
      </c>
      <c r="K16" s="15">
        <f>6.8*$J$12/4.8</f>
        <v>6.8532222622958061</v>
      </c>
      <c r="L16" s="13">
        <f>7.8*$J$12/4.84</f>
        <v>7.7960817179252242</v>
      </c>
      <c r="M16" s="13">
        <f>8.7*$J$12/4.84</f>
        <v>8.6956296084550573</v>
      </c>
      <c r="N16" s="13">
        <f>9.5*$J$12/4.84</f>
        <v>9.4952277333704647</v>
      </c>
    </row>
    <row r="17" spans="2:14" ht="18" x14ac:dyDescent="0.55000000000000004">
      <c r="B17" s="11" t="s">
        <v>5</v>
      </c>
      <c r="C17" s="12">
        <v>21</v>
      </c>
      <c r="D17" s="10">
        <f t="shared" ref="D17" si="3">0.9*$J$12/4.8</f>
        <v>0.90704412295091563</v>
      </c>
      <c r="E17" s="10">
        <f>1.8*$J$12/4.8</f>
        <v>1.8140882459018313</v>
      </c>
      <c r="F17" s="13">
        <f>2.6*$J$12/4.8</f>
        <v>2.6203496885248674</v>
      </c>
      <c r="G17" s="13">
        <f>3.7*$J$12/4.8</f>
        <v>3.7289591721315416</v>
      </c>
      <c r="H17" s="14">
        <f>4.6*$J$12/4.84</f>
        <v>4.5976892182635938</v>
      </c>
      <c r="I17" s="14">
        <f>5.5*$J$12/4.8</f>
        <v>5.5430474180333729</v>
      </c>
      <c r="J17" s="15">
        <f>6.4*$J$12/4.8</f>
        <v>6.4500915409842881</v>
      </c>
      <c r="K17" s="13">
        <f>7.4*$J$12/4.84</f>
        <v>7.3962826554675205</v>
      </c>
      <c r="L17" s="13">
        <f>8.3*$J$12/4.84</f>
        <v>8.2958305459973545</v>
      </c>
      <c r="M17" s="13">
        <f>9.2*$J$12/4.84</f>
        <v>9.1953784365271876</v>
      </c>
      <c r="N17" s="13">
        <f>10.1*$J$12/4.84</f>
        <v>10.094926327057021</v>
      </c>
    </row>
    <row r="18" spans="2:14" ht="18" x14ac:dyDescent="0.55000000000000004">
      <c r="B18" s="11" t="s">
        <v>6</v>
      </c>
      <c r="C18" s="12">
        <v>22</v>
      </c>
      <c r="D18" s="10">
        <f>1*$J$12/4.8</f>
        <v>1.0078268032787949</v>
      </c>
      <c r="E18" s="13">
        <f>2*$J$12/4.8</f>
        <v>2.0156536065575898</v>
      </c>
      <c r="F18" s="13">
        <f>2.9*$J$12/4.8</f>
        <v>2.9226977295085055</v>
      </c>
      <c r="G18" s="13">
        <f>3.9*$J$12/4.8</f>
        <v>3.9305245327873006</v>
      </c>
      <c r="H18" s="14">
        <f>4.9*$J$12/4.8</f>
        <v>4.9383513360660958</v>
      </c>
      <c r="I18" s="15">
        <f>5.9*$J$12/4.84</f>
        <v>5.8970361712511314</v>
      </c>
      <c r="J18" s="15">
        <f>6.8*$J$12/4.8</f>
        <v>6.8532222622958061</v>
      </c>
      <c r="K18" s="13">
        <f>7.8*$J$12/4.84</f>
        <v>7.7960817179252242</v>
      </c>
      <c r="L18" s="13">
        <f>8.8*$J$12/4.84</f>
        <v>8.7955793740694848</v>
      </c>
      <c r="M18" s="13">
        <f>9.8*$J$12/4.84</f>
        <v>9.7950770302137435</v>
      </c>
      <c r="N18" s="13">
        <f>10.7*$J$12/4.84</f>
        <v>10.694624920743577</v>
      </c>
    </row>
    <row r="19" spans="2:14" ht="18" x14ac:dyDescent="0.55000000000000004">
      <c r="B19" s="11" t="s">
        <v>1</v>
      </c>
      <c r="C19" s="12">
        <v>23</v>
      </c>
      <c r="D19" s="10">
        <f>1.1*$J$12/4.8</f>
        <v>1.1086094836066747</v>
      </c>
      <c r="E19" s="13">
        <f t="shared" ref="E19" si="4">2*$J$12/4.8</f>
        <v>2.0156536065575898</v>
      </c>
      <c r="F19" s="13">
        <f>3.1*$J$12/4.8</f>
        <v>3.1242630901642645</v>
      </c>
      <c r="G19" s="14">
        <f>4.1*$J$12/4.8</f>
        <v>4.1320898934430597</v>
      </c>
      <c r="H19" s="14">
        <f>5.2*$J$12/4.8</f>
        <v>5.2406993770497348</v>
      </c>
      <c r="I19" s="15">
        <f>6.2*$J$12/4.84</f>
        <v>6.1968854680944085</v>
      </c>
      <c r="J19" s="13">
        <f>7.2*$J$12/4.84</f>
        <v>7.1963831242386691</v>
      </c>
      <c r="K19" s="13">
        <f>8.2*$J$12/4.84</f>
        <v>8.195880780382927</v>
      </c>
      <c r="L19" s="13">
        <f>9.3*$J$12/4.84</f>
        <v>9.2953282021416133</v>
      </c>
      <c r="M19" s="13">
        <f>10.3*$J$12/4.84</f>
        <v>10.294825858285874</v>
      </c>
      <c r="N19" s="13">
        <f>11.3*$J$12/4.84</f>
        <v>11.294323514430133</v>
      </c>
    </row>
    <row r="20" spans="2:14" ht="18" x14ac:dyDescent="0.55000000000000004">
      <c r="B20" s="11" t="s">
        <v>7</v>
      </c>
      <c r="C20" s="12">
        <v>24</v>
      </c>
      <c r="D20" s="10">
        <f t="shared" ref="D20" si="5">1.1*$J$12/4.8</f>
        <v>1.1086094836066747</v>
      </c>
      <c r="E20" s="28">
        <f>2.2*$J$12/4.8</f>
        <v>2.2172189672133493</v>
      </c>
      <c r="F20" s="13">
        <f>3.3*$J$12/4.8</f>
        <v>3.3258284508200231</v>
      </c>
      <c r="G20" s="14">
        <f>4.4*$J$12/4.8</f>
        <v>4.4344379344266986</v>
      </c>
      <c r="H20" s="14">
        <f>5.5*$J$12/4.8</f>
        <v>5.5430474180333729</v>
      </c>
      <c r="I20" s="15">
        <f>6.5*$J$12/4.84</f>
        <v>6.4967347649376865</v>
      </c>
      <c r="J20" s="13">
        <f>7.6*$J$12/4.84</f>
        <v>7.5961821866963719</v>
      </c>
      <c r="K20" s="13">
        <f>8.7*$J$12/4.84</f>
        <v>8.6956296084550573</v>
      </c>
      <c r="L20" s="13">
        <f>9.8*$J$12/4.84</f>
        <v>9.7950770302137435</v>
      </c>
      <c r="M20" s="13">
        <f>10.9*$J$12/4.84</f>
        <v>10.894524451972428</v>
      </c>
      <c r="N20" s="13">
        <f>12*$J$12/4.84</f>
        <v>11.993971873731113</v>
      </c>
    </row>
    <row r="21" spans="2:14" ht="18" x14ac:dyDescent="0.55000000000000004">
      <c r="B21" s="11" t="s">
        <v>5</v>
      </c>
      <c r="C21" s="12">
        <v>25</v>
      </c>
      <c r="D21" s="10">
        <f>1.2*$J$12/4.8</f>
        <v>1.209392163934554</v>
      </c>
      <c r="E21" s="13">
        <f>2.3*$J$12/4.8</f>
        <v>2.3180016475412284</v>
      </c>
      <c r="F21" s="13">
        <f>3.5*$J$12/4.8</f>
        <v>3.5273938114757826</v>
      </c>
      <c r="G21" s="14">
        <f>4.6*$J$12/4.8</f>
        <v>4.6360032950824568</v>
      </c>
      <c r="H21" s="15">
        <f>5.8*$J$12/4.8</f>
        <v>5.845395459017011</v>
      </c>
      <c r="I21" s="15">
        <f>6.9*$J$12/4.84</f>
        <v>6.8965338273953911</v>
      </c>
      <c r="J21" s="13">
        <f>8.1*$J$12/4.84</f>
        <v>8.0959310147685013</v>
      </c>
      <c r="K21" s="13">
        <f>9.2*$J$12/4.84</f>
        <v>9.1953784365271876</v>
      </c>
      <c r="L21" s="13">
        <f>10.4*$J$12/4.84</f>
        <v>10.3947756239003</v>
      </c>
      <c r="M21" s="13">
        <f>11.6*$J$12/4.84</f>
        <v>11.59417281127341</v>
      </c>
      <c r="N21" s="13">
        <f>12.7*$J$12/4.84</f>
        <v>12.693620233032096</v>
      </c>
    </row>
    <row r="22" spans="2:14" ht="18" x14ac:dyDescent="0.55000000000000004">
      <c r="B22" s="11" t="s">
        <v>2</v>
      </c>
      <c r="C22" s="12">
        <v>26</v>
      </c>
      <c r="D22" s="10">
        <f t="shared" ref="D22" si="6">1.2*$J$12/4.8</f>
        <v>1.209392163934554</v>
      </c>
      <c r="E22" s="13">
        <f>2.4*$J$12/4.8</f>
        <v>2.4187843278691079</v>
      </c>
      <c r="F22" s="13">
        <f>3.7*$J$12/4.8</f>
        <v>3.7289591721315416</v>
      </c>
      <c r="G22" s="14">
        <f>4.9*$J$12/4.8</f>
        <v>4.9383513360660958</v>
      </c>
      <c r="H22" s="15">
        <f>6.1*$J$12/4.8</f>
        <v>6.1477435000006491</v>
      </c>
      <c r="I22" s="13">
        <f>7.3*$J$12/4.84</f>
        <v>7.2963328898530939</v>
      </c>
      <c r="J22" s="13">
        <f>8.5*$J$12/4.84</f>
        <v>8.4957300772262059</v>
      </c>
      <c r="K22" s="13">
        <f>9.8*$J$12/4.84</f>
        <v>9.7950770302137435</v>
      </c>
      <c r="L22" s="13">
        <f>11*$J$12/4.84</f>
        <v>10.994474217586856</v>
      </c>
      <c r="M22" s="13">
        <f>12.2*$J$12/4.84</f>
        <v>12.193871404959964</v>
      </c>
      <c r="N22" s="16">
        <f>13.4*$J$12/4.84</f>
        <v>13.393268592333078</v>
      </c>
    </row>
    <row r="23" spans="2:14" ht="18" x14ac:dyDescent="0.55000000000000004">
      <c r="B23" s="17"/>
      <c r="C23" s="12">
        <v>27</v>
      </c>
      <c r="D23" s="10">
        <f>1.3*$J$12/4.8</f>
        <v>1.3101748442624337</v>
      </c>
      <c r="E23" s="13">
        <f>2.6*$J$12/4.8</f>
        <v>2.6203496885248674</v>
      </c>
      <c r="F23" s="13">
        <f>3.9*$J$12/4.8</f>
        <v>3.9305245327873006</v>
      </c>
      <c r="G23" s="14">
        <f>5.2*$J$12/4.8</f>
        <v>5.2406993770497348</v>
      </c>
      <c r="H23" s="15">
        <f>6.4*$J$12/4.8</f>
        <v>6.4500915409842881</v>
      </c>
      <c r="I23" s="13">
        <f>7.7*$J$12/4.84</f>
        <v>7.6961319523107985</v>
      </c>
      <c r="J23" s="13">
        <f>9*$J$12/4.84</f>
        <v>8.9954789052983362</v>
      </c>
      <c r="K23" s="13">
        <f>10.3*$J$12/4.84</f>
        <v>10.294825858285874</v>
      </c>
      <c r="L23" s="13">
        <f>11.6*$J$12/4.84</f>
        <v>11.59417281127341</v>
      </c>
      <c r="M23" s="13">
        <f>12.9*$J$12/4.84</f>
        <v>12.893519764260947</v>
      </c>
      <c r="N23" s="16">
        <f>14.2*$J$12/4.84</f>
        <v>14.192866717248485</v>
      </c>
    </row>
    <row r="24" spans="2:14" ht="18" x14ac:dyDescent="0.55000000000000004">
      <c r="B24" s="17"/>
      <c r="C24" s="12">
        <v>28</v>
      </c>
      <c r="D24" s="10">
        <f>1.4*$J$12/4.8</f>
        <v>1.410957524590313</v>
      </c>
      <c r="E24" s="13">
        <f>2.7*$J$12/4.8</f>
        <v>2.7211323688527469</v>
      </c>
      <c r="F24" s="14">
        <f>4.1*$J$12/4.8</f>
        <v>4.1320898934430597</v>
      </c>
      <c r="G24" s="14">
        <f>5.5*$J$12/4.8</f>
        <v>5.5430474180333729</v>
      </c>
      <c r="H24" s="15">
        <f>6.8*$J$12/4.84</f>
        <v>6.7965840617809645</v>
      </c>
      <c r="I24" s="13">
        <f>8.2*$J$12/4.84</f>
        <v>8.195880780382927</v>
      </c>
      <c r="J24" s="13">
        <f>9.6*$J$12/4.84</f>
        <v>9.5951774989848904</v>
      </c>
      <c r="K24" s="13">
        <f>10.9*$J$12/4.84</f>
        <v>10.894524451972428</v>
      </c>
      <c r="L24" s="13">
        <f>12.3*$J$12/4.84</f>
        <v>12.293821170574393</v>
      </c>
      <c r="M24" s="16">
        <f>13.7*$J$12/4.84</f>
        <v>13.693117889176353</v>
      </c>
      <c r="N24" s="16">
        <f>15*$J$12/4.84</f>
        <v>14.992464842163894</v>
      </c>
    </row>
    <row r="25" spans="2:14" ht="18" x14ac:dyDescent="0.55000000000000004">
      <c r="B25" s="17"/>
      <c r="C25" s="12">
        <v>29</v>
      </c>
      <c r="D25" s="10">
        <f t="shared" ref="D25" si="7">1.4*$J$12/4.8</f>
        <v>1.410957524590313</v>
      </c>
      <c r="E25" s="13">
        <f>2.8*$J$12/4.8</f>
        <v>2.821915049180626</v>
      </c>
      <c r="F25" s="14">
        <f>4.3*$J$12/4.8</f>
        <v>4.3336552540988187</v>
      </c>
      <c r="G25" s="15">
        <f>5.8*$J$12/4.8</f>
        <v>5.845395459017011</v>
      </c>
      <c r="H25" s="13">
        <f>7.2*$J$12/4.84</f>
        <v>7.1963831242386691</v>
      </c>
      <c r="I25" s="13">
        <f>8.6*$J$12/4.84</f>
        <v>8.5956798428406316</v>
      </c>
      <c r="J25" s="13">
        <f>10.1*$J$12/4.84</f>
        <v>10.094926327057021</v>
      </c>
      <c r="K25" s="13">
        <f>11.5*$J$12/4.84</f>
        <v>11.494223045658984</v>
      </c>
      <c r="L25" s="13">
        <f>13*$J$12/4.84</f>
        <v>12.993469529875373</v>
      </c>
      <c r="M25" s="16">
        <f>14.4*$J$12/4.84</f>
        <v>14.392766248477338</v>
      </c>
      <c r="N25" s="16">
        <f>15*$J$12/4.84</f>
        <v>14.992464842163894</v>
      </c>
    </row>
    <row r="26" spans="2:14" ht="18.399999999999999" thickBot="1" x14ac:dyDescent="0.6">
      <c r="B26" s="19"/>
      <c r="C26" s="20">
        <v>30</v>
      </c>
      <c r="D26" s="10">
        <f>1.5*$J$12/4.8</f>
        <v>1.5117402049181925</v>
      </c>
      <c r="E26" s="13">
        <f>3*$J$12/4.8</f>
        <v>3.023480409836385</v>
      </c>
      <c r="F26" s="14">
        <f>4.6*$J$12/4.8</f>
        <v>4.6360032950824568</v>
      </c>
      <c r="G26" s="15">
        <f>6.1*$J$12/4.8</f>
        <v>6.1477435000006491</v>
      </c>
      <c r="H26" s="13">
        <f>7.6*$J$12/4.84</f>
        <v>7.5961821866963719</v>
      </c>
      <c r="I26" s="13">
        <f>9.1*$J$12/4.84</f>
        <v>9.0954286709127601</v>
      </c>
      <c r="J26" s="13">
        <f>10.6*$J$12/4.84</f>
        <v>10.594675155129151</v>
      </c>
      <c r="K26" s="13">
        <f>12.2*$J$12/4.84</f>
        <v>12.193871404959964</v>
      </c>
      <c r="L26" s="16">
        <f>13.7*$J$12/4.84</f>
        <v>13.693117889176353</v>
      </c>
      <c r="M26" s="16">
        <f>15.2*$J$12/4.84</f>
        <v>15.192364373392744</v>
      </c>
      <c r="N26" s="16">
        <f>16.7*$J$12/4.84</f>
        <v>16.691610857609135</v>
      </c>
    </row>
    <row r="27" spans="2:14" ht="14.65" thickTop="1" x14ac:dyDescent="0.45"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</row>
    <row r="28" spans="2:14" x14ac:dyDescent="0.45">
      <c r="B28" s="21"/>
      <c r="C28" s="22"/>
      <c r="D28" s="21" t="s">
        <v>8</v>
      </c>
      <c r="E28" s="21"/>
      <c r="F28" s="23"/>
      <c r="G28" s="21" t="s">
        <v>9</v>
      </c>
      <c r="H28" s="21"/>
      <c r="I28" s="24"/>
      <c r="J28" s="21" t="s">
        <v>10</v>
      </c>
      <c r="K28" s="21"/>
      <c r="L28" s="25"/>
      <c r="M28" s="21" t="s">
        <v>11</v>
      </c>
      <c r="N28" s="21"/>
    </row>
  </sheetData>
  <mergeCells count="1">
    <mergeCell ref="D9:N9"/>
  </mergeCells>
  <conditionalFormatting sqref="K21:K25 M22:N26 K26:L26">
    <cfRule type="cellIs" dxfId="55" priority="67" operator="between">
      <formula>5</formula>
      <formula>13</formula>
    </cfRule>
    <cfRule type="cellIs" dxfId="54" priority="68" operator="lessThan">
      <formula>5</formula>
    </cfRule>
  </conditionalFormatting>
  <conditionalFormatting sqref="E18:E26">
    <cfRule type="cellIs" dxfId="53" priority="65" operator="between">
      <formula>5</formula>
      <formula>13</formula>
    </cfRule>
    <cfRule type="cellIs" dxfId="52" priority="66" operator="lessThan">
      <formula>5</formula>
    </cfRule>
  </conditionalFormatting>
  <conditionalFormatting sqref="F12">
    <cfRule type="cellIs" dxfId="51" priority="63" operator="between">
      <formula>5</formula>
      <formula>13</formula>
    </cfRule>
    <cfRule type="cellIs" dxfId="50" priority="64" operator="lessThan">
      <formula>5</formula>
    </cfRule>
  </conditionalFormatting>
  <conditionalFormatting sqref="F13">
    <cfRule type="cellIs" dxfId="49" priority="61" operator="between">
      <formula>5</formula>
      <formula>13</formula>
    </cfRule>
    <cfRule type="cellIs" dxfId="48" priority="62" operator="lessThan">
      <formula>5</formula>
    </cfRule>
  </conditionalFormatting>
  <conditionalFormatting sqref="F15:F19">
    <cfRule type="cellIs" dxfId="47" priority="59" operator="between">
      <formula>5</formula>
      <formula>13</formula>
    </cfRule>
    <cfRule type="cellIs" dxfId="46" priority="60" operator="lessThan">
      <formula>5</formula>
    </cfRule>
  </conditionalFormatting>
  <conditionalFormatting sqref="F20:F23">
    <cfRule type="cellIs" dxfId="45" priority="57" operator="between">
      <formula>5</formula>
      <formula>13</formula>
    </cfRule>
    <cfRule type="cellIs" dxfId="44" priority="58" operator="lessThan">
      <formula>5</formula>
    </cfRule>
  </conditionalFormatting>
  <conditionalFormatting sqref="G11:H12 H13:H14">
    <cfRule type="cellIs" dxfId="43" priority="55" operator="between">
      <formula>5</formula>
      <formula>13</formula>
    </cfRule>
    <cfRule type="cellIs" dxfId="42" priority="56" operator="lessThan">
      <formula>5</formula>
    </cfRule>
  </conditionalFormatting>
  <conditionalFormatting sqref="G13">
    <cfRule type="cellIs" dxfId="41" priority="53" operator="between">
      <formula>5</formula>
      <formula>13</formula>
    </cfRule>
    <cfRule type="cellIs" dxfId="40" priority="54" operator="lessThan">
      <formula>5</formula>
    </cfRule>
  </conditionalFormatting>
  <conditionalFormatting sqref="G14">
    <cfRule type="cellIs" dxfId="39" priority="51" operator="between">
      <formula>5</formula>
      <formula>13</formula>
    </cfRule>
    <cfRule type="cellIs" dxfId="38" priority="52" operator="lessThan">
      <formula>5</formula>
    </cfRule>
  </conditionalFormatting>
  <conditionalFormatting sqref="G15:G18">
    <cfRule type="cellIs" dxfId="37" priority="49" operator="between">
      <formula>5</formula>
      <formula>13</formula>
    </cfRule>
    <cfRule type="cellIs" dxfId="36" priority="50" operator="lessThan">
      <formula>5</formula>
    </cfRule>
  </conditionalFormatting>
  <conditionalFormatting sqref="H25:H26">
    <cfRule type="cellIs" dxfId="35" priority="47" operator="between">
      <formula>5</formula>
      <formula>13</formula>
    </cfRule>
    <cfRule type="cellIs" dxfId="34" priority="48" operator="lessThan">
      <formula>5</formula>
    </cfRule>
  </conditionalFormatting>
  <conditionalFormatting sqref="I11">
    <cfRule type="cellIs" dxfId="33" priority="45" operator="between">
      <formula>5</formula>
      <formula>13</formula>
    </cfRule>
    <cfRule type="cellIs" dxfId="32" priority="46" operator="lessThan">
      <formula>5</formula>
    </cfRule>
  </conditionalFormatting>
  <conditionalFormatting sqref="I22:I26">
    <cfRule type="cellIs" dxfId="31" priority="39" operator="between">
      <formula>5</formula>
      <formula>13</formula>
    </cfRule>
    <cfRule type="cellIs" dxfId="30" priority="40" operator="lessThan">
      <formula>5</formula>
    </cfRule>
  </conditionalFormatting>
  <conditionalFormatting sqref="J19">
    <cfRule type="cellIs" dxfId="29" priority="37" operator="between">
      <formula>5</formula>
      <formula>13</formula>
    </cfRule>
    <cfRule type="cellIs" dxfId="28" priority="38" operator="lessThan">
      <formula>5</formula>
    </cfRule>
  </conditionalFormatting>
  <conditionalFormatting sqref="J20:J26">
    <cfRule type="cellIs" dxfId="27" priority="35" operator="between">
      <formula>5</formula>
      <formula>13</formula>
    </cfRule>
    <cfRule type="cellIs" dxfId="26" priority="36" operator="lessThan">
      <formula>5</formula>
    </cfRule>
  </conditionalFormatting>
  <conditionalFormatting sqref="L15">
    <cfRule type="cellIs" dxfId="25" priority="33" operator="between">
      <formula>5</formula>
      <formula>13</formula>
    </cfRule>
    <cfRule type="cellIs" dxfId="24" priority="34" operator="lessThan">
      <formula>5</formula>
    </cfRule>
  </conditionalFormatting>
  <conditionalFormatting sqref="K17:K18">
    <cfRule type="cellIs" dxfId="23" priority="31" operator="between">
      <formula>5</formula>
      <formula>13</formula>
    </cfRule>
    <cfRule type="cellIs" dxfId="22" priority="32" operator="lessThan">
      <formula>5</formula>
    </cfRule>
  </conditionalFormatting>
  <conditionalFormatting sqref="K19:K20">
    <cfRule type="cellIs" dxfId="21" priority="29" operator="between">
      <formula>5</formula>
      <formula>13</formula>
    </cfRule>
    <cfRule type="cellIs" dxfId="20" priority="30" operator="lessThan">
      <formula>5</formula>
    </cfRule>
  </conditionalFormatting>
  <conditionalFormatting sqref="N11:N12">
    <cfRule type="cellIs" dxfId="19" priority="25" operator="between">
      <formula>5</formula>
      <formula>13</formula>
    </cfRule>
    <cfRule type="cellIs" dxfId="18" priority="26" operator="lessThan">
      <formula>5</formula>
    </cfRule>
  </conditionalFormatting>
  <conditionalFormatting sqref="M13:M14">
    <cfRule type="cellIs" dxfId="17" priority="23" operator="between">
      <formula>5</formula>
      <formula>13</formula>
    </cfRule>
    <cfRule type="cellIs" dxfId="16" priority="24" operator="lessThan">
      <formula>5</formula>
    </cfRule>
  </conditionalFormatting>
  <conditionalFormatting sqref="M15">
    <cfRule type="cellIs" dxfId="15" priority="19" operator="between">
      <formula>5</formula>
      <formula>13</formula>
    </cfRule>
    <cfRule type="cellIs" dxfId="14" priority="20" operator="lessThan">
      <formula>5</formula>
    </cfRule>
  </conditionalFormatting>
  <conditionalFormatting sqref="M17:M21">
    <cfRule type="cellIs" dxfId="13" priority="15" operator="between">
      <formula>5</formula>
      <formula>13</formula>
    </cfRule>
    <cfRule type="cellIs" dxfId="12" priority="16" operator="lessThan">
      <formula>5</formula>
    </cfRule>
  </conditionalFormatting>
  <conditionalFormatting sqref="M16">
    <cfRule type="cellIs" dxfId="11" priority="13" operator="between">
      <formula>5</formula>
      <formula>13</formula>
    </cfRule>
    <cfRule type="cellIs" dxfId="10" priority="14" operator="lessThan">
      <formula>5</formula>
    </cfRule>
  </conditionalFormatting>
  <conditionalFormatting sqref="L16:L19">
    <cfRule type="cellIs" dxfId="9" priority="9" operator="between">
      <formula>5</formula>
      <formula>13</formula>
    </cfRule>
    <cfRule type="cellIs" dxfId="8" priority="10" operator="lessThan">
      <formula>5</formula>
    </cfRule>
  </conditionalFormatting>
  <conditionalFormatting sqref="L20:L25">
    <cfRule type="cellIs" dxfId="7" priority="7" operator="between">
      <formula>5</formula>
      <formula>13</formula>
    </cfRule>
    <cfRule type="cellIs" dxfId="6" priority="8" operator="lessThan">
      <formula>5</formula>
    </cfRule>
  </conditionalFormatting>
  <conditionalFormatting sqref="N13:N16">
    <cfRule type="cellIs" dxfId="5" priority="5" operator="between">
      <formula>5</formula>
      <formula>13</formula>
    </cfRule>
    <cfRule type="cellIs" dxfId="4" priority="6" operator="lessThan">
      <formula>5</formula>
    </cfRule>
  </conditionalFormatting>
  <conditionalFormatting sqref="N17:N21">
    <cfRule type="cellIs" dxfId="3" priority="3" operator="between">
      <formula>5</formula>
      <formula>13</formula>
    </cfRule>
    <cfRule type="cellIs" dxfId="2" priority="4" operator="lessThan">
      <formula>5</formula>
    </cfRule>
  </conditionalFormatting>
  <conditionalFormatting sqref="F14">
    <cfRule type="cellIs" dxfId="1" priority="1" operator="between">
      <formula>5</formula>
      <formula>13</formula>
    </cfRule>
    <cfRule type="cellIs" dxfId="0" priority="2" operator="lessThan">
      <formula>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E5EE6-9E18-499C-AAC5-809A5AC72FAF}">
  <dimension ref="A1:AH33"/>
  <sheetViews>
    <sheetView workbookViewId="0">
      <selection activeCell="AD18" sqref="AD18"/>
    </sheetView>
  </sheetViews>
  <sheetFormatPr defaultRowHeight="14.25" x14ac:dyDescent="0.45"/>
  <cols>
    <col min="1" max="1" width="9.06640625" style="21"/>
    <col min="2" max="2" width="3.46484375" customWidth="1"/>
    <col min="3" max="9" width="4.59765625" customWidth="1"/>
    <col min="10" max="10" width="5.3984375" customWidth="1"/>
    <col min="11" max="14" width="4.59765625" customWidth="1"/>
    <col min="15" max="15" width="9.06640625" style="21"/>
    <col min="16" max="16" width="3.46484375" customWidth="1"/>
    <col min="17" max="23" width="4.53125" customWidth="1"/>
    <col min="24" max="24" width="5.33203125" bestFit="1" customWidth="1"/>
    <col min="25" max="25" width="4.53125" customWidth="1"/>
    <col min="26" max="26" width="5.33203125" bestFit="1" customWidth="1"/>
    <col min="27" max="28" width="4.53125" customWidth="1"/>
    <col min="29" max="34" width="9.06640625" style="21"/>
  </cols>
  <sheetData>
    <row r="1" spans="2:28" s="21" customFormat="1" x14ac:dyDescent="0.45"/>
    <row r="2" spans="2:28" s="21" customFormat="1" x14ac:dyDescent="0.45"/>
    <row r="3" spans="2:28" s="21" customFormat="1" x14ac:dyDescent="0.45">
      <c r="S3" s="21">
        <v>8</v>
      </c>
    </row>
    <row r="4" spans="2:28" s="21" customFormat="1" x14ac:dyDescent="0.45"/>
    <row r="5" spans="2:28" s="21" customFormat="1" x14ac:dyDescent="0.45"/>
    <row r="6" spans="2:28" s="21" customFormat="1" x14ac:dyDescent="0.45"/>
    <row r="7" spans="2:28" s="21" customFormat="1" x14ac:dyDescent="0.45">
      <c r="B7" s="21" t="s">
        <v>12</v>
      </c>
      <c r="E7" s="54">
        <v>8</v>
      </c>
    </row>
    <row r="8" spans="2:28" s="21" customFormat="1" ht="14.65" thickBot="1" x14ac:dyDescent="0.5"/>
    <row r="9" spans="2:28" ht="18.75" thickTop="1" thickBot="1" x14ac:dyDescent="0.6">
      <c r="B9" s="1"/>
      <c r="C9" s="2"/>
      <c r="D9" s="60" t="s">
        <v>0</v>
      </c>
      <c r="E9" s="61"/>
      <c r="F9" s="61"/>
      <c r="G9" s="61"/>
      <c r="H9" s="61"/>
      <c r="I9" s="61"/>
      <c r="J9" s="61"/>
      <c r="K9" s="61"/>
      <c r="L9" s="61"/>
      <c r="M9" s="61"/>
      <c r="N9" s="62"/>
      <c r="P9" s="1"/>
      <c r="Q9" s="2"/>
      <c r="R9" s="60" t="s">
        <v>0</v>
      </c>
      <c r="S9" s="61"/>
      <c r="T9" s="61"/>
      <c r="U9" s="61"/>
      <c r="V9" s="61"/>
      <c r="W9" s="61"/>
      <c r="X9" s="61"/>
      <c r="Y9" s="61"/>
      <c r="Z9" s="61"/>
      <c r="AA9" s="61"/>
      <c r="AB9" s="62"/>
    </row>
    <row r="10" spans="2:28" ht="18.75" thickTop="1" thickBot="1" x14ac:dyDescent="0.6">
      <c r="B10" s="3"/>
      <c r="C10" s="4"/>
      <c r="D10" s="5">
        <v>95</v>
      </c>
      <c r="E10" s="6">
        <v>90</v>
      </c>
      <c r="F10" s="6">
        <v>85</v>
      </c>
      <c r="G10" s="6">
        <v>80</v>
      </c>
      <c r="H10" s="6">
        <v>75</v>
      </c>
      <c r="I10" s="6">
        <v>70</v>
      </c>
      <c r="J10" s="6">
        <v>65</v>
      </c>
      <c r="K10" s="6">
        <v>60</v>
      </c>
      <c r="L10" s="6">
        <v>55</v>
      </c>
      <c r="M10" s="6">
        <v>50</v>
      </c>
      <c r="N10" s="7">
        <v>45</v>
      </c>
      <c r="P10" s="3"/>
      <c r="Q10" s="4"/>
      <c r="R10" s="30">
        <v>95</v>
      </c>
      <c r="S10" s="31">
        <v>90</v>
      </c>
      <c r="T10" s="31">
        <v>85</v>
      </c>
      <c r="U10" s="31">
        <v>80</v>
      </c>
      <c r="V10" s="31">
        <v>75</v>
      </c>
      <c r="W10" s="31">
        <v>70</v>
      </c>
      <c r="X10" s="31">
        <v>65</v>
      </c>
      <c r="Y10" s="31">
        <v>60</v>
      </c>
      <c r="Z10" s="31">
        <v>55</v>
      </c>
      <c r="AA10" s="31">
        <v>50</v>
      </c>
      <c r="AB10" s="32">
        <v>45</v>
      </c>
    </row>
    <row r="11" spans="2:28" ht="18.399999999999999" thickTop="1" x14ac:dyDescent="0.55000000000000004">
      <c r="B11" s="8"/>
      <c r="C11" s="9">
        <v>15</v>
      </c>
      <c r="D11" s="34">
        <f>0.6*$J$12/4.8</f>
        <v>0.60469608196727698</v>
      </c>
      <c r="E11" s="35">
        <f>1.3*$J$12/4.8</f>
        <v>1.3101748442624337</v>
      </c>
      <c r="F11" s="35">
        <f>1.9*$J$12/4.8</f>
        <v>1.9148709262297103</v>
      </c>
      <c r="G11" s="47">
        <f>2.6*$J$12/4.8</f>
        <v>2.6203496885248674</v>
      </c>
      <c r="H11" s="47">
        <f>3.2*$J$12/4.8</f>
        <v>3.225045770492144</v>
      </c>
      <c r="I11" s="47">
        <f>3.9*$J$12/4.8</f>
        <v>3.9305245327873006</v>
      </c>
      <c r="J11" s="36">
        <f>4.6*$J$12/4.84</f>
        <v>4.5976892182635938</v>
      </c>
      <c r="K11" s="36">
        <f>5.2*$J$12/4.8</f>
        <v>5.2406993770497348</v>
      </c>
      <c r="L11" s="49">
        <f>5.8*$J$12/4.8</f>
        <v>5.845395459017011</v>
      </c>
      <c r="M11" s="49">
        <f>6.5*$J$12/4.84</f>
        <v>6.4967347649376865</v>
      </c>
      <c r="N11" s="50">
        <f>7.1*$J$12/4.84</f>
        <v>7.0964333586242425</v>
      </c>
      <c r="P11" s="8"/>
      <c r="Q11" s="33">
        <v>15</v>
      </c>
      <c r="R11" s="34">
        <f>0.6*$J$12/4.8</f>
        <v>0.60469608196727698</v>
      </c>
      <c r="S11" s="35">
        <f>1.3*$J$12/4.8</f>
        <v>1.3101748442624337</v>
      </c>
      <c r="T11" s="35">
        <f>1.9*$J$12/4.8</f>
        <v>1.9148709262297103</v>
      </c>
      <c r="U11" s="47">
        <f>2.6*$J$12/4.8</f>
        <v>2.6203496885248674</v>
      </c>
      <c r="V11" s="47">
        <f>3.2*$J$12/4.8</f>
        <v>3.225045770492144</v>
      </c>
      <c r="W11" s="47">
        <f>3.9*$J$12/4.8</f>
        <v>3.9305245327873006</v>
      </c>
      <c r="X11" s="36">
        <f>4.6*$J$12/4.84</f>
        <v>4.5976892182635938</v>
      </c>
      <c r="Y11" s="36">
        <f>5.2*$J$12/4.8</f>
        <v>5.2406993770497348</v>
      </c>
      <c r="Z11" s="56">
        <f>5.8*$J$12/4.8</f>
        <v>5.845395459017011</v>
      </c>
      <c r="AA11" s="56">
        <f>6.5*$J$12/4.84</f>
        <v>6.4967347649376865</v>
      </c>
      <c r="AB11" s="50">
        <f>7.1*$J$12/4.84</f>
        <v>7.0964333586242425</v>
      </c>
    </row>
    <row r="12" spans="2:28" ht="18" x14ac:dyDescent="0.55000000000000004">
      <c r="B12" s="11" t="s">
        <v>1</v>
      </c>
      <c r="C12" s="12">
        <v>16</v>
      </c>
      <c r="D12" s="38">
        <f>0.7*$J$12/4.8</f>
        <v>0.70547876229515649</v>
      </c>
      <c r="E12" s="29">
        <f>1.4*$J$12/4.8</f>
        <v>1.410957524590313</v>
      </c>
      <c r="F12" s="45">
        <f>2.1*$J$12/4.8</f>
        <v>2.1164362868854698</v>
      </c>
      <c r="G12" s="45">
        <f>2.7*$J$12/4.8</f>
        <v>2.7211323688527469</v>
      </c>
      <c r="H12" s="45">
        <f>3.4*$J$12/4.8</f>
        <v>3.4266111311479031</v>
      </c>
      <c r="I12" s="45">
        <f>4.1*$J$12/4.8</f>
        <v>4.1320898934430597</v>
      </c>
      <c r="J12" s="27">
        <f>39.761*POWER(E7,-1.013)</f>
        <v>4.8375686557382158</v>
      </c>
      <c r="K12" s="14">
        <f>5.5*$J$12/4.8</f>
        <v>5.5430474180333729</v>
      </c>
      <c r="L12" s="51">
        <f>6.2*$J$12/4.84</f>
        <v>6.1968854680944085</v>
      </c>
      <c r="M12" s="51">
        <f>6.9*$J$12/4.84</f>
        <v>6.8965338273953911</v>
      </c>
      <c r="N12" s="52">
        <f>7.3*$J$12/4.84</f>
        <v>7.2963328898530939</v>
      </c>
      <c r="P12" s="11" t="s">
        <v>1</v>
      </c>
      <c r="Q12" s="37">
        <v>16</v>
      </c>
      <c r="R12" s="38">
        <f>0.7*$J$12/4.8</f>
        <v>0.70547876229515649</v>
      </c>
      <c r="S12" s="29">
        <f>1.4*$J$12/4.8</f>
        <v>1.410957524590313</v>
      </c>
      <c r="T12" s="45">
        <f>2.1*$J$12/4.8</f>
        <v>2.1164362868854698</v>
      </c>
      <c r="U12" s="45">
        <f>2.7*$J$12/4.8</f>
        <v>2.7211323688527469</v>
      </c>
      <c r="V12" s="45">
        <f>3.4*$J$12/4.8</f>
        <v>3.4266111311479031</v>
      </c>
      <c r="W12" s="45">
        <f>4.1*$J$12/4.8</f>
        <v>4.1320898934430597</v>
      </c>
      <c r="X12" s="27">
        <f>39.761*POWER(S3,-1.013)</f>
        <v>4.8375686557382158</v>
      </c>
      <c r="Y12" s="14">
        <f>5.5*$J$12/4.8</f>
        <v>5.5430474180333729</v>
      </c>
      <c r="Z12" s="15">
        <f>6.2*$J$12/4.84</f>
        <v>6.1968854680944085</v>
      </c>
      <c r="AA12" s="15">
        <f>6.9*$J$12/4.84</f>
        <v>6.8965338273953911</v>
      </c>
      <c r="AB12" s="52">
        <f>7.3*$J$12/4.84</f>
        <v>7.2963328898530939</v>
      </c>
    </row>
    <row r="13" spans="2:28" ht="18" x14ac:dyDescent="0.55000000000000004">
      <c r="B13" s="11" t="s">
        <v>2</v>
      </c>
      <c r="C13" s="12">
        <v>17</v>
      </c>
      <c r="D13" s="38">
        <f t="shared" ref="D13" si="0">0.7*$J$12/4.8</f>
        <v>0.70547876229515649</v>
      </c>
      <c r="E13" s="29">
        <f t="shared" ref="E13:E14" si="1">1.5*$J$12/4.8</f>
        <v>1.5117402049181925</v>
      </c>
      <c r="F13" s="45">
        <f>2.2*$J$12/4.8</f>
        <v>2.2172189672133493</v>
      </c>
      <c r="G13" s="45">
        <f>2.9*$J$12/4.8</f>
        <v>2.9226977295085055</v>
      </c>
      <c r="H13" s="45">
        <f>3.6*$J$12/4.8</f>
        <v>3.6281764918036625</v>
      </c>
      <c r="I13" s="45">
        <f>4.4*$J$12/4.8</f>
        <v>4.4344379344266986</v>
      </c>
      <c r="J13" s="14">
        <f>5.1*$J$12/4.84</f>
        <v>5.0974380463357232</v>
      </c>
      <c r="K13" s="51">
        <f>5.8*$J$12/4.8</f>
        <v>5.845395459017011</v>
      </c>
      <c r="L13" s="51">
        <f>6.5*$J$12/4.84</f>
        <v>6.4967347649376865</v>
      </c>
      <c r="M13" s="51">
        <f>7.3*$J$12/4.84</f>
        <v>7.2963328898530939</v>
      </c>
      <c r="N13" s="52">
        <f>8*$J$12/4.84</f>
        <v>7.9959812491540756</v>
      </c>
      <c r="P13" s="11" t="s">
        <v>2</v>
      </c>
      <c r="Q13" s="37">
        <v>17</v>
      </c>
      <c r="R13" s="38">
        <f t="shared" ref="R13" si="2">0.7*$J$12/4.8</f>
        <v>0.70547876229515649</v>
      </c>
      <c r="S13" s="29">
        <f t="shared" ref="S13:S14" si="3">1.5*$J$12/4.8</f>
        <v>1.5117402049181925</v>
      </c>
      <c r="T13" s="45">
        <f>2.2*$J$12/4.8</f>
        <v>2.2172189672133493</v>
      </c>
      <c r="U13" s="45">
        <f>2.9*$J$12/4.8</f>
        <v>2.9226977295085055</v>
      </c>
      <c r="V13" s="45">
        <f>3.6*$J$12/4.8</f>
        <v>3.6281764918036625</v>
      </c>
      <c r="W13" s="45">
        <f>4.4*$J$12/4.8</f>
        <v>4.4344379344266986</v>
      </c>
      <c r="X13" s="14">
        <f>5.1*$J$12/4.84</f>
        <v>5.0974380463357232</v>
      </c>
      <c r="Y13" s="15">
        <f>5.8*$J$12/4.8</f>
        <v>5.845395459017011</v>
      </c>
      <c r="Z13" s="15">
        <f>6.5*$J$12/4.84</f>
        <v>6.4967347649376865</v>
      </c>
      <c r="AA13" s="51">
        <f>7.3*$J$12/4.84</f>
        <v>7.2963328898530939</v>
      </c>
      <c r="AB13" s="52">
        <f>8*$J$12/4.84</f>
        <v>7.9959812491540756</v>
      </c>
    </row>
    <row r="14" spans="2:28" ht="18" x14ac:dyDescent="0.55000000000000004">
      <c r="B14" s="11" t="s">
        <v>3</v>
      </c>
      <c r="C14" s="12">
        <v>18</v>
      </c>
      <c r="D14" s="38">
        <f>0.8*$J$12/4.8</f>
        <v>0.80626144262303601</v>
      </c>
      <c r="E14" s="29">
        <f t="shared" si="1"/>
        <v>1.5117402049181925</v>
      </c>
      <c r="F14" s="45">
        <f>2.3*$J$12/4.8</f>
        <v>2.3180016475412284</v>
      </c>
      <c r="G14" s="45">
        <f>3.1*$J$12/4.8</f>
        <v>3.1242630901642645</v>
      </c>
      <c r="H14" s="45">
        <f>3.9*$J$12/4.8</f>
        <v>3.9305245327873006</v>
      </c>
      <c r="I14" s="14">
        <f>4.6*$J$12/4.84</f>
        <v>4.5976892182635938</v>
      </c>
      <c r="J14" s="14">
        <f>5.4*$J$12/4.84</f>
        <v>5.3972873431790021</v>
      </c>
      <c r="K14" s="51">
        <f>6.2*$J$12/4.84</f>
        <v>6.1968854680944085</v>
      </c>
      <c r="L14" s="51">
        <f>6.8*$J$12/4.8</f>
        <v>6.8532222622958061</v>
      </c>
      <c r="M14" s="51">
        <f>7.7*$J$12/4.84</f>
        <v>7.6961319523107985</v>
      </c>
      <c r="N14" s="52">
        <f>8.5*$J$12/4.84</f>
        <v>8.4957300772262059</v>
      </c>
      <c r="P14" s="11" t="s">
        <v>3</v>
      </c>
      <c r="Q14" s="37">
        <v>18</v>
      </c>
      <c r="R14" s="38">
        <f>0.8*$J$12/4.8</f>
        <v>0.80626144262303601</v>
      </c>
      <c r="S14" s="29">
        <f t="shared" si="3"/>
        <v>1.5117402049181925</v>
      </c>
      <c r="T14" s="45">
        <f>2.3*$J$12/4.8</f>
        <v>2.3180016475412284</v>
      </c>
      <c r="U14" s="45">
        <f>3.1*$J$12/4.8</f>
        <v>3.1242630901642645</v>
      </c>
      <c r="V14" s="45">
        <f>3.9*$J$12/4.8</f>
        <v>3.9305245327873006</v>
      </c>
      <c r="W14" s="14">
        <f>4.6*$J$12/4.84</f>
        <v>4.5976892182635938</v>
      </c>
      <c r="X14" s="14">
        <f>5.4*$J$12/4.84</f>
        <v>5.3972873431790021</v>
      </c>
      <c r="Y14" s="15">
        <f>6.2*$J$12/4.84</f>
        <v>6.1968854680944085</v>
      </c>
      <c r="Z14" s="15">
        <f>6.8*$J$12/4.8</f>
        <v>6.8532222622958061</v>
      </c>
      <c r="AA14" s="51">
        <f>7.7*$J$12/4.84</f>
        <v>7.6961319523107985</v>
      </c>
      <c r="AB14" s="52">
        <f>8.5*$J$12/4.84</f>
        <v>8.4957300772262059</v>
      </c>
    </row>
    <row r="15" spans="2:28" ht="18" x14ac:dyDescent="0.55000000000000004">
      <c r="B15" s="11" t="s">
        <v>4</v>
      </c>
      <c r="C15" s="12">
        <v>19</v>
      </c>
      <c r="D15" s="38">
        <f t="shared" ref="D15" si="4">0.8*$J$12/4.8</f>
        <v>0.80626144262303601</v>
      </c>
      <c r="E15" s="29">
        <f>1.6*$J$12/4.8</f>
        <v>1.612522885246072</v>
      </c>
      <c r="F15" s="45">
        <f>2.3*$J$12/4.8</f>
        <v>2.3180016475412284</v>
      </c>
      <c r="G15" s="45">
        <f>3.3*$J$12/4.8</f>
        <v>3.3258284508200231</v>
      </c>
      <c r="H15" s="45">
        <f>4.1*$J$12/4.8</f>
        <v>4.1320898934430597</v>
      </c>
      <c r="I15" s="14">
        <f>4.9*$J$12/4.8</f>
        <v>4.9383513360660958</v>
      </c>
      <c r="J15" s="51">
        <f>5.7*$J$12/4.84</f>
        <v>5.6971366400222792</v>
      </c>
      <c r="K15" s="51">
        <f>6.5*$J$12/4.84</f>
        <v>6.4967347649376865</v>
      </c>
      <c r="L15" s="51">
        <f>7.3*$J$12/4.84</f>
        <v>7.2963328898530939</v>
      </c>
      <c r="M15" s="51">
        <f>8.2*$J$12/4.84</f>
        <v>8.195880780382927</v>
      </c>
      <c r="N15" s="52">
        <f>9*$J$12/4.84</f>
        <v>8.9954789052983362</v>
      </c>
      <c r="P15" s="11" t="s">
        <v>4</v>
      </c>
      <c r="Q15" s="37">
        <v>19</v>
      </c>
      <c r="R15" s="38">
        <f t="shared" ref="R15" si="5">0.8*$J$12/4.8</f>
        <v>0.80626144262303601</v>
      </c>
      <c r="S15" s="29">
        <f>1.6*$J$12/4.8</f>
        <v>1.612522885246072</v>
      </c>
      <c r="T15" s="45">
        <f>2.3*$J$12/4.8</f>
        <v>2.3180016475412284</v>
      </c>
      <c r="U15" s="45">
        <f>3.3*$J$12/4.8</f>
        <v>3.3258284508200231</v>
      </c>
      <c r="V15" s="45">
        <f>4.1*$J$12/4.8</f>
        <v>4.1320898934430597</v>
      </c>
      <c r="W15" s="14">
        <f>4.9*$J$12/4.8</f>
        <v>4.9383513360660958</v>
      </c>
      <c r="X15" s="15">
        <f>5.7*$J$12/4.84</f>
        <v>5.6971366400222792</v>
      </c>
      <c r="Y15" s="15">
        <f>6.5*$J$12/4.84</f>
        <v>6.4967347649376865</v>
      </c>
      <c r="Z15" s="51">
        <f>7.3*$J$12/4.84</f>
        <v>7.2963328898530939</v>
      </c>
      <c r="AA15" s="51">
        <f>8.2*$J$12/4.84</f>
        <v>8.195880780382927</v>
      </c>
      <c r="AB15" s="52">
        <f>9*$J$12/4.84</f>
        <v>8.9954789052983362</v>
      </c>
    </row>
    <row r="16" spans="2:28" ht="18" x14ac:dyDescent="0.55000000000000004">
      <c r="B16" s="11" t="s">
        <v>2</v>
      </c>
      <c r="C16" s="12">
        <v>20</v>
      </c>
      <c r="D16" s="38">
        <f>0.9*$J$12/4.8</f>
        <v>0.90704412295091563</v>
      </c>
      <c r="E16" s="29">
        <f>1.7*$J$12/4.8</f>
        <v>1.7133055655739515</v>
      </c>
      <c r="F16" s="45">
        <f>2.4*$J$12/4.8</f>
        <v>2.4187843278691079</v>
      </c>
      <c r="G16" s="45">
        <f>3.5*$J$12/4.8</f>
        <v>3.5273938114757826</v>
      </c>
      <c r="H16" s="45">
        <f>4.3*$J$12/4.8</f>
        <v>4.3336552540988187</v>
      </c>
      <c r="I16" s="14">
        <f>5.2*$J$12/4.8</f>
        <v>5.2406993770497348</v>
      </c>
      <c r="J16" s="51">
        <f>6.1*$J$12/4.8</f>
        <v>6.1477435000006491</v>
      </c>
      <c r="K16" s="51">
        <f>6.8*$J$12/4.8</f>
        <v>6.8532222622958061</v>
      </c>
      <c r="L16" s="51">
        <f>7.8*$J$12/4.84</f>
        <v>7.7960817179252242</v>
      </c>
      <c r="M16" s="51">
        <f>8.7*$J$12/4.84</f>
        <v>8.6956296084550573</v>
      </c>
      <c r="N16" s="52">
        <f>9.5*$J$12/4.84</f>
        <v>9.4952277333704647</v>
      </c>
      <c r="P16" s="11" t="s">
        <v>2</v>
      </c>
      <c r="Q16" s="37">
        <v>20</v>
      </c>
      <c r="R16" s="38">
        <f>0.9*$J$12/4.8</f>
        <v>0.90704412295091563</v>
      </c>
      <c r="S16" s="29">
        <f>1.7*$J$12/4.8</f>
        <v>1.7133055655739515</v>
      </c>
      <c r="T16" s="45">
        <f>2.4*$J$12/4.8</f>
        <v>2.4187843278691079</v>
      </c>
      <c r="U16" s="45">
        <f>3.5*$J$12/4.8</f>
        <v>3.5273938114757826</v>
      </c>
      <c r="V16" s="45">
        <f>4.3*$J$12/4.8</f>
        <v>4.3336552540988187</v>
      </c>
      <c r="W16" s="14">
        <f>5.2*$J$12/4.8</f>
        <v>5.2406993770497348</v>
      </c>
      <c r="X16" s="15">
        <f>6.1*$J$12/4.8</f>
        <v>6.1477435000006491</v>
      </c>
      <c r="Y16" s="15">
        <f>6.8*$J$12/4.8</f>
        <v>6.8532222622958061</v>
      </c>
      <c r="Z16" s="51">
        <f>7.8*$J$12/4.84</f>
        <v>7.7960817179252242</v>
      </c>
      <c r="AA16" s="51">
        <f>8.7*$J$12/4.84</f>
        <v>8.6956296084550573</v>
      </c>
      <c r="AB16" s="52">
        <f>9.5*$J$12/4.84</f>
        <v>9.4952277333704647</v>
      </c>
    </row>
    <row r="17" spans="2:28" ht="18" x14ac:dyDescent="0.55000000000000004">
      <c r="B17" s="11" t="s">
        <v>5</v>
      </c>
      <c r="C17" s="12">
        <v>21</v>
      </c>
      <c r="D17" s="38">
        <f t="shared" ref="D17" si="6">0.9*$J$12/4.8</f>
        <v>0.90704412295091563</v>
      </c>
      <c r="E17" s="29">
        <f>1.8*$J$12/4.8</f>
        <v>1.8140882459018313</v>
      </c>
      <c r="F17" s="45">
        <f>2.6*$J$12/4.8</f>
        <v>2.6203496885248674</v>
      </c>
      <c r="G17" s="45">
        <f>3.7*$J$12/4.8</f>
        <v>3.7289591721315416</v>
      </c>
      <c r="H17" s="14">
        <f>4.6*$J$12/4.84</f>
        <v>4.5976892182635938</v>
      </c>
      <c r="I17" s="14">
        <f>5.5*$J$12/4.8</f>
        <v>5.5430474180333729</v>
      </c>
      <c r="J17" s="51">
        <f>6.4*$J$12/4.8</f>
        <v>6.4500915409842881</v>
      </c>
      <c r="K17" s="51">
        <f>7.4*$J$12/4.84</f>
        <v>7.3962826554675205</v>
      </c>
      <c r="L17" s="51">
        <f>8.3*$J$12/4.84</f>
        <v>8.2958305459973545</v>
      </c>
      <c r="M17" s="51">
        <f>9.2*$J$12/4.84</f>
        <v>9.1953784365271876</v>
      </c>
      <c r="N17" s="52">
        <f>10.1*$J$12/4.84</f>
        <v>10.094926327057021</v>
      </c>
      <c r="P17" s="11" t="s">
        <v>5</v>
      </c>
      <c r="Q17" s="37">
        <v>21</v>
      </c>
      <c r="R17" s="38">
        <f t="shared" ref="R17" si="7">0.9*$J$12/4.8</f>
        <v>0.90704412295091563</v>
      </c>
      <c r="S17" s="29">
        <f>1.8*$J$12/4.8</f>
        <v>1.8140882459018313</v>
      </c>
      <c r="T17" s="45">
        <f>2.6*$J$12/4.8</f>
        <v>2.6203496885248674</v>
      </c>
      <c r="U17" s="45">
        <f>3.7*$J$12/4.8</f>
        <v>3.7289591721315416</v>
      </c>
      <c r="V17" s="14">
        <f>4.6*$J$12/4.84</f>
        <v>4.5976892182635938</v>
      </c>
      <c r="W17" s="14">
        <f>5.5*$J$12/4.8</f>
        <v>5.5430474180333729</v>
      </c>
      <c r="X17" s="15">
        <f>6.4*$J$12/4.8</f>
        <v>6.4500915409842881</v>
      </c>
      <c r="Y17" s="51">
        <f>7.4*$J$12/4.84</f>
        <v>7.3962826554675205</v>
      </c>
      <c r="Z17" s="51">
        <f>8.3*$J$12/4.84</f>
        <v>8.2958305459973545</v>
      </c>
      <c r="AA17" s="51">
        <f>9.2*$J$12/4.84</f>
        <v>9.1953784365271876</v>
      </c>
      <c r="AB17" s="52">
        <f>10.1*$J$12/4.84</f>
        <v>10.094926327057021</v>
      </c>
    </row>
    <row r="18" spans="2:28" ht="18" x14ac:dyDescent="0.55000000000000004">
      <c r="B18" s="11" t="s">
        <v>6</v>
      </c>
      <c r="C18" s="12">
        <v>22</v>
      </c>
      <c r="D18" s="38">
        <f>1*$J$12/4.8</f>
        <v>1.0078268032787949</v>
      </c>
      <c r="E18" s="29">
        <f>2*$J$12/4.8</f>
        <v>2.0156536065575898</v>
      </c>
      <c r="F18" s="45">
        <f>2.9*$J$12/4.8</f>
        <v>2.9226977295085055</v>
      </c>
      <c r="G18" s="45">
        <f>3.9*$J$12/4.8</f>
        <v>3.9305245327873006</v>
      </c>
      <c r="H18" s="14">
        <f>4.9*$J$12/4.8</f>
        <v>4.9383513360660958</v>
      </c>
      <c r="I18" s="51">
        <f>5.9*$J$12/4.84</f>
        <v>5.8970361712511314</v>
      </c>
      <c r="J18" s="51">
        <f>6.8*$J$12/4.8</f>
        <v>6.8532222622958061</v>
      </c>
      <c r="K18" s="51">
        <f>7.8*$J$12/4.84</f>
        <v>7.7960817179252242</v>
      </c>
      <c r="L18" s="51">
        <f>8.8*$J$12/4.84</f>
        <v>8.7955793740694848</v>
      </c>
      <c r="M18" s="51">
        <f>9.8*$J$12/4.84</f>
        <v>9.7950770302137435</v>
      </c>
      <c r="N18" s="52">
        <f>10.7*$J$12/4.84</f>
        <v>10.694624920743577</v>
      </c>
      <c r="P18" s="11" t="s">
        <v>6</v>
      </c>
      <c r="Q18" s="37">
        <v>22</v>
      </c>
      <c r="R18" s="38">
        <f>1*$J$12/4.8</f>
        <v>1.0078268032787949</v>
      </c>
      <c r="S18" s="29">
        <f>2*$J$12/4.8</f>
        <v>2.0156536065575898</v>
      </c>
      <c r="T18" s="45">
        <f>2.9*$J$12/4.8</f>
        <v>2.9226977295085055</v>
      </c>
      <c r="U18" s="45">
        <f>3.9*$J$12/4.8</f>
        <v>3.9305245327873006</v>
      </c>
      <c r="V18" s="14">
        <f>4.9*$J$12/4.8</f>
        <v>4.9383513360660958</v>
      </c>
      <c r="W18" s="15">
        <f>5.9*$J$12/4.84</f>
        <v>5.8970361712511314</v>
      </c>
      <c r="X18" s="15">
        <f>6.8*$J$12/4.8</f>
        <v>6.8532222622958061</v>
      </c>
      <c r="Y18" s="51">
        <f>7.8*$J$12/4.84</f>
        <v>7.7960817179252242</v>
      </c>
      <c r="Z18" s="51">
        <f>8.8*$J$12/4.84</f>
        <v>8.7955793740694848</v>
      </c>
      <c r="AA18" s="51">
        <f>9.8*$J$12/4.84</f>
        <v>9.7950770302137435</v>
      </c>
      <c r="AB18" s="52">
        <f>10.7*$J$12/4.84</f>
        <v>10.694624920743577</v>
      </c>
    </row>
    <row r="19" spans="2:28" ht="18" x14ac:dyDescent="0.55000000000000004">
      <c r="B19" s="11" t="s">
        <v>1</v>
      </c>
      <c r="C19" s="12">
        <v>23</v>
      </c>
      <c r="D19" s="38">
        <f>1.1*$J$12/4.8</f>
        <v>1.1086094836066747</v>
      </c>
      <c r="E19" s="29">
        <f t="shared" ref="E19" si="8">2*$J$12/4.8</f>
        <v>2.0156536065575898</v>
      </c>
      <c r="F19" s="45">
        <f>3.1*$J$12/4.8</f>
        <v>3.1242630901642645</v>
      </c>
      <c r="G19" s="14">
        <f>4.1*$J$12/4.8</f>
        <v>4.1320898934430597</v>
      </c>
      <c r="H19" s="14">
        <f>5.2*$J$12/4.8</f>
        <v>5.2406993770497348</v>
      </c>
      <c r="I19" s="51">
        <f>6.2*$J$12/4.84</f>
        <v>6.1968854680944085</v>
      </c>
      <c r="J19" s="51">
        <f>7.2*$J$12/4.84</f>
        <v>7.1963831242386691</v>
      </c>
      <c r="K19" s="51">
        <f>8.2*$J$12/4.84</f>
        <v>8.195880780382927</v>
      </c>
      <c r="L19" s="51">
        <f>9.3*$J$12/4.84</f>
        <v>9.2953282021416133</v>
      </c>
      <c r="M19" s="51">
        <f>10.3*$J$12/4.84</f>
        <v>10.294825858285874</v>
      </c>
      <c r="N19" s="52">
        <f>11.3*$J$12/4.84</f>
        <v>11.294323514430133</v>
      </c>
      <c r="P19" s="11" t="s">
        <v>1</v>
      </c>
      <c r="Q19" s="37">
        <v>23</v>
      </c>
      <c r="R19" s="38">
        <f>1.1*$J$12/4.8</f>
        <v>1.1086094836066747</v>
      </c>
      <c r="S19" s="29">
        <f t="shared" ref="S19" si="9">2*$J$12/4.8</f>
        <v>2.0156536065575898</v>
      </c>
      <c r="T19" s="45">
        <f>3.1*$J$12/4.8</f>
        <v>3.1242630901642645</v>
      </c>
      <c r="U19" s="14">
        <f>4.1*$J$12/4.8</f>
        <v>4.1320898934430597</v>
      </c>
      <c r="V19" s="14">
        <f>5.2*$J$12/4.8</f>
        <v>5.2406993770497348</v>
      </c>
      <c r="W19" s="15">
        <f>6.2*$J$12/4.84</f>
        <v>6.1968854680944085</v>
      </c>
      <c r="X19" s="51">
        <f>7.2*$J$12/4.84</f>
        <v>7.1963831242386691</v>
      </c>
      <c r="Y19" s="51">
        <f>8.2*$J$12/4.84</f>
        <v>8.195880780382927</v>
      </c>
      <c r="Z19" s="51">
        <f>9.3*$J$12/4.84</f>
        <v>9.2953282021416133</v>
      </c>
      <c r="AA19" s="51">
        <f>10.3*$J$12/4.84</f>
        <v>10.294825858285874</v>
      </c>
      <c r="AB19" s="52">
        <f>11.3*$J$12/4.84</f>
        <v>11.294323514430133</v>
      </c>
    </row>
    <row r="20" spans="2:28" ht="18" x14ac:dyDescent="0.55000000000000004">
      <c r="B20" s="11" t="s">
        <v>7</v>
      </c>
      <c r="C20" s="12">
        <v>24</v>
      </c>
      <c r="D20" s="38">
        <f t="shared" ref="D20" si="10">1.1*$J$12/4.8</f>
        <v>1.1086094836066747</v>
      </c>
      <c r="E20" s="45">
        <f>2.2*$J$12/4.8</f>
        <v>2.2172189672133493</v>
      </c>
      <c r="F20" s="45">
        <f>3.3*$J$12/4.8</f>
        <v>3.3258284508200231</v>
      </c>
      <c r="G20" s="14">
        <f>4.4*$J$12/4.8</f>
        <v>4.4344379344266986</v>
      </c>
      <c r="H20" s="14">
        <f>5.5*$J$12/4.8</f>
        <v>5.5430474180333729</v>
      </c>
      <c r="I20" s="51">
        <f>6.5*$J$12/4.84</f>
        <v>6.4967347649376865</v>
      </c>
      <c r="J20" s="51">
        <f>7.6*$J$12/4.84</f>
        <v>7.5961821866963719</v>
      </c>
      <c r="K20" s="51">
        <f>8.7*$J$12/4.84</f>
        <v>8.6956296084550573</v>
      </c>
      <c r="L20" s="51">
        <f>9.8*$J$12/4.84</f>
        <v>9.7950770302137435</v>
      </c>
      <c r="M20" s="51">
        <f>10.9*$J$12/4.84</f>
        <v>10.894524451972428</v>
      </c>
      <c r="N20" s="52">
        <f>12*$J$12/4.84</f>
        <v>11.993971873731113</v>
      </c>
      <c r="P20" s="11" t="s">
        <v>7</v>
      </c>
      <c r="Q20" s="37">
        <v>24</v>
      </c>
      <c r="R20" s="38">
        <f t="shared" ref="R20" si="11">1.1*$J$12/4.8</f>
        <v>1.1086094836066747</v>
      </c>
      <c r="S20" s="45">
        <f>2.2*$J$12/4.8</f>
        <v>2.2172189672133493</v>
      </c>
      <c r="T20" s="45">
        <f>3.3*$J$12/4.8</f>
        <v>3.3258284508200231</v>
      </c>
      <c r="U20" s="14">
        <f>4.4*$J$12/4.8</f>
        <v>4.4344379344266986</v>
      </c>
      <c r="V20" s="14">
        <f>5.5*$J$12/4.8</f>
        <v>5.5430474180333729</v>
      </c>
      <c r="W20" s="15">
        <f>6.5*$J$12/4.84</f>
        <v>6.4967347649376865</v>
      </c>
      <c r="X20" s="51">
        <f>7.6*$J$12/4.84</f>
        <v>7.5961821866963719</v>
      </c>
      <c r="Y20" s="51">
        <f>8.7*$J$12/4.84</f>
        <v>8.6956296084550573</v>
      </c>
      <c r="Z20" s="51">
        <f>9.8*$J$12/4.84</f>
        <v>9.7950770302137435</v>
      </c>
      <c r="AA20" s="51">
        <f>10.9*$J$12/4.84</f>
        <v>10.894524451972428</v>
      </c>
      <c r="AB20" s="52">
        <f>12*$J$12/4.84</f>
        <v>11.993971873731113</v>
      </c>
    </row>
    <row r="21" spans="2:28" ht="18" x14ac:dyDescent="0.55000000000000004">
      <c r="B21" s="11" t="s">
        <v>5</v>
      </c>
      <c r="C21" s="12">
        <v>25</v>
      </c>
      <c r="D21" s="38">
        <f>1.2*$J$12/4.8</f>
        <v>1.209392163934554</v>
      </c>
      <c r="E21" s="45">
        <f>2.3*$J$12/4.8</f>
        <v>2.3180016475412284</v>
      </c>
      <c r="F21" s="45">
        <f>3.5*$J$12/4.8</f>
        <v>3.5273938114757826</v>
      </c>
      <c r="G21" s="14">
        <f>4.6*$J$12/4.8</f>
        <v>4.6360032950824568</v>
      </c>
      <c r="H21" s="51">
        <f>5.8*$J$12/4.8</f>
        <v>5.845395459017011</v>
      </c>
      <c r="I21" s="51">
        <f>6.9*$J$12/4.84</f>
        <v>6.8965338273953911</v>
      </c>
      <c r="J21" s="51">
        <f>8.1*$J$12/4.84</f>
        <v>8.0959310147685013</v>
      </c>
      <c r="K21" s="51">
        <f>9.2*$J$12/4.84</f>
        <v>9.1953784365271876</v>
      </c>
      <c r="L21" s="51">
        <f>10.4*$J$12/4.84</f>
        <v>10.3947756239003</v>
      </c>
      <c r="M21" s="51">
        <f>11.6*$J$12/4.84</f>
        <v>11.59417281127341</v>
      </c>
      <c r="N21" s="52">
        <f>12.7*$J$12/4.84</f>
        <v>12.693620233032096</v>
      </c>
      <c r="P21" s="11" t="s">
        <v>5</v>
      </c>
      <c r="Q21" s="37">
        <v>25</v>
      </c>
      <c r="R21" s="38">
        <f>1.2*$J$12/4.8</f>
        <v>1.209392163934554</v>
      </c>
      <c r="S21" s="45">
        <f>2.3*$J$12/4.8</f>
        <v>2.3180016475412284</v>
      </c>
      <c r="T21" s="45">
        <f>3.5*$J$12/4.8</f>
        <v>3.5273938114757826</v>
      </c>
      <c r="U21" s="14">
        <f>4.6*$J$12/4.8</f>
        <v>4.6360032950824568</v>
      </c>
      <c r="V21" s="15">
        <f>5.8*$J$12/4.8</f>
        <v>5.845395459017011</v>
      </c>
      <c r="W21" s="15">
        <f>6.9*$J$12/4.84</f>
        <v>6.8965338273953911</v>
      </c>
      <c r="X21" s="51">
        <f>8.1*$J$12/4.84</f>
        <v>8.0959310147685013</v>
      </c>
      <c r="Y21" s="51">
        <f>9.2*$J$12/4.84</f>
        <v>9.1953784365271876</v>
      </c>
      <c r="Z21" s="51">
        <f>10.4*$J$12/4.84</f>
        <v>10.3947756239003</v>
      </c>
      <c r="AA21" s="51">
        <f>11.6*$J$12/4.84</f>
        <v>11.59417281127341</v>
      </c>
      <c r="AB21" s="52">
        <f>12.7*$J$12/4.84</f>
        <v>12.693620233032096</v>
      </c>
    </row>
    <row r="22" spans="2:28" ht="18" x14ac:dyDescent="0.55000000000000004">
      <c r="B22" s="11" t="s">
        <v>2</v>
      </c>
      <c r="C22" s="12">
        <v>26</v>
      </c>
      <c r="D22" s="38">
        <f t="shared" ref="D22" si="12">1.2*$J$12/4.8</f>
        <v>1.209392163934554</v>
      </c>
      <c r="E22" s="45">
        <f>2.4*$J$12/4.8</f>
        <v>2.4187843278691079</v>
      </c>
      <c r="F22" s="45">
        <f>3.7*$J$12/4.8</f>
        <v>3.7289591721315416</v>
      </c>
      <c r="G22" s="14">
        <f>4.9*$J$12/4.8</f>
        <v>4.9383513360660958</v>
      </c>
      <c r="H22" s="51">
        <f>6.1*$J$12/4.8</f>
        <v>6.1477435000006491</v>
      </c>
      <c r="I22" s="51">
        <f>7.3*$J$12/4.84</f>
        <v>7.2963328898530939</v>
      </c>
      <c r="J22" s="51">
        <f>8.5*$J$12/4.84</f>
        <v>8.4957300772262059</v>
      </c>
      <c r="K22" s="51">
        <f>9.8*$J$12/4.84</f>
        <v>9.7950770302137435</v>
      </c>
      <c r="L22" s="51">
        <f>11*$J$12/4.84</f>
        <v>10.994474217586856</v>
      </c>
      <c r="M22" s="51">
        <f>12.2*$J$12/4.84</f>
        <v>12.193871404959964</v>
      </c>
      <c r="N22" s="39">
        <f>13.4*$J$12/4.84</f>
        <v>13.393268592333078</v>
      </c>
      <c r="P22" s="11" t="s">
        <v>2</v>
      </c>
      <c r="Q22" s="37">
        <v>26</v>
      </c>
      <c r="R22" s="38">
        <f t="shared" ref="R22" si="13">1.2*$J$12/4.8</f>
        <v>1.209392163934554</v>
      </c>
      <c r="S22" s="45">
        <f>2.4*$J$12/4.8</f>
        <v>2.4187843278691079</v>
      </c>
      <c r="T22" s="45">
        <f>3.7*$J$12/4.8</f>
        <v>3.7289591721315416</v>
      </c>
      <c r="U22" s="14">
        <f>4.9*$J$12/4.8</f>
        <v>4.9383513360660958</v>
      </c>
      <c r="V22" s="15">
        <f>6.1*$J$12/4.8</f>
        <v>6.1477435000006491</v>
      </c>
      <c r="W22" s="51">
        <f>7.3*$J$12/4.84</f>
        <v>7.2963328898530939</v>
      </c>
      <c r="X22" s="51">
        <f>8.5*$J$12/4.84</f>
        <v>8.4957300772262059</v>
      </c>
      <c r="Y22" s="51">
        <f>9.8*$J$12/4.84</f>
        <v>9.7950770302137435</v>
      </c>
      <c r="Z22" s="51">
        <f>11*$J$12/4.84</f>
        <v>10.994474217586856</v>
      </c>
      <c r="AA22" s="51">
        <f>12.2*$J$12/4.84</f>
        <v>12.193871404959964</v>
      </c>
      <c r="AB22" s="39">
        <f>13.4*$J$12/4.84</f>
        <v>13.393268592333078</v>
      </c>
    </row>
    <row r="23" spans="2:28" ht="18" x14ac:dyDescent="0.55000000000000004">
      <c r="B23" s="17"/>
      <c r="C23" s="12">
        <v>27</v>
      </c>
      <c r="D23" s="38">
        <f>1.3*$J$12/4.8</f>
        <v>1.3101748442624337</v>
      </c>
      <c r="E23" s="45">
        <f>2.6*$J$12/4.8</f>
        <v>2.6203496885248674</v>
      </c>
      <c r="F23" s="45">
        <f>3.9*$J$12/4.8</f>
        <v>3.9305245327873006</v>
      </c>
      <c r="G23" s="14">
        <f>5.2*$J$12/4.8</f>
        <v>5.2406993770497348</v>
      </c>
      <c r="H23" s="51">
        <f>6.4*$J$12/4.8</f>
        <v>6.4500915409842881</v>
      </c>
      <c r="I23" s="51">
        <f>7.7*$J$12/4.84</f>
        <v>7.6961319523107985</v>
      </c>
      <c r="J23" s="51">
        <f>9*$J$12/4.84</f>
        <v>8.9954789052983362</v>
      </c>
      <c r="K23" s="51">
        <f>10.3*$J$12/4.84</f>
        <v>10.294825858285874</v>
      </c>
      <c r="L23" s="51">
        <f>11.6*$J$12/4.84</f>
        <v>11.59417281127341</v>
      </c>
      <c r="M23" s="51">
        <f>12.9*$J$12/4.84</f>
        <v>12.893519764260947</v>
      </c>
      <c r="N23" s="39">
        <f>14.2*$J$12/4.84</f>
        <v>14.192866717248485</v>
      </c>
      <c r="P23" s="17"/>
      <c r="Q23" s="37">
        <v>27</v>
      </c>
      <c r="R23" s="38">
        <f>1.3*$J$12/4.8</f>
        <v>1.3101748442624337</v>
      </c>
      <c r="S23" s="45">
        <f>2.6*$J$12/4.8</f>
        <v>2.6203496885248674</v>
      </c>
      <c r="T23" s="45">
        <f>3.9*$J$12/4.8</f>
        <v>3.9305245327873006</v>
      </c>
      <c r="U23" s="14">
        <f>5.2*$J$12/4.8</f>
        <v>5.2406993770497348</v>
      </c>
      <c r="V23" s="15">
        <f>6.4*$J$12/4.8</f>
        <v>6.4500915409842881</v>
      </c>
      <c r="W23" s="51">
        <f>7.7*$J$12/4.84</f>
        <v>7.6961319523107985</v>
      </c>
      <c r="X23" s="51">
        <f>9*$J$12/4.84</f>
        <v>8.9954789052983362</v>
      </c>
      <c r="Y23" s="51">
        <f>10.3*$J$12/4.84</f>
        <v>10.294825858285874</v>
      </c>
      <c r="Z23" s="51">
        <f>11.6*$J$12/4.84</f>
        <v>11.59417281127341</v>
      </c>
      <c r="AA23" s="51">
        <f>12.9*$J$12/4.84</f>
        <v>12.893519764260947</v>
      </c>
      <c r="AB23" s="39">
        <f>14.2*$J$12/4.84</f>
        <v>14.192866717248485</v>
      </c>
    </row>
    <row r="24" spans="2:28" ht="18" x14ac:dyDescent="0.55000000000000004">
      <c r="B24" s="17"/>
      <c r="C24" s="12">
        <v>28</v>
      </c>
      <c r="D24" s="38">
        <f>1.4*$J$12/4.8</f>
        <v>1.410957524590313</v>
      </c>
      <c r="E24" s="45">
        <f>2.7*$J$12/4.8</f>
        <v>2.7211323688527469</v>
      </c>
      <c r="F24" s="14">
        <f>4.1*$J$12/4.8</f>
        <v>4.1320898934430597</v>
      </c>
      <c r="G24" s="14">
        <f>5.5*$J$12/4.8</f>
        <v>5.5430474180333729</v>
      </c>
      <c r="H24" s="51">
        <f>6.8*$J$12/4.84</f>
        <v>6.7965840617809645</v>
      </c>
      <c r="I24" s="51">
        <f>8.2*$J$12/4.84</f>
        <v>8.195880780382927</v>
      </c>
      <c r="J24" s="51">
        <f>9.6*$J$12/4.84</f>
        <v>9.5951774989848904</v>
      </c>
      <c r="K24" s="51">
        <f>10.9*$J$12/4.84</f>
        <v>10.894524451972428</v>
      </c>
      <c r="L24" s="51">
        <f>12.3*$J$12/4.84</f>
        <v>12.293821170574393</v>
      </c>
      <c r="M24" s="18">
        <f>13.7*$J$12/4.84</f>
        <v>13.693117889176353</v>
      </c>
      <c r="N24" s="39">
        <f>15*$J$12/4.84</f>
        <v>14.992464842163894</v>
      </c>
      <c r="P24" s="17"/>
      <c r="Q24" s="37">
        <v>28</v>
      </c>
      <c r="R24" s="38">
        <f>1.4*$J$12/4.8</f>
        <v>1.410957524590313</v>
      </c>
      <c r="S24" s="45">
        <f>2.7*$J$12/4.8</f>
        <v>2.7211323688527469</v>
      </c>
      <c r="T24" s="14">
        <f>4.1*$J$12/4.8</f>
        <v>4.1320898934430597</v>
      </c>
      <c r="U24" s="14">
        <f>5.5*$J$12/4.8</f>
        <v>5.5430474180333729</v>
      </c>
      <c r="V24" s="15">
        <f>6.8*$J$12/4.84</f>
        <v>6.7965840617809645</v>
      </c>
      <c r="W24" s="51">
        <f>8.2*$J$12/4.84</f>
        <v>8.195880780382927</v>
      </c>
      <c r="X24" s="51">
        <f>9.6*$J$12/4.84</f>
        <v>9.5951774989848904</v>
      </c>
      <c r="Y24" s="51">
        <f>10.9*$J$12/4.84</f>
        <v>10.894524451972428</v>
      </c>
      <c r="Z24" s="51">
        <f>12.3*$J$12/4.84</f>
        <v>12.293821170574393</v>
      </c>
      <c r="AA24" s="18">
        <f>13.7*$J$12/4.84</f>
        <v>13.693117889176353</v>
      </c>
      <c r="AB24" s="39">
        <f>15*$J$12/4.84</f>
        <v>14.992464842163894</v>
      </c>
    </row>
    <row r="25" spans="2:28" ht="18" x14ac:dyDescent="0.55000000000000004">
      <c r="B25" s="17"/>
      <c r="C25" s="12">
        <v>29</v>
      </c>
      <c r="D25" s="38">
        <f t="shared" ref="D25" si="14">1.4*$J$12/4.8</f>
        <v>1.410957524590313</v>
      </c>
      <c r="E25" s="45">
        <f>2.8*$J$12/4.8</f>
        <v>2.821915049180626</v>
      </c>
      <c r="F25" s="14">
        <f>4.3*$J$12/4.8</f>
        <v>4.3336552540988187</v>
      </c>
      <c r="G25" s="51">
        <f>5.8*$J$12/4.8</f>
        <v>5.845395459017011</v>
      </c>
      <c r="H25" s="51">
        <f>7.2*$J$12/4.84</f>
        <v>7.1963831242386691</v>
      </c>
      <c r="I25" s="51">
        <f>8.6*$J$12/4.84</f>
        <v>8.5956798428406316</v>
      </c>
      <c r="J25" s="51">
        <f>10.1*$J$12/4.84</f>
        <v>10.094926327057021</v>
      </c>
      <c r="K25" s="51">
        <f>11.5*$J$12/4.84</f>
        <v>11.494223045658984</v>
      </c>
      <c r="L25" s="51">
        <f>13*$J$12/4.84</f>
        <v>12.993469529875373</v>
      </c>
      <c r="M25" s="18">
        <f>14.4*$J$12/4.84</f>
        <v>14.392766248477338</v>
      </c>
      <c r="N25" s="39">
        <f>15*$J$12/4.84</f>
        <v>14.992464842163894</v>
      </c>
      <c r="P25" s="17"/>
      <c r="Q25" s="37">
        <v>29</v>
      </c>
      <c r="R25" s="38">
        <f t="shared" ref="R25" si="15">1.4*$J$12/4.8</f>
        <v>1.410957524590313</v>
      </c>
      <c r="S25" s="45">
        <f>2.8*$J$12/4.8</f>
        <v>2.821915049180626</v>
      </c>
      <c r="T25" s="14">
        <f>4.3*$J$12/4.8</f>
        <v>4.3336552540988187</v>
      </c>
      <c r="U25" s="15">
        <f>5.8*$J$12/4.8</f>
        <v>5.845395459017011</v>
      </c>
      <c r="V25" s="51">
        <f>7.2*$J$12/4.84</f>
        <v>7.1963831242386691</v>
      </c>
      <c r="W25" s="51">
        <f>8.6*$J$12/4.84</f>
        <v>8.5956798428406316</v>
      </c>
      <c r="X25" s="51">
        <f>10.1*$J$12/4.84</f>
        <v>10.094926327057021</v>
      </c>
      <c r="Y25" s="51">
        <f>11.5*$J$12/4.84</f>
        <v>11.494223045658984</v>
      </c>
      <c r="Z25" s="51">
        <f>13*$J$12/4.84</f>
        <v>12.993469529875373</v>
      </c>
      <c r="AA25" s="18">
        <f>14.4*$J$12/4.84</f>
        <v>14.392766248477338</v>
      </c>
      <c r="AB25" s="39">
        <f>15*$J$12/4.84</f>
        <v>14.992464842163894</v>
      </c>
    </row>
    <row r="26" spans="2:28" ht="18.399999999999999" thickBot="1" x14ac:dyDescent="0.6">
      <c r="B26" s="19"/>
      <c r="C26" s="20">
        <v>30</v>
      </c>
      <c r="D26" s="41">
        <f>1.5*$J$12/4.8</f>
        <v>1.5117402049181925</v>
      </c>
      <c r="E26" s="46">
        <f>3*$J$12/4.8</f>
        <v>3.023480409836385</v>
      </c>
      <c r="F26" s="42">
        <f>4.6*$J$12/4.8</f>
        <v>4.6360032950824568</v>
      </c>
      <c r="G26" s="53">
        <f>6.1*$J$12/4.8</f>
        <v>6.1477435000006491</v>
      </c>
      <c r="H26" s="53">
        <f>7.6*$J$12/4.84</f>
        <v>7.5961821866963719</v>
      </c>
      <c r="I26" s="53">
        <f>9.1*$J$12/4.84</f>
        <v>9.0954286709127601</v>
      </c>
      <c r="J26" s="53">
        <f>10.6*$J$12/4.84</f>
        <v>10.594675155129151</v>
      </c>
      <c r="K26" s="53">
        <f>12.2*$J$12/4.84</f>
        <v>12.193871404959964</v>
      </c>
      <c r="L26" s="43">
        <f>13.7*$J$12/4.84</f>
        <v>13.693117889176353</v>
      </c>
      <c r="M26" s="43">
        <f>15.2*$J$12/4.84</f>
        <v>15.192364373392744</v>
      </c>
      <c r="N26" s="44">
        <f>16.7*$J$12/4.84</f>
        <v>16.691610857609135</v>
      </c>
      <c r="P26" s="19"/>
      <c r="Q26" s="40">
        <v>30</v>
      </c>
      <c r="R26" s="41">
        <f>1.5*$J$12/4.8</f>
        <v>1.5117402049181925</v>
      </c>
      <c r="S26" s="46">
        <f>3*$J$12/4.8</f>
        <v>3.023480409836385</v>
      </c>
      <c r="T26" s="42">
        <f>4.6*$J$12/4.8</f>
        <v>4.6360032950824568</v>
      </c>
      <c r="U26" s="55">
        <f>6.1*$J$12/4.8</f>
        <v>6.1477435000006491</v>
      </c>
      <c r="V26" s="53">
        <f>7.6*$J$12/4.84</f>
        <v>7.5961821866963719</v>
      </c>
      <c r="W26" s="53">
        <f>9.1*$J$12/4.84</f>
        <v>9.0954286709127601</v>
      </c>
      <c r="X26" s="53">
        <f>10.6*$J$12/4.84</f>
        <v>10.594675155129151</v>
      </c>
      <c r="Y26" s="53">
        <f>12.2*$J$12/4.84</f>
        <v>12.193871404959964</v>
      </c>
      <c r="Z26" s="43">
        <f>13.7*$J$12/4.84</f>
        <v>13.693117889176353</v>
      </c>
      <c r="AA26" s="43">
        <f>15.2*$J$12/4.84</f>
        <v>15.192364373392744</v>
      </c>
      <c r="AB26" s="44">
        <f>16.7*$J$12/4.84</f>
        <v>16.691610857609135</v>
      </c>
    </row>
    <row r="27" spans="2:28" s="21" customFormat="1" ht="14.65" thickTop="1" x14ac:dyDescent="0.45"/>
    <row r="28" spans="2:28" x14ac:dyDescent="0.45">
      <c r="B28" s="21"/>
      <c r="C28" s="21"/>
      <c r="D28" s="22"/>
      <c r="E28" s="21" t="s">
        <v>13</v>
      </c>
      <c r="F28" s="21"/>
      <c r="G28" s="23"/>
      <c r="H28" s="21" t="s">
        <v>9</v>
      </c>
      <c r="I28" s="21"/>
      <c r="J28" s="48"/>
      <c r="K28" s="21" t="s">
        <v>14</v>
      </c>
      <c r="L28" s="21"/>
      <c r="M28" s="21"/>
      <c r="N28" s="21"/>
      <c r="P28" s="21"/>
      <c r="R28" s="22" t="s">
        <v>8</v>
      </c>
      <c r="S28" s="22"/>
      <c r="T28" s="23" t="s">
        <v>9</v>
      </c>
      <c r="U28" s="23"/>
      <c r="V28" s="58" t="s">
        <v>10</v>
      </c>
      <c r="W28" s="58"/>
      <c r="X28" s="48" t="s">
        <v>15</v>
      </c>
      <c r="Y28" s="59" t="s">
        <v>16</v>
      </c>
      <c r="Z28" s="57"/>
      <c r="AA28" s="21"/>
      <c r="AB28" s="21"/>
    </row>
    <row r="29" spans="2:28" s="21" customFormat="1" x14ac:dyDescent="0.45"/>
    <row r="30" spans="2:28" s="21" customFormat="1" x14ac:dyDescent="0.45"/>
    <row r="31" spans="2:28" s="21" customFormat="1" x14ac:dyDescent="0.45"/>
    <row r="32" spans="2:28" s="21" customFormat="1" x14ac:dyDescent="0.45"/>
    <row r="33" s="21" customFormat="1" x14ac:dyDescent="0.45"/>
  </sheetData>
  <mergeCells count="2">
    <mergeCell ref="D9:N9"/>
    <mergeCell ref="R9:AB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5C08F-6E7A-4EC4-B2EB-55F87612A528}">
  <dimension ref="A1"/>
  <sheetViews>
    <sheetView workbookViewId="0">
      <selection activeCell="H23" sqref="H23"/>
    </sheetView>
  </sheetViews>
  <sheetFormatPr defaultRowHeight="14.25" x14ac:dyDescent="0.45"/>
  <cols>
    <col min="1" max="16384" width="9.06640625" style="21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Godfrey Dol</dc:creator>
  <cp:lastModifiedBy>Godfrey Dol</cp:lastModifiedBy>
  <dcterms:created xsi:type="dcterms:W3CDTF">2015-06-05T18:17:20Z</dcterms:created>
  <dcterms:modified xsi:type="dcterms:W3CDTF">2019-10-18T04:54:20Z</dcterms:modified>
</cp:coreProperties>
</file>