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stsoulscreative/Lost Souls/The Berry Company/TBC0344 Tarek Drink Proposal/Supplied/"/>
    </mc:Choice>
  </mc:AlternateContent>
  <xr:revisionPtr revIDLastSave="0" documentId="8_{173AD54C-8EF3-EE4D-A659-D45E5CBF42BA}" xr6:coauthVersionLast="47" xr6:coauthVersionMax="47" xr10:uidLastSave="{00000000-0000-0000-0000-000000000000}"/>
  <bookViews>
    <workbookView xWindow="-38240" yWindow="1460" windowWidth="38080" windowHeight="20780" firstSheet="1" activeTab="1" xr2:uid="{6961F445-3948-4125-8CD0-84082E2181ED}"/>
  </bookViews>
  <sheets>
    <sheet name="Cover Page" sheetId="1" r:id="rId1"/>
    <sheet name="Summary" sheetId="2" r:id="rId2"/>
    <sheet name="Assumptions" sheetId="3" r:id="rId3"/>
    <sheet name="Output " sheetId="5" r:id="rId4"/>
    <sheet name="Model " sheetId="6" r:id="rId5"/>
    <sheet name="Production Funding" sheetId="8" r:id="rId6"/>
    <sheet name="Price Analysis" sheetId="7" r:id="rId7"/>
    <sheet name="Investor Returns" sheetId="9" r:id="rId8"/>
    <sheet name="Inventory" sheetId="10" r:id="rId9"/>
    <sheet name="Monthly Financial Statements " sheetId="14" state="hidden" r:id="rId10"/>
    <sheet name="Scenarios" sheetId="4" r:id="rId11"/>
  </sheets>
  <definedNames>
    <definedName name="solver_adj" localSheetId="6" hidden="1">'Price Analysis'!$D$7:$D$10</definedName>
    <definedName name="solver_cvg" localSheetId="6" hidden="1">0.0001</definedName>
    <definedName name="solver_drv" localSheetId="6" hidden="1">1</definedName>
    <definedName name="solver_eng" localSheetId="6" hidden="1">1</definedName>
    <definedName name="solver_est" localSheetId="6" hidden="1">1</definedName>
    <definedName name="solver_itr" localSheetId="6" hidden="1">2147483647</definedName>
    <definedName name="solver_lhs1" localSheetId="6" hidden="1">'Price Analysis'!$D$10</definedName>
    <definedName name="solver_lhs2" localSheetId="6" hidden="1">'Price Analysis'!$D$10</definedName>
    <definedName name="solver_lhs3" localSheetId="6" hidden="1">'Price Analysis'!$D$11</definedName>
    <definedName name="solver_lhs4" localSheetId="6" hidden="1">'Price Analysis'!$D$7</definedName>
    <definedName name="solver_lhs5" localSheetId="6" hidden="1">'Price Analysis'!$D$8</definedName>
    <definedName name="solver_lhs6" localSheetId="6" hidden="1">'Price Analysis'!$D$9</definedName>
    <definedName name="solver_mip" localSheetId="6" hidden="1">2147483647</definedName>
    <definedName name="solver_mni" localSheetId="6" hidden="1">30</definedName>
    <definedName name="solver_mrt" localSheetId="6" hidden="1">0.075</definedName>
    <definedName name="solver_msl" localSheetId="6" hidden="1">2</definedName>
    <definedName name="solver_neg" localSheetId="6" hidden="1">1</definedName>
    <definedName name="solver_nod" localSheetId="6" hidden="1">2147483647</definedName>
    <definedName name="solver_num" localSheetId="6" hidden="1">6</definedName>
    <definedName name="solver_nwt" localSheetId="6" hidden="1">1</definedName>
    <definedName name="solver_opt" localSheetId="6" hidden="1">'Price Analysis'!$G$28</definedName>
    <definedName name="solver_pre" localSheetId="6" hidden="1">0.000001</definedName>
    <definedName name="solver_rbv" localSheetId="6" hidden="1">1</definedName>
    <definedName name="solver_rel1" localSheetId="6" hidden="1">1</definedName>
    <definedName name="solver_rel2" localSheetId="6" hidden="1">3</definedName>
    <definedName name="solver_rel3" localSheetId="6" hidden="1">2</definedName>
    <definedName name="solver_rel4" localSheetId="6" hidden="1">3</definedName>
    <definedName name="solver_rel5" localSheetId="6" hidden="1">3</definedName>
    <definedName name="solver_rel6" localSheetId="6" hidden="1">3</definedName>
    <definedName name="solver_rhs1" localSheetId="6" hidden="1">0.25*'Price Analysis'!$D$11</definedName>
    <definedName name="solver_rhs2" localSheetId="6" hidden="1">1500</definedName>
    <definedName name="solver_rhs3" localSheetId="6" hidden="1">8250</definedName>
    <definedName name="solver_rhs4" localSheetId="6" hidden="1">1500</definedName>
    <definedName name="solver_rhs5" localSheetId="6" hidden="1">1500</definedName>
    <definedName name="solver_rhs6" localSheetId="6" hidden="1">1500</definedName>
    <definedName name="solver_rlx" localSheetId="6" hidden="1">2</definedName>
    <definedName name="solver_rsd" localSheetId="6" hidden="1">0</definedName>
    <definedName name="solver_scl" localSheetId="6" hidden="1">1</definedName>
    <definedName name="solver_sho" localSheetId="6" hidden="1">2</definedName>
    <definedName name="solver_ssz" localSheetId="6" hidden="1">100</definedName>
    <definedName name="solver_tim" localSheetId="6" hidden="1">2147483647</definedName>
    <definedName name="solver_tol" localSheetId="6" hidden="1">0.01</definedName>
    <definedName name="solver_typ" localSheetId="6" hidden="1">1</definedName>
    <definedName name="solver_val" localSheetId="6" hidden="1">0</definedName>
    <definedName name="solver_ver" localSheetId="6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P78" i="2"/>
  <c r="G15" i="8"/>
  <c r="C27" i="7"/>
  <c r="C26" i="7"/>
  <c r="C25" i="7"/>
  <c r="C24" i="7"/>
  <c r="D36" i="7"/>
  <c r="D34" i="7"/>
  <c r="D45" i="7"/>
  <c r="D56" i="7"/>
  <c r="D67" i="7"/>
  <c r="N91" i="3"/>
  <c r="N90" i="3"/>
  <c r="D63" i="10"/>
  <c r="D73" i="10"/>
  <c r="AZ174" i="5"/>
  <c r="AY174" i="5"/>
  <c r="AX174" i="5"/>
  <c r="AW174" i="5"/>
  <c r="AV174" i="5"/>
  <c r="AU174" i="5"/>
  <c r="AT174" i="5"/>
  <c r="AS174" i="5"/>
  <c r="AR174" i="5"/>
  <c r="AQ174" i="5"/>
  <c r="AP174" i="5"/>
  <c r="AO174" i="5"/>
  <c r="AM174" i="5"/>
  <c r="AL174" i="5"/>
  <c r="AK174" i="5"/>
  <c r="AJ174" i="5"/>
  <c r="AI174" i="5"/>
  <c r="AH174" i="5"/>
  <c r="AG174" i="5"/>
  <c r="AF174" i="5"/>
  <c r="AE174" i="5"/>
  <c r="AD174" i="5"/>
  <c r="AC174" i="5"/>
  <c r="AB174" i="5"/>
  <c r="Z174" i="5"/>
  <c r="Y174" i="5"/>
  <c r="X174" i="5"/>
  <c r="W174" i="5"/>
  <c r="V174" i="5"/>
  <c r="U174" i="5"/>
  <c r="T174" i="5"/>
  <c r="S174" i="5"/>
  <c r="R174" i="5"/>
  <c r="Q174" i="5"/>
  <c r="P174" i="5"/>
  <c r="O174" i="5"/>
  <c r="K174" i="5"/>
  <c r="L174" i="5"/>
  <c r="M174" i="5"/>
  <c r="J174" i="5"/>
  <c r="AZ167" i="5"/>
  <c r="AY167" i="5"/>
  <c r="AX167" i="5"/>
  <c r="AW167" i="5"/>
  <c r="AV167" i="5"/>
  <c r="AU167" i="5"/>
  <c r="AT167" i="5"/>
  <c r="AS167" i="5"/>
  <c r="AR167" i="5"/>
  <c r="AQ167" i="5"/>
  <c r="AP167" i="5"/>
  <c r="AO167" i="5"/>
  <c r="AM167" i="5"/>
  <c r="AL167" i="5"/>
  <c r="AK167" i="5"/>
  <c r="AJ167" i="5"/>
  <c r="AI167" i="5"/>
  <c r="AH167" i="5"/>
  <c r="AG167" i="5"/>
  <c r="AF167" i="5"/>
  <c r="AE167" i="5"/>
  <c r="AD167" i="5"/>
  <c r="AC167" i="5"/>
  <c r="AB167" i="5"/>
  <c r="Z167" i="5"/>
  <c r="Y167" i="5"/>
  <c r="X167" i="5"/>
  <c r="W167" i="5"/>
  <c r="V167" i="5"/>
  <c r="U167" i="5"/>
  <c r="T167" i="5"/>
  <c r="S167" i="5"/>
  <c r="R167" i="5"/>
  <c r="Q167" i="5"/>
  <c r="P167" i="5"/>
  <c r="O167" i="5"/>
  <c r="K167" i="5"/>
  <c r="L167" i="5"/>
  <c r="M167" i="5"/>
  <c r="J167" i="5"/>
  <c r="AZ160" i="5"/>
  <c r="AY160" i="5"/>
  <c r="AX160" i="5"/>
  <c r="AW160" i="5"/>
  <c r="AV160" i="5"/>
  <c r="AU160" i="5"/>
  <c r="AT160" i="5"/>
  <c r="AS160" i="5"/>
  <c r="AR160" i="5"/>
  <c r="AQ160" i="5"/>
  <c r="AP160" i="5"/>
  <c r="AO160" i="5"/>
  <c r="AM160" i="5"/>
  <c r="AL160" i="5"/>
  <c r="AK160" i="5"/>
  <c r="AJ160" i="5"/>
  <c r="AI160" i="5"/>
  <c r="AH160" i="5"/>
  <c r="AG160" i="5"/>
  <c r="AF160" i="5"/>
  <c r="AE160" i="5"/>
  <c r="AD160" i="5"/>
  <c r="AC160" i="5"/>
  <c r="AB160" i="5"/>
  <c r="P160" i="5"/>
  <c r="Q160" i="5"/>
  <c r="R160" i="5"/>
  <c r="S160" i="5"/>
  <c r="T160" i="5"/>
  <c r="U160" i="5"/>
  <c r="V160" i="5"/>
  <c r="W160" i="5"/>
  <c r="X160" i="5"/>
  <c r="Y160" i="5"/>
  <c r="Z160" i="5"/>
  <c r="O160" i="5"/>
  <c r="K160" i="5"/>
  <c r="L160" i="5"/>
  <c r="M160" i="5"/>
  <c r="J160" i="5"/>
  <c r="AZ153" i="5"/>
  <c r="AY153" i="5"/>
  <c r="AX153" i="5"/>
  <c r="AW153" i="5"/>
  <c r="AV153" i="5"/>
  <c r="AU153" i="5"/>
  <c r="AT153" i="5"/>
  <c r="AS153" i="5"/>
  <c r="AR153" i="5"/>
  <c r="AQ153" i="5"/>
  <c r="AP153" i="5"/>
  <c r="AO153" i="5"/>
  <c r="AM153" i="5"/>
  <c r="AL153" i="5"/>
  <c r="AK153" i="5"/>
  <c r="AJ153" i="5"/>
  <c r="AI153" i="5"/>
  <c r="AH153" i="5"/>
  <c r="AG153" i="5"/>
  <c r="AF153" i="5"/>
  <c r="AE153" i="5"/>
  <c r="AD153" i="5"/>
  <c r="AC153" i="5"/>
  <c r="AB153" i="5"/>
  <c r="Z153" i="5"/>
  <c r="Y153" i="5"/>
  <c r="X153" i="5"/>
  <c r="W153" i="5"/>
  <c r="V153" i="5"/>
  <c r="U153" i="5"/>
  <c r="T153" i="5"/>
  <c r="S153" i="5"/>
  <c r="R153" i="5"/>
  <c r="Q153" i="5"/>
  <c r="P153" i="5"/>
  <c r="O153" i="5"/>
  <c r="M153" i="5"/>
  <c r="L153" i="5"/>
  <c r="K153" i="5"/>
  <c r="J153" i="5"/>
  <c r="J83" i="5"/>
  <c r="P115" i="5"/>
  <c r="L57" i="3"/>
  <c r="D35" i="9"/>
  <c r="C43" i="9" s="1"/>
  <c r="V33" i="3"/>
  <c r="D10" i="10"/>
  <c r="M94" i="3"/>
  <c r="M104" i="3"/>
  <c r="M114" i="3"/>
  <c r="M124" i="3"/>
  <c r="M188" i="3"/>
  <c r="M187" i="3"/>
  <c r="J130" i="5"/>
  <c r="L115" i="5"/>
  <c r="M115" i="5"/>
  <c r="N115" i="5"/>
  <c r="O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AP115" i="5"/>
  <c r="AQ115" i="5"/>
  <c r="AR115" i="5"/>
  <c r="AS115" i="5"/>
  <c r="AT115" i="5"/>
  <c r="AU115" i="5"/>
  <c r="AV115" i="5"/>
  <c r="AW115" i="5"/>
  <c r="AX115" i="5"/>
  <c r="AY115" i="5"/>
  <c r="AZ115" i="5"/>
  <c r="BA115" i="5"/>
  <c r="K115" i="5"/>
  <c r="J115" i="5"/>
  <c r="R180" i="3"/>
  <c r="M180" i="3"/>
  <c r="M172" i="3"/>
  <c r="M164" i="3"/>
  <c r="G45" i="10"/>
  <c r="M80" i="3"/>
  <c r="M85" i="3"/>
  <c r="M60" i="5"/>
  <c r="M33" i="3"/>
  <c r="N33" i="3" s="1"/>
  <c r="M68" i="3"/>
  <c r="M57" i="3"/>
  <c r="M51" i="3"/>
  <c r="M42" i="3"/>
  <c r="N32" i="3"/>
  <c r="N31" i="3"/>
  <c r="E118" i="10"/>
  <c r="F118" i="10"/>
  <c r="E120" i="10"/>
  <c r="F120" i="10"/>
  <c r="E121" i="10"/>
  <c r="F121" i="10"/>
  <c r="D118" i="10"/>
  <c r="D119" i="10"/>
  <c r="D120" i="10"/>
  <c r="D121" i="10"/>
  <c r="D111" i="10"/>
  <c r="G79" i="10"/>
  <c r="F56" i="10"/>
  <c r="E56" i="10"/>
  <c r="D56" i="10"/>
  <c r="C56" i="10"/>
  <c r="F55" i="10"/>
  <c r="E55" i="10"/>
  <c r="D55" i="10"/>
  <c r="C55" i="10"/>
  <c r="F54" i="10"/>
  <c r="E54" i="10"/>
  <c r="D54" i="10"/>
  <c r="C54" i="10"/>
  <c r="C53" i="10"/>
  <c r="F53" i="10"/>
  <c r="E53" i="10"/>
  <c r="D53" i="10"/>
  <c r="D69" i="7"/>
  <c r="C69" i="7"/>
  <c r="D68" i="7"/>
  <c r="C68" i="7"/>
  <c r="D58" i="7"/>
  <c r="C58" i="7"/>
  <c r="D57" i="7"/>
  <c r="C57" i="7"/>
  <c r="D47" i="7"/>
  <c r="C47" i="7"/>
  <c r="D46" i="7"/>
  <c r="C46" i="7"/>
  <c r="C36" i="7"/>
  <c r="D35" i="7"/>
  <c r="C35" i="7"/>
  <c r="J80" i="3"/>
  <c r="J85" i="3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AP70" i="5"/>
  <c r="AQ70" i="5"/>
  <c r="AR70" i="5"/>
  <c r="AS70" i="5"/>
  <c r="AT70" i="5"/>
  <c r="AU70" i="5"/>
  <c r="AV70" i="5"/>
  <c r="AW70" i="5"/>
  <c r="AX70" i="5"/>
  <c r="AY70" i="5"/>
  <c r="AZ70" i="5"/>
  <c r="BA70" i="5"/>
  <c r="J70" i="5"/>
  <c r="J71" i="5" s="1"/>
  <c r="K80" i="3"/>
  <c r="L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G13" i="8"/>
  <c r="F45" i="10"/>
  <c r="D45" i="10"/>
  <c r="J172" i="3"/>
  <c r="J162" i="3"/>
  <c r="J164" i="3"/>
  <c r="J195" i="3"/>
  <c r="K85" i="3"/>
  <c r="N76" i="3"/>
  <c r="AU81" i="2"/>
  <c r="AH81" i="2"/>
  <c r="BH80" i="2"/>
  <c r="AU80" i="2"/>
  <c r="AH80" i="2"/>
  <c r="AA52" i="3" l="1"/>
  <c r="AN52" i="3" s="1"/>
  <c r="BA52" i="3" s="1"/>
  <c r="AA126" i="5"/>
  <c r="AA34" i="3"/>
  <c r="AN34" i="3" s="1"/>
  <c r="BA34" i="3" s="1"/>
  <c r="AN43" i="3"/>
  <c r="BA43" i="3" s="1"/>
  <c r="AA43" i="3"/>
  <c r="M40" i="3"/>
  <c r="J44" i="10"/>
  <c r="BH69" i="2"/>
  <c r="AU69" i="2"/>
  <c r="AH69" i="2"/>
  <c r="U69" i="2"/>
  <c r="V65" i="2"/>
  <c r="W65" i="2"/>
  <c r="X65" i="2"/>
  <c r="Y65" i="2"/>
  <c r="Z65" i="2"/>
  <c r="AA65" i="2"/>
  <c r="AB65" i="2"/>
  <c r="AC65" i="2"/>
  <c r="AD65" i="2"/>
  <c r="AE65" i="2"/>
  <c r="AF65" i="2"/>
  <c r="AG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V64" i="2"/>
  <c r="W64" i="2"/>
  <c r="X64" i="2"/>
  <c r="Y64" i="2"/>
  <c r="Z64" i="2"/>
  <c r="AA64" i="2"/>
  <c r="AB64" i="2"/>
  <c r="AC64" i="2"/>
  <c r="AD64" i="2"/>
  <c r="AE64" i="2"/>
  <c r="AF64" i="2"/>
  <c r="AG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14"/>
  <c r="W81" i="14"/>
  <c r="X81" i="14"/>
  <c r="Y81" i="14"/>
  <c r="Z81" i="14"/>
  <c r="AA81" i="14"/>
  <c r="AB81" i="14"/>
  <c r="AC81" i="14"/>
  <c r="AD81" i="14"/>
  <c r="AE81" i="14"/>
  <c r="AF81" i="14"/>
  <c r="AG81" i="14"/>
  <c r="AH81" i="14"/>
  <c r="AI81" i="14"/>
  <c r="AJ81" i="14"/>
  <c r="AK81" i="14"/>
  <c r="AL81" i="14"/>
  <c r="AM81" i="14"/>
  <c r="AN81" i="14"/>
  <c r="AO81" i="14"/>
  <c r="AP81" i="14"/>
  <c r="AQ81" i="14"/>
  <c r="AR81" i="14"/>
  <c r="AS81" i="14"/>
  <c r="AT81" i="14"/>
  <c r="G81" i="14"/>
  <c r="H70" i="14"/>
  <c r="I70" i="14"/>
  <c r="J70" i="14"/>
  <c r="K70" i="14"/>
  <c r="L70" i="14"/>
  <c r="M70" i="14"/>
  <c r="N70" i="14"/>
  <c r="O70" i="14"/>
  <c r="P70" i="14"/>
  <c r="Q70" i="14"/>
  <c r="R70" i="14"/>
  <c r="S70" i="14"/>
  <c r="T70" i="14"/>
  <c r="U70" i="14"/>
  <c r="V70" i="14"/>
  <c r="W70" i="14"/>
  <c r="X70" i="14"/>
  <c r="Y70" i="14"/>
  <c r="Z70" i="14"/>
  <c r="AA70" i="14"/>
  <c r="AB70" i="14"/>
  <c r="AC70" i="14"/>
  <c r="AD70" i="14"/>
  <c r="AE70" i="14"/>
  <c r="AF70" i="14"/>
  <c r="AG70" i="14"/>
  <c r="AH70" i="14"/>
  <c r="AI70" i="14"/>
  <c r="AJ70" i="14"/>
  <c r="AK70" i="14"/>
  <c r="AL70" i="14"/>
  <c r="AM70" i="14"/>
  <c r="AN70" i="14"/>
  <c r="AO70" i="14"/>
  <c r="AP70" i="14"/>
  <c r="AQ70" i="14"/>
  <c r="AR70" i="14"/>
  <c r="AS70" i="14"/>
  <c r="AT70" i="14"/>
  <c r="G70" i="14"/>
  <c r="AT60" i="14"/>
  <c r="C59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X60" i="14"/>
  <c r="Y60" i="14"/>
  <c r="Z60" i="14"/>
  <c r="AA60" i="14"/>
  <c r="AB60" i="14"/>
  <c r="AC60" i="14"/>
  <c r="AD60" i="14"/>
  <c r="AE60" i="14"/>
  <c r="AF60" i="14"/>
  <c r="AG60" i="14"/>
  <c r="AH60" i="14"/>
  <c r="AI60" i="14"/>
  <c r="AJ60" i="14"/>
  <c r="AK60" i="14"/>
  <c r="AL60" i="14"/>
  <c r="AM60" i="14"/>
  <c r="AN60" i="14"/>
  <c r="AO60" i="14"/>
  <c r="AP60" i="14"/>
  <c r="AQ60" i="14"/>
  <c r="AR60" i="14"/>
  <c r="AS60" i="14"/>
  <c r="B60" i="14"/>
  <c r="B59" i="14"/>
  <c r="W155" i="14"/>
  <c r="X155" i="14"/>
  <c r="Y155" i="14"/>
  <c r="Z155" i="14"/>
  <c r="AA155" i="14"/>
  <c r="AB155" i="14"/>
  <c r="AC155" i="14"/>
  <c r="AD155" i="14"/>
  <c r="AE155" i="14"/>
  <c r="AF155" i="14"/>
  <c r="AG155" i="14"/>
  <c r="AI155" i="14"/>
  <c r="AJ155" i="14"/>
  <c r="AK155" i="14"/>
  <c r="AL155" i="14"/>
  <c r="AM155" i="14"/>
  <c r="AN155" i="14"/>
  <c r="AO155" i="14"/>
  <c r="AP155" i="14"/>
  <c r="AQ155" i="14"/>
  <c r="AR155" i="14"/>
  <c r="AS155" i="14"/>
  <c r="G140" i="14"/>
  <c r="H140" i="14" s="1"/>
  <c r="I140" i="14" s="1"/>
  <c r="J140" i="14" s="1"/>
  <c r="K140" i="14" s="1"/>
  <c r="L140" i="14" s="1"/>
  <c r="M140" i="14" s="1"/>
  <c r="N140" i="14" s="1"/>
  <c r="O140" i="14" s="1"/>
  <c r="P140" i="14" s="1"/>
  <c r="Q140" i="14" s="1"/>
  <c r="R140" i="14" s="1"/>
  <c r="S140" i="14" s="1"/>
  <c r="T140" i="14" s="1"/>
  <c r="U140" i="14" s="1"/>
  <c r="V140" i="14" s="1"/>
  <c r="W140" i="14" s="1"/>
  <c r="X140" i="14" s="1"/>
  <c r="Y140" i="14" s="1"/>
  <c r="Z140" i="14" s="1"/>
  <c r="AA140" i="14" s="1"/>
  <c r="AB140" i="14" s="1"/>
  <c r="AC140" i="14" s="1"/>
  <c r="AD140" i="14" s="1"/>
  <c r="AE140" i="14" s="1"/>
  <c r="AF140" i="14" s="1"/>
  <c r="AG140" i="14" s="1"/>
  <c r="AH140" i="14" s="1"/>
  <c r="AI140" i="14" s="1"/>
  <c r="AJ140" i="14" s="1"/>
  <c r="AK140" i="14" s="1"/>
  <c r="AL140" i="14" s="1"/>
  <c r="AM140" i="14" s="1"/>
  <c r="AN140" i="14" s="1"/>
  <c r="AO140" i="14" s="1"/>
  <c r="AP140" i="14" s="1"/>
  <c r="AQ140" i="14" s="1"/>
  <c r="AR140" i="14" s="1"/>
  <c r="AS140" i="14" s="1"/>
  <c r="AT140" i="14" s="1"/>
  <c r="G138" i="14"/>
  <c r="B131" i="14"/>
  <c r="B130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W53" i="14"/>
  <c r="X53" i="14"/>
  <c r="Y53" i="14"/>
  <c r="Z53" i="14"/>
  <c r="AA53" i="14"/>
  <c r="AB53" i="14"/>
  <c r="AC53" i="14"/>
  <c r="AD53" i="14"/>
  <c r="AE53" i="14"/>
  <c r="AF53" i="14"/>
  <c r="AG53" i="14"/>
  <c r="AI53" i="14"/>
  <c r="AJ53" i="14"/>
  <c r="AK53" i="14"/>
  <c r="AL53" i="14"/>
  <c r="AM53" i="14"/>
  <c r="AN53" i="14"/>
  <c r="AO53" i="14"/>
  <c r="AP53" i="14"/>
  <c r="AQ53" i="14"/>
  <c r="AR53" i="14"/>
  <c r="AS53" i="14"/>
  <c r="G52" i="14"/>
  <c r="AS105" i="10"/>
  <c r="C107" i="10"/>
  <c r="C106" i="10"/>
  <c r="C105" i="10"/>
  <c r="C104" i="10"/>
  <c r="I95" i="10"/>
  <c r="J95" i="10"/>
  <c r="K95" i="10"/>
  <c r="L95" i="10"/>
  <c r="M95" i="10"/>
  <c r="N95" i="10"/>
  <c r="O95" i="10"/>
  <c r="P95" i="10"/>
  <c r="Q95" i="10"/>
  <c r="R95" i="10"/>
  <c r="S95" i="10"/>
  <c r="T95" i="10"/>
  <c r="U95" i="10" s="1"/>
  <c r="V95" i="10"/>
  <c r="W95" i="10"/>
  <c r="X95" i="10"/>
  <c r="Y95" i="10"/>
  <c r="Z95" i="10"/>
  <c r="AA95" i="10"/>
  <c r="AB95" i="10"/>
  <c r="AC95" i="10"/>
  <c r="AD95" i="10"/>
  <c r="AE95" i="10"/>
  <c r="AF95" i="10"/>
  <c r="AG95" i="10"/>
  <c r="AH95" i="10" s="1"/>
  <c r="AI95" i="10"/>
  <c r="AJ95" i="10"/>
  <c r="AK95" i="10"/>
  <c r="AL95" i="10"/>
  <c r="AM95" i="10"/>
  <c r="AN95" i="10"/>
  <c r="AO95" i="10"/>
  <c r="AP95" i="10"/>
  <c r="AQ95" i="10"/>
  <c r="AR95" i="10"/>
  <c r="AS95" i="10"/>
  <c r="AT95" i="10"/>
  <c r="AU95" i="10" s="1"/>
  <c r="I96" i="10"/>
  <c r="J96" i="10"/>
  <c r="K96" i="10"/>
  <c r="L96" i="10"/>
  <c r="M96" i="10"/>
  <c r="N96" i="10"/>
  <c r="O96" i="10"/>
  <c r="P96" i="10"/>
  <c r="Q96" i="10"/>
  <c r="R96" i="10"/>
  <c r="S96" i="10"/>
  <c r="T96" i="10"/>
  <c r="U96" i="10" s="1"/>
  <c r="V96" i="10"/>
  <c r="W96" i="10"/>
  <c r="X96" i="10"/>
  <c r="Y96" i="10"/>
  <c r="Z96" i="10"/>
  <c r="AA96" i="10"/>
  <c r="AB96" i="10"/>
  <c r="AC96" i="10"/>
  <c r="AD96" i="10"/>
  <c r="AE96" i="10"/>
  <c r="AF96" i="10"/>
  <c r="AG96" i="10"/>
  <c r="AH96" i="10" s="1"/>
  <c r="AI96" i="10"/>
  <c r="AJ96" i="10"/>
  <c r="AK96" i="10"/>
  <c r="AL96" i="10"/>
  <c r="AM96" i="10"/>
  <c r="AN96" i="10"/>
  <c r="AO96" i="10"/>
  <c r="AP96" i="10"/>
  <c r="AQ96" i="10"/>
  <c r="AR96" i="10"/>
  <c r="AS96" i="10"/>
  <c r="AT96" i="10"/>
  <c r="AU96" i="10" s="1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 s="1"/>
  <c r="V97" i="10"/>
  <c r="W97" i="10"/>
  <c r="X97" i="10"/>
  <c r="Y97" i="10"/>
  <c r="Z97" i="10"/>
  <c r="AA97" i="10"/>
  <c r="AB97" i="10"/>
  <c r="AC97" i="10"/>
  <c r="AD97" i="10"/>
  <c r="AE97" i="10"/>
  <c r="AF97" i="10"/>
  <c r="AG97" i="10"/>
  <c r="AH97" i="10" s="1"/>
  <c r="AI97" i="10"/>
  <c r="AJ97" i="10"/>
  <c r="AK97" i="10"/>
  <c r="AL97" i="10"/>
  <c r="AM97" i="10"/>
  <c r="AN97" i="10"/>
  <c r="AO97" i="10"/>
  <c r="AP97" i="10"/>
  <c r="AQ97" i="10"/>
  <c r="AR97" i="10"/>
  <c r="AS97" i="10"/>
  <c r="AT97" i="10"/>
  <c r="AU97" i="10" s="1"/>
  <c r="I98" i="10"/>
  <c r="J98" i="10"/>
  <c r="K98" i="10"/>
  <c r="L98" i="10"/>
  <c r="M98" i="10"/>
  <c r="N98" i="10"/>
  <c r="O98" i="10"/>
  <c r="P98" i="10"/>
  <c r="Q98" i="10"/>
  <c r="R98" i="10"/>
  <c r="S98" i="10"/>
  <c r="T98" i="10"/>
  <c r="U98" i="10" s="1"/>
  <c r="V98" i="10"/>
  <c r="W98" i="10"/>
  <c r="X98" i="10"/>
  <c r="Y98" i="10"/>
  <c r="Z98" i="10"/>
  <c r="AA98" i="10"/>
  <c r="AB98" i="10"/>
  <c r="AC98" i="10"/>
  <c r="AD98" i="10"/>
  <c r="AE98" i="10"/>
  <c r="AF98" i="10"/>
  <c r="AG98" i="10"/>
  <c r="AH98" i="10" s="1"/>
  <c r="AI98" i="10"/>
  <c r="AJ98" i="10"/>
  <c r="AK98" i="10"/>
  <c r="AL98" i="10"/>
  <c r="AM98" i="10"/>
  <c r="AN98" i="10"/>
  <c r="AO98" i="10"/>
  <c r="AP98" i="10"/>
  <c r="AQ98" i="10"/>
  <c r="AR98" i="10"/>
  <c r="AS98" i="10"/>
  <c r="AT98" i="10"/>
  <c r="AU98" i="10" s="1"/>
  <c r="E98" i="10"/>
  <c r="E97" i="10"/>
  <c r="E96" i="10"/>
  <c r="E95" i="10"/>
  <c r="D95" i="10"/>
  <c r="F95" i="10"/>
  <c r="G95" i="10"/>
  <c r="H95" i="10" s="1"/>
  <c r="D96" i="10"/>
  <c r="F96" i="10"/>
  <c r="G96" i="10"/>
  <c r="H96" i="10" s="1"/>
  <c r="D97" i="10"/>
  <c r="F97" i="10"/>
  <c r="G97" i="10"/>
  <c r="H97" i="10" s="1"/>
  <c r="D98" i="10"/>
  <c r="F98" i="10"/>
  <c r="G98" i="10"/>
  <c r="H98" i="10" s="1"/>
  <c r="C96" i="10"/>
  <c r="C97" i="10"/>
  <c r="C98" i="10"/>
  <c r="C95" i="10"/>
  <c r="C91" i="10"/>
  <c r="C90" i="10"/>
  <c r="C89" i="10"/>
  <c r="C88" i="10"/>
  <c r="M163" i="6"/>
  <c r="BH81" i="2" s="1"/>
  <c r="B34" i="14"/>
  <c r="B33" i="14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T85" i="10"/>
  <c r="U85" i="10"/>
  <c r="V85" i="10"/>
  <c r="W85" i="10"/>
  <c r="X85" i="10"/>
  <c r="Y85" i="10"/>
  <c r="Z85" i="10"/>
  <c r="AA85" i="10"/>
  <c r="AB85" i="10"/>
  <c r="AC85" i="10"/>
  <c r="AD85" i="10"/>
  <c r="AE85" i="10"/>
  <c r="AF85" i="10"/>
  <c r="AG85" i="10"/>
  <c r="AH85" i="10"/>
  <c r="AI85" i="10"/>
  <c r="AJ85" i="10"/>
  <c r="AK85" i="10"/>
  <c r="AL85" i="10"/>
  <c r="AM85" i="10"/>
  <c r="AN85" i="10"/>
  <c r="AO85" i="10"/>
  <c r="AP85" i="10"/>
  <c r="AQ85" i="10"/>
  <c r="AR85" i="10"/>
  <c r="AS85" i="10"/>
  <c r="AT85" i="10"/>
  <c r="AU85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T82" i="10"/>
  <c r="U82" i="10"/>
  <c r="V82" i="10"/>
  <c r="W82" i="10"/>
  <c r="X82" i="10"/>
  <c r="Y82" i="10"/>
  <c r="Z82" i="10"/>
  <c r="AA82" i="10"/>
  <c r="AB82" i="10"/>
  <c r="AC82" i="10"/>
  <c r="AD82" i="10"/>
  <c r="AE82" i="10"/>
  <c r="AF82" i="10"/>
  <c r="AG82" i="10"/>
  <c r="AH82" i="10"/>
  <c r="AI82" i="10"/>
  <c r="AJ82" i="10"/>
  <c r="AK82" i="10"/>
  <c r="AL82" i="10"/>
  <c r="AM82" i="10"/>
  <c r="AN82" i="10"/>
  <c r="AO82" i="10"/>
  <c r="AP82" i="10"/>
  <c r="AQ82" i="10"/>
  <c r="AR82" i="10"/>
  <c r="AS82" i="10"/>
  <c r="AT82" i="10"/>
  <c r="AU82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T83" i="10"/>
  <c r="U83" i="10"/>
  <c r="V83" i="10"/>
  <c r="W83" i="10"/>
  <c r="X83" i="10"/>
  <c r="Y83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M83" i="10"/>
  <c r="AN83" i="10"/>
  <c r="AO83" i="10"/>
  <c r="AP83" i="10"/>
  <c r="AQ83" i="10"/>
  <c r="AR83" i="10"/>
  <c r="AS83" i="10"/>
  <c r="AT83" i="10"/>
  <c r="AU83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T84" i="10"/>
  <c r="U84" i="10"/>
  <c r="V84" i="10"/>
  <c r="W84" i="10"/>
  <c r="X84" i="10"/>
  <c r="Y84" i="10"/>
  <c r="Z84" i="10"/>
  <c r="AA84" i="10"/>
  <c r="AB84" i="10"/>
  <c r="AC84" i="10"/>
  <c r="AD84" i="10"/>
  <c r="AE84" i="10"/>
  <c r="AF84" i="10"/>
  <c r="AG84" i="10"/>
  <c r="AH84" i="10"/>
  <c r="AI84" i="10"/>
  <c r="AJ84" i="10"/>
  <c r="AK84" i="10"/>
  <c r="AL84" i="10"/>
  <c r="AM84" i="10"/>
  <c r="AN84" i="10"/>
  <c r="AO84" i="10"/>
  <c r="AP84" i="10"/>
  <c r="AQ84" i="10"/>
  <c r="AR84" i="10"/>
  <c r="AS84" i="10"/>
  <c r="AT84" i="10"/>
  <c r="AU84" i="10"/>
  <c r="D85" i="10"/>
  <c r="C85" i="10" s="1"/>
  <c r="D84" i="10"/>
  <c r="C84" i="10" s="1"/>
  <c r="D83" i="10"/>
  <c r="C83" i="10" s="1"/>
  <c r="D82" i="10"/>
  <c r="C82" i="10" s="1"/>
  <c r="C77" i="10"/>
  <c r="J119" i="6"/>
  <c r="H16" i="14"/>
  <c r="I16" i="14" s="1"/>
  <c r="J16" i="14" s="1"/>
  <c r="K16" i="14" s="1"/>
  <c r="L16" i="14" s="1"/>
  <c r="M16" i="14" s="1"/>
  <c r="N16" i="14" s="1"/>
  <c r="O16" i="14" s="1"/>
  <c r="P16" i="14" s="1"/>
  <c r="Q16" i="14" s="1"/>
  <c r="R16" i="14" s="1"/>
  <c r="S16" i="14" s="1"/>
  <c r="T16" i="14" s="1"/>
  <c r="U16" i="14" s="1"/>
  <c r="V16" i="14" s="1"/>
  <c r="W16" i="14" s="1"/>
  <c r="X16" i="14" s="1"/>
  <c r="Y16" i="14" s="1"/>
  <c r="Z16" i="14" s="1"/>
  <c r="AA16" i="14" s="1"/>
  <c r="AB16" i="14" s="1"/>
  <c r="AC16" i="14" s="1"/>
  <c r="AD16" i="14" s="1"/>
  <c r="AE16" i="14" s="1"/>
  <c r="AF16" i="14" s="1"/>
  <c r="AG16" i="14" s="1"/>
  <c r="AH16" i="14" s="1"/>
  <c r="AI16" i="14" s="1"/>
  <c r="AJ16" i="14" s="1"/>
  <c r="AK16" i="14" s="1"/>
  <c r="AL16" i="14" s="1"/>
  <c r="AM16" i="14" s="1"/>
  <c r="AN16" i="14" s="1"/>
  <c r="AO16" i="14" s="1"/>
  <c r="AP16" i="14" s="1"/>
  <c r="AQ16" i="14" s="1"/>
  <c r="AR16" i="14" s="1"/>
  <c r="AS16" i="14" s="1"/>
  <c r="AT16" i="14" s="1"/>
  <c r="H17" i="14"/>
  <c r="I17" i="14" s="1"/>
  <c r="J17" i="14" s="1"/>
  <c r="K17" i="14" s="1"/>
  <c r="L17" i="14" s="1"/>
  <c r="M17" i="14" s="1"/>
  <c r="N17" i="14" s="1"/>
  <c r="O17" i="14" s="1"/>
  <c r="P17" i="14" s="1"/>
  <c r="Q17" i="14" s="1"/>
  <c r="R17" i="14" s="1"/>
  <c r="S17" i="14" s="1"/>
  <c r="T17" i="14" s="1"/>
  <c r="U17" i="14" s="1"/>
  <c r="V17" i="14" s="1"/>
  <c r="W17" i="14" s="1"/>
  <c r="X17" i="14" s="1"/>
  <c r="Y17" i="14" s="1"/>
  <c r="Z17" i="14" s="1"/>
  <c r="AA17" i="14" s="1"/>
  <c r="AB17" i="14" s="1"/>
  <c r="AC17" i="14" s="1"/>
  <c r="AD17" i="14" s="1"/>
  <c r="AE17" i="14" s="1"/>
  <c r="AF17" i="14" s="1"/>
  <c r="AG17" i="14" s="1"/>
  <c r="AH17" i="14" s="1"/>
  <c r="AI17" i="14" s="1"/>
  <c r="AJ17" i="14" s="1"/>
  <c r="AK17" i="14" s="1"/>
  <c r="AL17" i="14" s="1"/>
  <c r="AM17" i="14" s="1"/>
  <c r="AN17" i="14" s="1"/>
  <c r="AO17" i="14" s="1"/>
  <c r="AP17" i="14" s="1"/>
  <c r="AQ17" i="14" s="1"/>
  <c r="AR17" i="14" s="1"/>
  <c r="AS17" i="14" s="1"/>
  <c r="AT17" i="14" s="1"/>
  <c r="H18" i="14"/>
  <c r="I18" i="14" s="1"/>
  <c r="J18" i="14" s="1"/>
  <c r="K18" i="14" s="1"/>
  <c r="L18" i="14" s="1"/>
  <c r="M18" i="14" s="1"/>
  <c r="N18" i="14" s="1"/>
  <c r="O18" i="14" s="1"/>
  <c r="P18" i="14" s="1"/>
  <c r="Q18" i="14" s="1"/>
  <c r="R18" i="14" s="1"/>
  <c r="S18" i="14" s="1"/>
  <c r="T18" i="14" s="1"/>
  <c r="U18" i="14" s="1"/>
  <c r="V18" i="14" s="1"/>
  <c r="W18" i="14" s="1"/>
  <c r="X18" i="14" s="1"/>
  <c r="Y18" i="14" s="1"/>
  <c r="Z18" i="14" s="1"/>
  <c r="AA18" i="14" s="1"/>
  <c r="AB18" i="14" s="1"/>
  <c r="AC18" i="14" s="1"/>
  <c r="AD18" i="14" s="1"/>
  <c r="AE18" i="14" s="1"/>
  <c r="AF18" i="14" s="1"/>
  <c r="AG18" i="14" s="1"/>
  <c r="AH18" i="14" s="1"/>
  <c r="AI18" i="14" s="1"/>
  <c r="AJ18" i="14" s="1"/>
  <c r="AK18" i="14" s="1"/>
  <c r="AL18" i="14" s="1"/>
  <c r="AM18" i="14" s="1"/>
  <c r="AN18" i="14" s="1"/>
  <c r="AO18" i="14" s="1"/>
  <c r="AP18" i="14" s="1"/>
  <c r="AQ18" i="14" s="1"/>
  <c r="AR18" i="14" s="1"/>
  <c r="AS18" i="14" s="1"/>
  <c r="AT18" i="14" s="1"/>
  <c r="H15" i="14"/>
  <c r="I15" i="14" s="1"/>
  <c r="J15" i="14" s="1"/>
  <c r="K15" i="14" s="1"/>
  <c r="L15" i="14" s="1"/>
  <c r="M15" i="14" s="1"/>
  <c r="N15" i="14" s="1"/>
  <c r="O15" i="14" s="1"/>
  <c r="P15" i="14" s="1"/>
  <c r="Q15" i="14" s="1"/>
  <c r="R15" i="14" s="1"/>
  <c r="S15" i="14" s="1"/>
  <c r="T15" i="14" s="1"/>
  <c r="U15" i="14" s="1"/>
  <c r="V15" i="14" s="1"/>
  <c r="W15" i="14" s="1"/>
  <c r="X15" i="14" s="1"/>
  <c r="Y15" i="14" s="1"/>
  <c r="Z15" i="14" s="1"/>
  <c r="AA15" i="14" s="1"/>
  <c r="AB15" i="14" s="1"/>
  <c r="AC15" i="14" s="1"/>
  <c r="AD15" i="14" s="1"/>
  <c r="AE15" i="14" s="1"/>
  <c r="AF15" i="14" s="1"/>
  <c r="AG15" i="14" s="1"/>
  <c r="AH15" i="14" s="1"/>
  <c r="AI15" i="14" s="1"/>
  <c r="AJ15" i="14" s="1"/>
  <c r="AK15" i="14" s="1"/>
  <c r="AL15" i="14" s="1"/>
  <c r="AM15" i="14" s="1"/>
  <c r="AN15" i="14" s="1"/>
  <c r="AO15" i="14" s="1"/>
  <c r="AP15" i="14" s="1"/>
  <c r="AQ15" i="14" s="1"/>
  <c r="AR15" i="14" s="1"/>
  <c r="AS15" i="14" s="1"/>
  <c r="AT15" i="14" s="1"/>
  <c r="AQ6" i="14"/>
  <c r="AQ38" i="14" s="1"/>
  <c r="AQ135" i="14" s="1"/>
  <c r="AR6" i="14"/>
  <c r="AR38" i="14" s="1"/>
  <c r="AR135" i="14" s="1"/>
  <c r="AS6" i="14"/>
  <c r="AS38" i="14" s="1"/>
  <c r="AS135" i="14" s="1"/>
  <c r="AT6" i="14"/>
  <c r="AT38" i="14" s="1"/>
  <c r="AT135" i="14" s="1"/>
  <c r="AD6" i="14"/>
  <c r="AD38" i="14" s="1"/>
  <c r="AD135" i="14" s="1"/>
  <c r="AE6" i="14"/>
  <c r="AE38" i="14" s="1"/>
  <c r="AE135" i="14" s="1"/>
  <c r="AF6" i="14"/>
  <c r="AF38" i="14" s="1"/>
  <c r="AF135" i="14" s="1"/>
  <c r="AG6" i="14"/>
  <c r="AG38" i="14" s="1"/>
  <c r="AG135" i="14" s="1"/>
  <c r="AH6" i="14"/>
  <c r="AH38" i="14" s="1"/>
  <c r="AH135" i="14" s="1"/>
  <c r="AI6" i="14"/>
  <c r="AI38" i="14" s="1"/>
  <c r="AI135" i="14" s="1"/>
  <c r="AJ6" i="14"/>
  <c r="AJ38" i="14" s="1"/>
  <c r="AJ135" i="14" s="1"/>
  <c r="AK6" i="14"/>
  <c r="AK38" i="14" s="1"/>
  <c r="AK135" i="14" s="1"/>
  <c r="AL6" i="14"/>
  <c r="AL38" i="14" s="1"/>
  <c r="AL135" i="14" s="1"/>
  <c r="AM6" i="14"/>
  <c r="AM38" i="14" s="1"/>
  <c r="AM135" i="14" s="1"/>
  <c r="AN6" i="14"/>
  <c r="AN38" i="14" s="1"/>
  <c r="AN135" i="14" s="1"/>
  <c r="AO6" i="14"/>
  <c r="AO38" i="14" s="1"/>
  <c r="AO135" i="14" s="1"/>
  <c r="AP6" i="14"/>
  <c r="AP38" i="14" s="1"/>
  <c r="AP135" i="14" s="1"/>
  <c r="C5" i="14"/>
  <c r="C37" i="14" s="1"/>
  <c r="C134" i="14" s="1"/>
  <c r="F6" i="14"/>
  <c r="F38" i="14" s="1"/>
  <c r="F135" i="14" s="1"/>
  <c r="G6" i="14"/>
  <c r="G38" i="14" s="1"/>
  <c r="G135" i="14" s="1"/>
  <c r="H6" i="14"/>
  <c r="I6" i="14"/>
  <c r="I38" i="14" s="1"/>
  <c r="I135" i="14" s="1"/>
  <c r="J6" i="14"/>
  <c r="J38" i="14" s="1"/>
  <c r="J135" i="14" s="1"/>
  <c r="K6" i="14"/>
  <c r="L6" i="14"/>
  <c r="L38" i="14" s="1"/>
  <c r="L135" i="14" s="1"/>
  <c r="M6" i="14"/>
  <c r="M38" i="14" s="1"/>
  <c r="M135" i="14" s="1"/>
  <c r="N6" i="14"/>
  <c r="N38" i="14" s="1"/>
  <c r="N135" i="14" s="1"/>
  <c r="O6" i="14"/>
  <c r="O38" i="14" s="1"/>
  <c r="O135" i="14" s="1"/>
  <c r="P6" i="14"/>
  <c r="P38" i="14" s="1"/>
  <c r="P135" i="14" s="1"/>
  <c r="Q6" i="14"/>
  <c r="Q38" i="14" s="1"/>
  <c r="Q135" i="14" s="1"/>
  <c r="R6" i="14"/>
  <c r="R38" i="14" s="1"/>
  <c r="R135" i="14" s="1"/>
  <c r="S6" i="14"/>
  <c r="S38" i="14" s="1"/>
  <c r="S135" i="14" s="1"/>
  <c r="T6" i="14"/>
  <c r="T38" i="14" s="1"/>
  <c r="T135" i="14" s="1"/>
  <c r="U6" i="14"/>
  <c r="U38" i="14" s="1"/>
  <c r="U135" i="14" s="1"/>
  <c r="V6" i="14"/>
  <c r="V38" i="14" s="1"/>
  <c r="V135" i="14" s="1"/>
  <c r="W6" i="14"/>
  <c r="X6" i="14"/>
  <c r="X38" i="14" s="1"/>
  <c r="X135" i="14" s="1"/>
  <c r="Y6" i="14"/>
  <c r="Y38" i="14" s="1"/>
  <c r="Y135" i="14" s="1"/>
  <c r="Z6" i="14"/>
  <c r="Z38" i="14" s="1"/>
  <c r="Z135" i="14" s="1"/>
  <c r="AA6" i="14"/>
  <c r="AA38" i="14" s="1"/>
  <c r="AA135" i="14" s="1"/>
  <c r="AB6" i="14"/>
  <c r="AB38" i="14" s="1"/>
  <c r="AB135" i="14" s="1"/>
  <c r="AC6" i="14"/>
  <c r="AC38" i="14" s="1"/>
  <c r="AC135" i="14" s="1"/>
  <c r="B6" i="14"/>
  <c r="B38" i="14" s="1"/>
  <c r="B135" i="14" s="1"/>
  <c r="B5" i="14"/>
  <c r="B37" i="14" s="1"/>
  <c r="B134" i="14" s="1"/>
  <c r="B3" i="14"/>
  <c r="B2" i="14"/>
  <c r="L130" i="6"/>
  <c r="M130" i="6"/>
  <c r="AN164" i="3"/>
  <c r="AN195" i="3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AP142" i="5"/>
  <c r="AQ142" i="5"/>
  <c r="AR142" i="5"/>
  <c r="AS142" i="5"/>
  <c r="AT142" i="5"/>
  <c r="AU142" i="5"/>
  <c r="AV142" i="5"/>
  <c r="AW142" i="5"/>
  <c r="AX142" i="5"/>
  <c r="AY142" i="5"/>
  <c r="AZ142" i="5"/>
  <c r="BA142" i="5"/>
  <c r="J142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AP133" i="5"/>
  <c r="AQ133" i="5"/>
  <c r="AR133" i="5"/>
  <c r="AS133" i="5"/>
  <c r="AT133" i="5"/>
  <c r="AU133" i="5"/>
  <c r="AV133" i="5"/>
  <c r="AW133" i="5"/>
  <c r="AX133" i="5"/>
  <c r="AY133" i="5"/>
  <c r="AZ133" i="5"/>
  <c r="BA133" i="5"/>
  <c r="J133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AP124" i="5"/>
  <c r="AQ124" i="5"/>
  <c r="AR124" i="5"/>
  <c r="AS124" i="5"/>
  <c r="AT124" i="5"/>
  <c r="AU124" i="5"/>
  <c r="AV124" i="5"/>
  <c r="AW124" i="5"/>
  <c r="AX124" i="5"/>
  <c r="AY124" i="5"/>
  <c r="AZ124" i="5"/>
  <c r="BA124" i="5"/>
  <c r="J124" i="5"/>
  <c r="K94" i="3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Q17" i="2"/>
  <c r="BE42" i="2" l="1"/>
  <c r="BA42" i="2"/>
  <c r="BA47" i="2" s="1"/>
  <c r="AW42" i="2"/>
  <c r="AW47" i="2" s="1"/>
  <c r="AS42" i="2"/>
  <c r="AO42" i="2"/>
  <c r="AK42" i="2"/>
  <c r="AG42" i="2"/>
  <c r="AG47" i="2" s="1"/>
  <c r="AC42" i="2"/>
  <c r="AC47" i="2" s="1"/>
  <c r="Y42" i="2"/>
  <c r="U42" i="2"/>
  <c r="U47" i="2" s="1"/>
  <c r="BD42" i="2"/>
  <c r="AV42" i="2"/>
  <c r="AN42" i="2"/>
  <c r="AB42" i="2"/>
  <c r="X42" i="2"/>
  <c r="BG42" i="2"/>
  <c r="BG47" i="2" s="1"/>
  <c r="BC42" i="2"/>
  <c r="AY42" i="2"/>
  <c r="AY47" i="2" s="1"/>
  <c r="AU42" i="2"/>
  <c r="AU47" i="2" s="1"/>
  <c r="AQ42" i="2"/>
  <c r="AQ47" i="2" s="1"/>
  <c r="AM42" i="2"/>
  <c r="AI42" i="2"/>
  <c r="AE42" i="2"/>
  <c r="AE47" i="2" s="1"/>
  <c r="AA42" i="2"/>
  <c r="AA47" i="2" s="1"/>
  <c r="W42" i="2"/>
  <c r="W47" i="2" s="1"/>
  <c r="S42" i="2"/>
  <c r="S47" i="2" s="1"/>
  <c r="BH42" i="2"/>
  <c r="BH47" i="2" s="1"/>
  <c r="AZ42" i="2"/>
  <c r="BA43" i="2" s="1"/>
  <c r="AR42" i="2"/>
  <c r="AJ42" i="2"/>
  <c r="AF42" i="2"/>
  <c r="AG43" i="2" s="1"/>
  <c r="T42" i="2"/>
  <c r="T47" i="2" s="1"/>
  <c r="BF42" i="2"/>
  <c r="BF43" i="2" s="1"/>
  <c r="BB42" i="2"/>
  <c r="BB43" i="2" s="1"/>
  <c r="AX42" i="2"/>
  <c r="AX43" i="2" s="1"/>
  <c r="AT42" i="2"/>
  <c r="AT43" i="2" s="1"/>
  <c r="AP42" i="2"/>
  <c r="AP47" i="2" s="1"/>
  <c r="AL42" i="2"/>
  <c r="AH42" i="2"/>
  <c r="AH43" i="2" s="1"/>
  <c r="AD42" i="2"/>
  <c r="AD43" i="2" s="1"/>
  <c r="Z42" i="2"/>
  <c r="Z43" i="2" s="1"/>
  <c r="V42" i="2"/>
  <c r="R42" i="2"/>
  <c r="R47" i="2" s="1"/>
  <c r="AS47" i="2"/>
  <c r="AK47" i="2"/>
  <c r="BC47" i="2"/>
  <c r="AM47" i="2"/>
  <c r="BE47" i="2"/>
  <c r="AO47" i="2"/>
  <c r="Y47" i="2"/>
  <c r="W8" i="14"/>
  <c r="K8" i="14"/>
  <c r="L8" i="14" s="1"/>
  <c r="M8" i="14" s="1"/>
  <c r="N8" i="14" s="1"/>
  <c r="O8" i="14" s="1"/>
  <c r="P8" i="14" s="1"/>
  <c r="Q8" i="14" s="1"/>
  <c r="R8" i="14" s="1"/>
  <c r="S8" i="14" s="1"/>
  <c r="T8" i="14" s="1"/>
  <c r="U8" i="14" s="1"/>
  <c r="V8" i="14" s="1"/>
  <c r="AI8" i="14"/>
  <c r="AJ8" i="14" s="1"/>
  <c r="AK8" i="14" s="1"/>
  <c r="AL8" i="14" s="1"/>
  <c r="AM8" i="14" s="1"/>
  <c r="AN8" i="14" s="1"/>
  <c r="AO8" i="14" s="1"/>
  <c r="AP8" i="14" s="1"/>
  <c r="AQ8" i="14" s="1"/>
  <c r="AR8" i="14" s="1"/>
  <c r="AS8" i="14" s="1"/>
  <c r="AT8" i="14" s="1"/>
  <c r="W38" i="14"/>
  <c r="W135" i="14" s="1"/>
  <c r="X8" i="14"/>
  <c r="Y8" i="14" s="1"/>
  <c r="Z8" i="14" s="1"/>
  <c r="AA8" i="14" s="1"/>
  <c r="AB8" i="14" s="1"/>
  <c r="AC8" i="14" s="1"/>
  <c r="AD8" i="14" s="1"/>
  <c r="AE8" i="14" s="1"/>
  <c r="AF8" i="14" s="1"/>
  <c r="AG8" i="14" s="1"/>
  <c r="AH8" i="14" s="1"/>
  <c r="H38" i="14"/>
  <c r="H135" i="14" s="1"/>
  <c r="K38" i="14"/>
  <c r="K135" i="14" s="1"/>
  <c r="G8" i="14"/>
  <c r="H8" i="14" s="1"/>
  <c r="I8" i="14" s="1"/>
  <c r="J8" i="14" s="1"/>
  <c r="J94" i="3"/>
  <c r="X94" i="3"/>
  <c r="N81" i="3"/>
  <c r="X81" i="3"/>
  <c r="AA81" i="3"/>
  <c r="C13" i="10"/>
  <c r="C19" i="10" s="1"/>
  <c r="C25" i="10" s="1"/>
  <c r="C31" i="10" s="1"/>
  <c r="C37" i="10" s="1"/>
  <c r="C43" i="10" s="1"/>
  <c r="E5" i="10"/>
  <c r="E77" i="10" s="1"/>
  <c r="F5" i="10"/>
  <c r="F77" i="10" s="1"/>
  <c r="G5" i="10"/>
  <c r="G77" i="10" s="1"/>
  <c r="H5" i="10"/>
  <c r="H77" i="10" s="1"/>
  <c r="I5" i="10"/>
  <c r="I77" i="10" s="1"/>
  <c r="J5" i="10"/>
  <c r="J77" i="10" s="1"/>
  <c r="K5" i="10"/>
  <c r="K77" i="10" s="1"/>
  <c r="L5" i="10"/>
  <c r="L77" i="10" s="1"/>
  <c r="M5" i="10"/>
  <c r="M77" i="10" s="1"/>
  <c r="N5" i="10"/>
  <c r="N77" i="10" s="1"/>
  <c r="O5" i="10"/>
  <c r="O77" i="10" s="1"/>
  <c r="P5" i="10"/>
  <c r="P77" i="10" s="1"/>
  <c r="Q5" i="10"/>
  <c r="Q77" i="10" s="1"/>
  <c r="R5" i="10"/>
  <c r="R77" i="10" s="1"/>
  <c r="S5" i="10"/>
  <c r="S77" i="10" s="1"/>
  <c r="T5" i="10"/>
  <c r="T77" i="10" s="1"/>
  <c r="U5" i="10"/>
  <c r="U77" i="10" s="1"/>
  <c r="V5" i="10"/>
  <c r="V77" i="10" s="1"/>
  <c r="W5" i="10"/>
  <c r="W77" i="10" s="1"/>
  <c r="X5" i="10"/>
  <c r="X77" i="10" s="1"/>
  <c r="Y5" i="10"/>
  <c r="Y77" i="10" s="1"/>
  <c r="Z5" i="10"/>
  <c r="Z77" i="10" s="1"/>
  <c r="AA5" i="10"/>
  <c r="AA77" i="10" s="1"/>
  <c r="AB5" i="10"/>
  <c r="AB77" i="10" s="1"/>
  <c r="AC5" i="10"/>
  <c r="AC77" i="10" s="1"/>
  <c r="AD5" i="10"/>
  <c r="AD77" i="10" s="1"/>
  <c r="AE5" i="10"/>
  <c r="AE77" i="10" s="1"/>
  <c r="AF5" i="10"/>
  <c r="AF77" i="10" s="1"/>
  <c r="AG5" i="10"/>
  <c r="AG77" i="10" s="1"/>
  <c r="AH5" i="10"/>
  <c r="AH77" i="10" s="1"/>
  <c r="AI5" i="10"/>
  <c r="AI77" i="10" s="1"/>
  <c r="AJ5" i="10"/>
  <c r="AJ77" i="10" s="1"/>
  <c r="AK5" i="10"/>
  <c r="AK77" i="10" s="1"/>
  <c r="AL5" i="10"/>
  <c r="AL77" i="10" s="1"/>
  <c r="AM5" i="10"/>
  <c r="AM77" i="10" s="1"/>
  <c r="AN5" i="10"/>
  <c r="AN77" i="10" s="1"/>
  <c r="AO5" i="10"/>
  <c r="AO77" i="10" s="1"/>
  <c r="AP5" i="10"/>
  <c r="AP77" i="10" s="1"/>
  <c r="AQ5" i="10"/>
  <c r="AQ77" i="10" s="1"/>
  <c r="AR5" i="10"/>
  <c r="AR77" i="10" s="1"/>
  <c r="AS5" i="10"/>
  <c r="AS77" i="10" s="1"/>
  <c r="AT5" i="10"/>
  <c r="AT77" i="10" s="1"/>
  <c r="AU5" i="10"/>
  <c r="AU77" i="10" s="1"/>
  <c r="D5" i="10"/>
  <c r="D77" i="10" s="1"/>
  <c r="J49" i="3"/>
  <c r="BH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Q6" i="2"/>
  <c r="AC9" i="6"/>
  <c r="L127" i="6"/>
  <c r="M127" i="6" s="1"/>
  <c r="K127" i="6"/>
  <c r="H16" i="10"/>
  <c r="U16" i="10"/>
  <c r="AH16" i="10"/>
  <c r="C59" i="10"/>
  <c r="C58" i="10"/>
  <c r="C57" i="10"/>
  <c r="H17" i="10"/>
  <c r="U17" i="10"/>
  <c r="AH17" i="10"/>
  <c r="E40" i="10"/>
  <c r="E107" i="10" s="1"/>
  <c r="F40" i="10"/>
  <c r="F107" i="10" s="1"/>
  <c r="G40" i="10"/>
  <c r="G107" i="10" s="1"/>
  <c r="H107" i="10" s="1"/>
  <c r="I40" i="10"/>
  <c r="I107" i="10" s="1"/>
  <c r="J40" i="10"/>
  <c r="J107" i="10" s="1"/>
  <c r="K40" i="10"/>
  <c r="K107" i="10" s="1"/>
  <c r="L40" i="10"/>
  <c r="L107" i="10" s="1"/>
  <c r="M40" i="10"/>
  <c r="M107" i="10" s="1"/>
  <c r="N40" i="10"/>
  <c r="N107" i="10" s="1"/>
  <c r="O40" i="10"/>
  <c r="O107" i="10" s="1"/>
  <c r="P40" i="10"/>
  <c r="P107" i="10" s="1"/>
  <c r="Q40" i="10"/>
  <c r="Q107" i="10" s="1"/>
  <c r="R40" i="10"/>
  <c r="R107" i="10" s="1"/>
  <c r="S40" i="10"/>
  <c r="S107" i="10" s="1"/>
  <c r="T40" i="10"/>
  <c r="T107" i="10" s="1"/>
  <c r="U107" i="10" s="1"/>
  <c r="U40" i="10"/>
  <c r="V40" i="10"/>
  <c r="V107" i="10" s="1"/>
  <c r="W40" i="10"/>
  <c r="W107" i="10" s="1"/>
  <c r="X40" i="10"/>
  <c r="X107" i="10" s="1"/>
  <c r="Y40" i="10"/>
  <c r="Y107" i="10" s="1"/>
  <c r="Z40" i="10"/>
  <c r="Z107" i="10" s="1"/>
  <c r="AA40" i="10"/>
  <c r="AA107" i="10" s="1"/>
  <c r="AB40" i="10"/>
  <c r="AB107" i="10" s="1"/>
  <c r="AC40" i="10"/>
  <c r="AC107" i="10" s="1"/>
  <c r="AD40" i="10"/>
  <c r="AD107" i="10" s="1"/>
  <c r="AE40" i="10"/>
  <c r="AE107" i="10" s="1"/>
  <c r="AF40" i="10"/>
  <c r="AF107" i="10" s="1"/>
  <c r="AG40" i="10"/>
  <c r="AG107" i="10" s="1"/>
  <c r="AH107" i="10" s="1"/>
  <c r="AH40" i="10"/>
  <c r="AI40" i="10"/>
  <c r="AI107" i="10" s="1"/>
  <c r="AJ40" i="10"/>
  <c r="AJ107" i="10" s="1"/>
  <c r="AK40" i="10"/>
  <c r="AK107" i="10" s="1"/>
  <c r="AL40" i="10"/>
  <c r="AL107" i="10" s="1"/>
  <c r="AM40" i="10"/>
  <c r="AM107" i="10" s="1"/>
  <c r="AN40" i="10"/>
  <c r="AN107" i="10" s="1"/>
  <c r="AO40" i="10"/>
  <c r="AO107" i="10" s="1"/>
  <c r="AP40" i="10"/>
  <c r="AP107" i="10" s="1"/>
  <c r="AQ40" i="10"/>
  <c r="AQ107" i="10" s="1"/>
  <c r="AR40" i="10"/>
  <c r="AR107" i="10" s="1"/>
  <c r="AS40" i="10"/>
  <c r="AS107" i="10" s="1"/>
  <c r="AT40" i="10"/>
  <c r="AT107" i="10" s="1"/>
  <c r="AU107" i="10" s="1"/>
  <c r="D40" i="10"/>
  <c r="D107" i="10" s="1"/>
  <c r="C41" i="10"/>
  <c r="D38" i="10" s="1"/>
  <c r="D91" i="10" s="1"/>
  <c r="E34" i="10"/>
  <c r="E106" i="10" s="1"/>
  <c r="F34" i="10"/>
  <c r="F106" i="10" s="1"/>
  <c r="G34" i="10"/>
  <c r="G106" i="10" s="1"/>
  <c r="H106" i="10" s="1"/>
  <c r="I34" i="10"/>
  <c r="I106" i="10" s="1"/>
  <c r="J34" i="10"/>
  <c r="J106" i="10" s="1"/>
  <c r="K34" i="10"/>
  <c r="K106" i="10" s="1"/>
  <c r="L34" i="10"/>
  <c r="L106" i="10" s="1"/>
  <c r="M34" i="10"/>
  <c r="M106" i="10" s="1"/>
  <c r="N34" i="10"/>
  <c r="N106" i="10" s="1"/>
  <c r="O34" i="10"/>
  <c r="O106" i="10" s="1"/>
  <c r="P34" i="10"/>
  <c r="P106" i="10" s="1"/>
  <c r="Q34" i="10"/>
  <c r="Q106" i="10" s="1"/>
  <c r="R34" i="10"/>
  <c r="R106" i="10" s="1"/>
  <c r="S34" i="10"/>
  <c r="S106" i="10" s="1"/>
  <c r="T34" i="10"/>
  <c r="T106" i="10" s="1"/>
  <c r="U106" i="10" s="1"/>
  <c r="U34" i="10"/>
  <c r="V34" i="10"/>
  <c r="V106" i="10" s="1"/>
  <c r="W34" i="10"/>
  <c r="W106" i="10" s="1"/>
  <c r="X34" i="10"/>
  <c r="X106" i="10" s="1"/>
  <c r="Y34" i="10"/>
  <c r="Y106" i="10" s="1"/>
  <c r="Z34" i="10"/>
  <c r="Z106" i="10" s="1"/>
  <c r="AA34" i="10"/>
  <c r="AA106" i="10" s="1"/>
  <c r="AB34" i="10"/>
  <c r="AB106" i="10" s="1"/>
  <c r="AC34" i="10"/>
  <c r="AC106" i="10" s="1"/>
  <c r="AD34" i="10"/>
  <c r="AD106" i="10" s="1"/>
  <c r="AE34" i="10"/>
  <c r="AE106" i="10" s="1"/>
  <c r="AF34" i="10"/>
  <c r="AF106" i="10" s="1"/>
  <c r="AG34" i="10"/>
  <c r="AG106" i="10" s="1"/>
  <c r="AH106" i="10" s="1"/>
  <c r="AH34" i="10"/>
  <c r="AI34" i="10"/>
  <c r="AI106" i="10" s="1"/>
  <c r="AJ34" i="10"/>
  <c r="AJ106" i="10" s="1"/>
  <c r="AK34" i="10"/>
  <c r="AK106" i="10" s="1"/>
  <c r="AL34" i="10"/>
  <c r="AL106" i="10" s="1"/>
  <c r="AM34" i="10"/>
  <c r="AM106" i="10" s="1"/>
  <c r="AN34" i="10"/>
  <c r="AN106" i="10" s="1"/>
  <c r="AO34" i="10"/>
  <c r="AO106" i="10" s="1"/>
  <c r="AP34" i="10"/>
  <c r="AP106" i="10" s="1"/>
  <c r="AQ34" i="10"/>
  <c r="AQ106" i="10" s="1"/>
  <c r="AR34" i="10"/>
  <c r="AR106" i="10" s="1"/>
  <c r="AS34" i="10"/>
  <c r="AS106" i="10" s="1"/>
  <c r="AT34" i="10"/>
  <c r="AT106" i="10" s="1"/>
  <c r="AU106" i="10" s="1"/>
  <c r="D34" i="10"/>
  <c r="D106" i="10" s="1"/>
  <c r="C35" i="10"/>
  <c r="D32" i="10" s="1"/>
  <c r="D90" i="10" s="1"/>
  <c r="H15" i="10"/>
  <c r="U15" i="10"/>
  <c r="AH15" i="10"/>
  <c r="E28" i="10"/>
  <c r="E105" i="10" s="1"/>
  <c r="F28" i="10"/>
  <c r="F105" i="10" s="1"/>
  <c r="G28" i="10"/>
  <c r="G105" i="10" s="1"/>
  <c r="H105" i="10" s="1"/>
  <c r="I28" i="10"/>
  <c r="I105" i="10" s="1"/>
  <c r="J28" i="10"/>
  <c r="J105" i="10" s="1"/>
  <c r="K28" i="10"/>
  <c r="K105" i="10" s="1"/>
  <c r="L28" i="10"/>
  <c r="L105" i="10" s="1"/>
  <c r="M28" i="10"/>
  <c r="M105" i="10" s="1"/>
  <c r="N28" i="10"/>
  <c r="N105" i="10" s="1"/>
  <c r="O28" i="10"/>
  <c r="O105" i="10" s="1"/>
  <c r="P28" i="10"/>
  <c r="P105" i="10" s="1"/>
  <c r="Q28" i="10"/>
  <c r="Q105" i="10" s="1"/>
  <c r="R28" i="10"/>
  <c r="R105" i="10" s="1"/>
  <c r="S28" i="10"/>
  <c r="S105" i="10" s="1"/>
  <c r="T28" i="10"/>
  <c r="T105" i="10" s="1"/>
  <c r="U105" i="10" s="1"/>
  <c r="U28" i="10"/>
  <c r="V28" i="10"/>
  <c r="V105" i="10" s="1"/>
  <c r="W28" i="10"/>
  <c r="W105" i="10" s="1"/>
  <c r="X28" i="10"/>
  <c r="X105" i="10" s="1"/>
  <c r="Y28" i="10"/>
  <c r="Y105" i="10" s="1"/>
  <c r="Z28" i="10"/>
  <c r="Z105" i="10" s="1"/>
  <c r="AA28" i="10"/>
  <c r="AA105" i="10" s="1"/>
  <c r="AB28" i="10"/>
  <c r="AB105" i="10" s="1"/>
  <c r="AC28" i="10"/>
  <c r="AC105" i="10" s="1"/>
  <c r="AD28" i="10"/>
  <c r="AD105" i="10" s="1"/>
  <c r="AE28" i="10"/>
  <c r="AE105" i="10" s="1"/>
  <c r="AF28" i="10"/>
  <c r="AF105" i="10" s="1"/>
  <c r="AG28" i="10"/>
  <c r="AG105" i="10" s="1"/>
  <c r="AH105" i="10" s="1"/>
  <c r="AH28" i="10"/>
  <c r="AI28" i="10"/>
  <c r="AI105" i="10" s="1"/>
  <c r="AJ28" i="10"/>
  <c r="AJ105" i="10" s="1"/>
  <c r="AK28" i="10"/>
  <c r="AK105" i="10" s="1"/>
  <c r="AL28" i="10"/>
  <c r="AL105" i="10" s="1"/>
  <c r="AM28" i="10"/>
  <c r="AM105" i="10" s="1"/>
  <c r="AN28" i="10"/>
  <c r="AN105" i="10" s="1"/>
  <c r="AO28" i="10"/>
  <c r="AO105" i="10" s="1"/>
  <c r="AP28" i="10"/>
  <c r="AP105" i="10" s="1"/>
  <c r="AQ28" i="10"/>
  <c r="AQ105" i="10" s="1"/>
  <c r="AR28" i="10"/>
  <c r="AR105" i="10" s="1"/>
  <c r="AS28" i="10"/>
  <c r="AT28" i="10"/>
  <c r="AT105" i="10" s="1"/>
  <c r="AU105" i="10" s="1"/>
  <c r="D28" i="10"/>
  <c r="D105" i="10" s="1"/>
  <c r="C29" i="10"/>
  <c r="D26" i="10" s="1"/>
  <c r="D89" i="10" s="1"/>
  <c r="H14" i="10"/>
  <c r="U14" i="10"/>
  <c r="AH14" i="10"/>
  <c r="E22" i="10"/>
  <c r="E104" i="10" s="1"/>
  <c r="F22" i="10"/>
  <c r="F104" i="10" s="1"/>
  <c r="G22" i="10"/>
  <c r="G104" i="10" s="1"/>
  <c r="H104" i="10" s="1"/>
  <c r="I22" i="10"/>
  <c r="I104" i="10" s="1"/>
  <c r="J22" i="10"/>
  <c r="J104" i="10" s="1"/>
  <c r="K22" i="10"/>
  <c r="K104" i="10" s="1"/>
  <c r="L22" i="10"/>
  <c r="L104" i="10" s="1"/>
  <c r="M22" i="10"/>
  <c r="M104" i="10" s="1"/>
  <c r="N22" i="10"/>
  <c r="N104" i="10" s="1"/>
  <c r="O22" i="10"/>
  <c r="O104" i="10" s="1"/>
  <c r="P22" i="10"/>
  <c r="P104" i="10" s="1"/>
  <c r="Q22" i="10"/>
  <c r="Q104" i="10" s="1"/>
  <c r="R22" i="10"/>
  <c r="R104" i="10" s="1"/>
  <c r="S22" i="10"/>
  <c r="S104" i="10" s="1"/>
  <c r="T22" i="10"/>
  <c r="T104" i="10" s="1"/>
  <c r="U104" i="10" s="1"/>
  <c r="V22" i="10"/>
  <c r="V104" i="10" s="1"/>
  <c r="W22" i="10"/>
  <c r="W104" i="10" s="1"/>
  <c r="X22" i="10"/>
  <c r="X104" i="10" s="1"/>
  <c r="Y22" i="10"/>
  <c r="Y104" i="10" s="1"/>
  <c r="Z22" i="10"/>
  <c r="Z104" i="10" s="1"/>
  <c r="AA22" i="10"/>
  <c r="AA104" i="10" s="1"/>
  <c r="AB22" i="10"/>
  <c r="AB104" i="10" s="1"/>
  <c r="AC22" i="10"/>
  <c r="AC104" i="10" s="1"/>
  <c r="AD22" i="10"/>
  <c r="AD104" i="10" s="1"/>
  <c r="AE22" i="10"/>
  <c r="AE104" i="10" s="1"/>
  <c r="AF22" i="10"/>
  <c r="AF104" i="10" s="1"/>
  <c r="AG22" i="10"/>
  <c r="AG104" i="10" s="1"/>
  <c r="AH104" i="10" s="1"/>
  <c r="AI22" i="10"/>
  <c r="AI104" i="10" s="1"/>
  <c r="AJ22" i="10"/>
  <c r="AJ104" i="10" s="1"/>
  <c r="AK22" i="10"/>
  <c r="AK104" i="10" s="1"/>
  <c r="AL22" i="10"/>
  <c r="AL104" i="10" s="1"/>
  <c r="AM22" i="10"/>
  <c r="AM104" i="10" s="1"/>
  <c r="AN22" i="10"/>
  <c r="AN104" i="10" s="1"/>
  <c r="AO22" i="10"/>
  <c r="AO104" i="10" s="1"/>
  <c r="AP22" i="10"/>
  <c r="AP104" i="10" s="1"/>
  <c r="AQ22" i="10"/>
  <c r="AQ104" i="10" s="1"/>
  <c r="AR22" i="10"/>
  <c r="AR104" i="10" s="1"/>
  <c r="AS22" i="10"/>
  <c r="AS104" i="10" s="1"/>
  <c r="AT22" i="10"/>
  <c r="AT104" i="10" s="1"/>
  <c r="AU104" i="10" s="1"/>
  <c r="D22" i="10"/>
  <c r="D104" i="10" s="1"/>
  <c r="C23" i="10"/>
  <c r="D44" i="10"/>
  <c r="B3" i="10"/>
  <c r="B2" i="10"/>
  <c r="B3" i="3"/>
  <c r="B2" i="3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AQ102" i="5"/>
  <c r="AR102" i="5"/>
  <c r="AS102" i="5"/>
  <c r="AT102" i="5"/>
  <c r="AU102" i="5"/>
  <c r="AV102" i="5"/>
  <c r="AW102" i="5"/>
  <c r="AX102" i="5"/>
  <c r="AY102" i="5"/>
  <c r="AZ102" i="5"/>
  <c r="BA102" i="5"/>
  <c r="BB102" i="5"/>
  <c r="BC102" i="5"/>
  <c r="BD102" i="5"/>
  <c r="BE102" i="5"/>
  <c r="BF102" i="5"/>
  <c r="BG102" i="5"/>
  <c r="BH102" i="5"/>
  <c r="BI102" i="5"/>
  <c r="BJ102" i="5"/>
  <c r="BK102" i="5"/>
  <c r="BL102" i="5"/>
  <c r="BM102" i="5"/>
  <c r="BN102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AP95" i="5"/>
  <c r="AQ95" i="5"/>
  <c r="AR95" i="5"/>
  <c r="AS95" i="5"/>
  <c r="AT95" i="5"/>
  <c r="AU95" i="5"/>
  <c r="AV95" i="5"/>
  <c r="AW95" i="5"/>
  <c r="AX95" i="5"/>
  <c r="AY95" i="5"/>
  <c r="AZ95" i="5"/>
  <c r="BA95" i="5"/>
  <c r="BB95" i="5"/>
  <c r="BC95" i="5"/>
  <c r="BD95" i="5"/>
  <c r="BE95" i="5"/>
  <c r="BF95" i="5"/>
  <c r="BG95" i="5"/>
  <c r="BH95" i="5"/>
  <c r="BI95" i="5"/>
  <c r="BJ95" i="5"/>
  <c r="BK95" i="5"/>
  <c r="BL95" i="5"/>
  <c r="BM95" i="5"/>
  <c r="BN95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AP88" i="5"/>
  <c r="AQ88" i="5"/>
  <c r="AR88" i="5"/>
  <c r="AS88" i="5"/>
  <c r="AT88" i="5"/>
  <c r="AU88" i="5"/>
  <c r="AV88" i="5"/>
  <c r="AW88" i="5"/>
  <c r="AX88" i="5"/>
  <c r="AY88" i="5"/>
  <c r="AZ88" i="5"/>
  <c r="BA88" i="5"/>
  <c r="BB88" i="5"/>
  <c r="BC88" i="5"/>
  <c r="BD88" i="5"/>
  <c r="BE88" i="5"/>
  <c r="BF88" i="5"/>
  <c r="BG88" i="5"/>
  <c r="BH88" i="5"/>
  <c r="BI88" i="5"/>
  <c r="BJ88" i="5"/>
  <c r="BK88" i="5"/>
  <c r="BL88" i="5"/>
  <c r="BM88" i="5"/>
  <c r="BN88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AP81" i="5"/>
  <c r="AQ81" i="5"/>
  <c r="AR81" i="5"/>
  <c r="AS81" i="5"/>
  <c r="AT81" i="5"/>
  <c r="AU81" i="5"/>
  <c r="AV81" i="5"/>
  <c r="AW81" i="5"/>
  <c r="AX81" i="5"/>
  <c r="AY81" i="5"/>
  <c r="AZ81" i="5"/>
  <c r="BA81" i="5"/>
  <c r="BB81" i="5"/>
  <c r="BC81" i="5"/>
  <c r="BD81" i="5"/>
  <c r="BE81" i="5"/>
  <c r="BF81" i="5"/>
  <c r="BG81" i="5"/>
  <c r="BH81" i="5"/>
  <c r="BI81" i="5"/>
  <c r="BJ81" i="5"/>
  <c r="BK81" i="5"/>
  <c r="BL81" i="5"/>
  <c r="BM81" i="5"/>
  <c r="BN81" i="5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O101" i="5"/>
  <c r="O125" i="3"/>
  <c r="O124" i="3"/>
  <c r="I10" i="10"/>
  <c r="J10" i="10"/>
  <c r="K10" i="10"/>
  <c r="L10" i="10"/>
  <c r="M10" i="10"/>
  <c r="N10" i="10"/>
  <c r="O10" i="10"/>
  <c r="P10" i="10"/>
  <c r="Q10" i="10"/>
  <c r="R10" i="10"/>
  <c r="S10" i="10"/>
  <c r="T10" i="10"/>
  <c r="B46" i="10"/>
  <c r="B47" i="10"/>
  <c r="B48" i="10"/>
  <c r="B45" i="10"/>
  <c r="E10" i="10"/>
  <c r="F10" i="10"/>
  <c r="G10" i="10"/>
  <c r="H7" i="10"/>
  <c r="H8" i="10"/>
  <c r="H9" i="10"/>
  <c r="H6" i="10"/>
  <c r="J19" i="3"/>
  <c r="AT47" i="2" l="1"/>
  <c r="AD47" i="2"/>
  <c r="AR43" i="2"/>
  <c r="AX47" i="2"/>
  <c r="AP43" i="2"/>
  <c r="AI47" i="2"/>
  <c r="V43" i="2"/>
  <c r="AI43" i="2"/>
  <c r="AJ43" i="2"/>
  <c r="AH47" i="2"/>
  <c r="AF47" i="2"/>
  <c r="BD43" i="2"/>
  <c r="AV43" i="2"/>
  <c r="AE43" i="2"/>
  <c r="AU43" i="2"/>
  <c r="AV47" i="2"/>
  <c r="S43" i="2"/>
  <c r="AY43" i="2"/>
  <c r="AB43" i="2"/>
  <c r="AO43" i="2"/>
  <c r="V47" i="2"/>
  <c r="AL47" i="2"/>
  <c r="BB47" i="2"/>
  <c r="AF43" i="2"/>
  <c r="Z47" i="2"/>
  <c r="BF47" i="2"/>
  <c r="X47" i="2"/>
  <c r="AC43" i="2"/>
  <c r="AK43" i="2"/>
  <c r="Y43" i="2"/>
  <c r="AS43" i="2"/>
  <c r="X43" i="2"/>
  <c r="AZ43" i="2"/>
  <c r="AR47" i="2"/>
  <c r="AL43" i="2"/>
  <c r="W43" i="2"/>
  <c r="AM43" i="2"/>
  <c r="BC43" i="2"/>
  <c r="AN43" i="2"/>
  <c r="AN47" i="2"/>
  <c r="AW43" i="2"/>
  <c r="AJ47" i="2"/>
  <c r="AB47" i="2"/>
  <c r="BH43" i="2"/>
  <c r="BD47" i="2"/>
  <c r="AA43" i="2"/>
  <c r="AQ43" i="2"/>
  <c r="BG43" i="2"/>
  <c r="AZ47" i="2"/>
  <c r="BE43" i="2"/>
  <c r="AT13" i="10"/>
  <c r="AT19" i="10" s="1"/>
  <c r="AT25" i="10" s="1"/>
  <c r="AT31" i="10" s="1"/>
  <c r="AT37" i="10" s="1"/>
  <c r="AT43" i="10" s="1"/>
  <c r="V13" i="10"/>
  <c r="V19" i="10" s="1"/>
  <c r="V25" i="10" s="1"/>
  <c r="V31" i="10" s="1"/>
  <c r="V37" i="10" s="1"/>
  <c r="V43" i="10" s="1"/>
  <c r="N13" i="10"/>
  <c r="N19" i="10" s="1"/>
  <c r="N25" i="10" s="1"/>
  <c r="N31" i="10" s="1"/>
  <c r="N37" i="10" s="1"/>
  <c r="N43" i="10" s="1"/>
  <c r="AL13" i="10"/>
  <c r="AL19" i="10" s="1"/>
  <c r="AL25" i="10" s="1"/>
  <c r="AL31" i="10" s="1"/>
  <c r="AL37" i="10" s="1"/>
  <c r="AL43" i="10" s="1"/>
  <c r="F13" i="10"/>
  <c r="F19" i="10" s="1"/>
  <c r="F25" i="10" s="1"/>
  <c r="F31" i="10" s="1"/>
  <c r="F37" i="10" s="1"/>
  <c r="F43" i="10" s="1"/>
  <c r="AD13" i="10"/>
  <c r="AD19" i="10" s="1"/>
  <c r="AD25" i="10" s="1"/>
  <c r="AD31" i="10" s="1"/>
  <c r="AD37" i="10" s="1"/>
  <c r="AD43" i="10" s="1"/>
  <c r="AP13" i="10"/>
  <c r="AP19" i="10" s="1"/>
  <c r="AP25" i="10" s="1"/>
  <c r="AP31" i="10" s="1"/>
  <c r="AP37" i="10" s="1"/>
  <c r="AP43" i="10" s="1"/>
  <c r="Z13" i="10"/>
  <c r="Z19" i="10" s="1"/>
  <c r="Z25" i="10" s="1"/>
  <c r="Z31" i="10" s="1"/>
  <c r="Z37" i="10" s="1"/>
  <c r="Z43" i="10" s="1"/>
  <c r="J13" i="10"/>
  <c r="J19" i="10" s="1"/>
  <c r="J25" i="10" s="1"/>
  <c r="J31" i="10" s="1"/>
  <c r="J37" i="10" s="1"/>
  <c r="J43" i="10" s="1"/>
  <c r="AH13" i="10"/>
  <c r="AH19" i="10" s="1"/>
  <c r="AH25" i="10" s="1"/>
  <c r="AH31" i="10" s="1"/>
  <c r="AH37" i="10" s="1"/>
  <c r="AH43" i="10" s="1"/>
  <c r="R13" i="10"/>
  <c r="R19" i="10" s="1"/>
  <c r="R25" i="10" s="1"/>
  <c r="R31" i="10" s="1"/>
  <c r="R37" i="10" s="1"/>
  <c r="R43" i="10" s="1"/>
  <c r="AO13" i="10"/>
  <c r="AO19" i="10" s="1"/>
  <c r="AO25" i="10" s="1"/>
  <c r="AO31" i="10" s="1"/>
  <c r="AO37" i="10" s="1"/>
  <c r="AO43" i="10" s="1"/>
  <c r="AG13" i="10"/>
  <c r="AG19" i="10" s="1"/>
  <c r="AG25" i="10" s="1"/>
  <c r="AG31" i="10" s="1"/>
  <c r="AG37" i="10" s="1"/>
  <c r="AG43" i="10" s="1"/>
  <c r="Y13" i="10"/>
  <c r="Y19" i="10" s="1"/>
  <c r="Y25" i="10" s="1"/>
  <c r="Y31" i="10" s="1"/>
  <c r="Y37" i="10" s="1"/>
  <c r="Y43" i="10" s="1"/>
  <c r="Q13" i="10"/>
  <c r="Q19" i="10" s="1"/>
  <c r="Q25" i="10" s="1"/>
  <c r="Q31" i="10" s="1"/>
  <c r="Q37" i="10" s="1"/>
  <c r="Q43" i="10" s="1"/>
  <c r="I13" i="10"/>
  <c r="I19" i="10" s="1"/>
  <c r="I25" i="10" s="1"/>
  <c r="I31" i="10" s="1"/>
  <c r="I37" i="10" s="1"/>
  <c r="I43" i="10" s="1"/>
  <c r="AS13" i="10"/>
  <c r="AS19" i="10" s="1"/>
  <c r="AS25" i="10" s="1"/>
  <c r="AS31" i="10" s="1"/>
  <c r="AS37" i="10" s="1"/>
  <c r="AS43" i="10" s="1"/>
  <c r="AK13" i="10"/>
  <c r="AK19" i="10" s="1"/>
  <c r="AK25" i="10" s="1"/>
  <c r="AK31" i="10" s="1"/>
  <c r="AK37" i="10" s="1"/>
  <c r="AK43" i="10" s="1"/>
  <c r="AC13" i="10"/>
  <c r="AC19" i="10" s="1"/>
  <c r="AC25" i="10" s="1"/>
  <c r="AC31" i="10" s="1"/>
  <c r="AC37" i="10" s="1"/>
  <c r="AC43" i="10" s="1"/>
  <c r="U13" i="10"/>
  <c r="U19" i="10" s="1"/>
  <c r="U25" i="10" s="1"/>
  <c r="U31" i="10" s="1"/>
  <c r="U37" i="10" s="1"/>
  <c r="U43" i="10" s="1"/>
  <c r="M13" i="10"/>
  <c r="M19" i="10" s="1"/>
  <c r="M25" i="10" s="1"/>
  <c r="M31" i="10" s="1"/>
  <c r="M37" i="10" s="1"/>
  <c r="M43" i="10" s="1"/>
  <c r="E13" i="10"/>
  <c r="E19" i="10" s="1"/>
  <c r="E25" i="10" s="1"/>
  <c r="E31" i="10" s="1"/>
  <c r="E37" i="10" s="1"/>
  <c r="E43" i="10" s="1"/>
  <c r="AR13" i="10"/>
  <c r="AR19" i="10" s="1"/>
  <c r="AR25" i="10" s="1"/>
  <c r="AR31" i="10" s="1"/>
  <c r="AR37" i="10" s="1"/>
  <c r="AR43" i="10" s="1"/>
  <c r="AN13" i="10"/>
  <c r="AN19" i="10" s="1"/>
  <c r="AN25" i="10" s="1"/>
  <c r="AN31" i="10" s="1"/>
  <c r="AN37" i="10" s="1"/>
  <c r="AN43" i="10" s="1"/>
  <c r="AJ13" i="10"/>
  <c r="AJ19" i="10" s="1"/>
  <c r="AJ25" i="10" s="1"/>
  <c r="AJ31" i="10" s="1"/>
  <c r="AJ37" i="10" s="1"/>
  <c r="AJ43" i="10" s="1"/>
  <c r="AF13" i="10"/>
  <c r="AF19" i="10" s="1"/>
  <c r="AF25" i="10" s="1"/>
  <c r="AF31" i="10" s="1"/>
  <c r="AF37" i="10" s="1"/>
  <c r="AF43" i="10" s="1"/>
  <c r="AB13" i="10"/>
  <c r="AB19" i="10" s="1"/>
  <c r="AB25" i="10" s="1"/>
  <c r="AB31" i="10" s="1"/>
  <c r="AB37" i="10" s="1"/>
  <c r="AB43" i="10" s="1"/>
  <c r="X13" i="10"/>
  <c r="X19" i="10" s="1"/>
  <c r="X25" i="10" s="1"/>
  <c r="X31" i="10" s="1"/>
  <c r="X37" i="10" s="1"/>
  <c r="X43" i="10" s="1"/>
  <c r="T13" i="10"/>
  <c r="T19" i="10" s="1"/>
  <c r="T25" i="10" s="1"/>
  <c r="T31" i="10" s="1"/>
  <c r="T37" i="10" s="1"/>
  <c r="T43" i="10" s="1"/>
  <c r="P13" i="10"/>
  <c r="P19" i="10" s="1"/>
  <c r="P25" i="10" s="1"/>
  <c r="P31" i="10" s="1"/>
  <c r="P37" i="10" s="1"/>
  <c r="P43" i="10" s="1"/>
  <c r="L13" i="10"/>
  <c r="L19" i="10" s="1"/>
  <c r="L25" i="10" s="1"/>
  <c r="L31" i="10" s="1"/>
  <c r="L37" i="10" s="1"/>
  <c r="L43" i="10" s="1"/>
  <c r="H13" i="10"/>
  <c r="H19" i="10" s="1"/>
  <c r="H25" i="10" s="1"/>
  <c r="H31" i="10" s="1"/>
  <c r="H37" i="10" s="1"/>
  <c r="H43" i="10" s="1"/>
  <c r="D13" i="10"/>
  <c r="D19" i="10" s="1"/>
  <c r="D25" i="10" s="1"/>
  <c r="D31" i="10" s="1"/>
  <c r="D37" i="10" s="1"/>
  <c r="D43" i="10" s="1"/>
  <c r="AU13" i="10"/>
  <c r="AU19" i="10" s="1"/>
  <c r="AU25" i="10" s="1"/>
  <c r="AU31" i="10" s="1"/>
  <c r="AU37" i="10" s="1"/>
  <c r="AU43" i="10" s="1"/>
  <c r="AQ13" i="10"/>
  <c r="AQ19" i="10" s="1"/>
  <c r="AQ25" i="10" s="1"/>
  <c r="AQ31" i="10" s="1"/>
  <c r="AQ37" i="10" s="1"/>
  <c r="AQ43" i="10" s="1"/>
  <c r="AM13" i="10"/>
  <c r="AM19" i="10" s="1"/>
  <c r="AM25" i="10" s="1"/>
  <c r="AM31" i="10" s="1"/>
  <c r="AM37" i="10" s="1"/>
  <c r="AM43" i="10" s="1"/>
  <c r="AI13" i="10"/>
  <c r="AI19" i="10" s="1"/>
  <c r="AI25" i="10" s="1"/>
  <c r="AI31" i="10" s="1"/>
  <c r="AI37" i="10" s="1"/>
  <c r="AI43" i="10" s="1"/>
  <c r="AE13" i="10"/>
  <c r="AE19" i="10" s="1"/>
  <c r="AE25" i="10" s="1"/>
  <c r="AE31" i="10" s="1"/>
  <c r="AE37" i="10" s="1"/>
  <c r="AE43" i="10" s="1"/>
  <c r="AA13" i="10"/>
  <c r="AA19" i="10" s="1"/>
  <c r="AA25" i="10" s="1"/>
  <c r="AA31" i="10" s="1"/>
  <c r="AA37" i="10" s="1"/>
  <c r="AA43" i="10" s="1"/>
  <c r="W13" i="10"/>
  <c r="W19" i="10" s="1"/>
  <c r="W25" i="10" s="1"/>
  <c r="W31" i="10" s="1"/>
  <c r="W37" i="10" s="1"/>
  <c r="W43" i="10" s="1"/>
  <c r="S13" i="10"/>
  <c r="S19" i="10" s="1"/>
  <c r="S25" i="10" s="1"/>
  <c r="S31" i="10" s="1"/>
  <c r="S37" i="10" s="1"/>
  <c r="S43" i="10" s="1"/>
  <c r="O13" i="10"/>
  <c r="O19" i="10" s="1"/>
  <c r="O25" i="10" s="1"/>
  <c r="O31" i="10" s="1"/>
  <c r="O37" i="10" s="1"/>
  <c r="O43" i="10" s="1"/>
  <c r="K13" i="10"/>
  <c r="K19" i="10" s="1"/>
  <c r="K25" i="10" s="1"/>
  <c r="K31" i="10" s="1"/>
  <c r="K37" i="10" s="1"/>
  <c r="K43" i="10" s="1"/>
  <c r="G13" i="10"/>
  <c r="G19" i="10" s="1"/>
  <c r="G25" i="10" s="1"/>
  <c r="G31" i="10" s="1"/>
  <c r="G37" i="10" s="1"/>
  <c r="G43" i="10" s="1"/>
  <c r="C16" i="10"/>
  <c r="C113" i="10" s="1"/>
  <c r="D29" i="10"/>
  <c r="E26" i="10" s="1"/>
  <c r="C17" i="10"/>
  <c r="D47" i="10"/>
  <c r="D35" i="10"/>
  <c r="C15" i="10"/>
  <c r="C14" i="10"/>
  <c r="D20" i="10"/>
  <c r="K44" i="10"/>
  <c r="E44" i="10"/>
  <c r="H10" i="10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J161" i="3"/>
  <c r="D27" i="9"/>
  <c r="D28" i="9" s="1"/>
  <c r="D36" i="9"/>
  <c r="C41" i="9" s="1"/>
  <c r="AD10" i="6"/>
  <c r="AE10" i="6"/>
  <c r="AF10" i="6"/>
  <c r="AG10" i="6"/>
  <c r="AH10" i="6" s="1"/>
  <c r="AI10" i="6" s="1"/>
  <c r="AJ10" i="6" s="1"/>
  <c r="AK10" i="6" s="1"/>
  <c r="AL10" i="6" s="1"/>
  <c r="AM10" i="6" s="1"/>
  <c r="AC10" i="6"/>
  <c r="AB10" i="6"/>
  <c r="Q10" i="6"/>
  <c r="R10" i="6"/>
  <c r="S10" i="6"/>
  <c r="T10" i="6"/>
  <c r="U10" i="6" s="1"/>
  <c r="V10" i="6" s="1"/>
  <c r="W10" i="6" s="1"/>
  <c r="X10" i="6" s="1"/>
  <c r="Y10" i="6" s="1"/>
  <c r="Z10" i="6" s="1"/>
  <c r="P10" i="6"/>
  <c r="O10" i="6"/>
  <c r="J18" i="3"/>
  <c r="AM20" i="3"/>
  <c r="AM19" i="3"/>
  <c r="AM18" i="3"/>
  <c r="AL20" i="3"/>
  <c r="AL19" i="3"/>
  <c r="AL18" i="3"/>
  <c r="AA227" i="3"/>
  <c r="C54" i="9"/>
  <c r="B3" i="9"/>
  <c r="B2" i="9"/>
  <c r="I164" i="6"/>
  <c r="H164" i="6" s="1"/>
  <c r="G164" i="6" s="1"/>
  <c r="C42" i="9" l="1"/>
  <c r="J158" i="6"/>
  <c r="E29" i="10"/>
  <c r="E15" i="10" s="1"/>
  <c r="E112" i="10" s="1"/>
  <c r="E119" i="10" s="1"/>
  <c r="E89" i="10"/>
  <c r="D23" i="10"/>
  <c r="D14" i="10" s="1"/>
  <c r="D88" i="10"/>
  <c r="D46" i="10"/>
  <c r="J90" i="5" s="1"/>
  <c r="C112" i="10"/>
  <c r="C114" i="10"/>
  <c r="D48" i="10"/>
  <c r="J104" i="5" s="1"/>
  <c r="C111" i="10"/>
  <c r="L19" i="14"/>
  <c r="E32" i="10"/>
  <c r="D16" i="10"/>
  <c r="D113" i="10" s="1"/>
  <c r="D15" i="10"/>
  <c r="L44" i="10"/>
  <c r="M44" i="10" s="1"/>
  <c r="F44" i="10"/>
  <c r="J97" i="5"/>
  <c r="D47" i="9"/>
  <c r="D48" i="9" s="1"/>
  <c r="J152" i="6" s="1"/>
  <c r="G139" i="14" s="1"/>
  <c r="H139" i="14" s="1"/>
  <c r="I139" i="14" s="1"/>
  <c r="C55" i="9"/>
  <c r="N218" i="3"/>
  <c r="O143" i="3"/>
  <c r="P143" i="3"/>
  <c r="Q143" i="3"/>
  <c r="R143" i="3"/>
  <c r="S143" i="3"/>
  <c r="T143" i="3"/>
  <c r="U143" i="3"/>
  <c r="V143" i="3"/>
  <c r="F158" i="3"/>
  <c r="G158" i="3"/>
  <c r="H158" i="3"/>
  <c r="I158" i="3"/>
  <c r="J158" i="3"/>
  <c r="K158" i="3"/>
  <c r="L158" i="3"/>
  <c r="M158" i="3"/>
  <c r="N158" i="3"/>
  <c r="E158" i="3"/>
  <c r="F143" i="3"/>
  <c r="G143" i="3"/>
  <c r="H143" i="3"/>
  <c r="I143" i="3"/>
  <c r="J143" i="3"/>
  <c r="K143" i="3"/>
  <c r="L143" i="3"/>
  <c r="M143" i="3"/>
  <c r="N143" i="3"/>
  <c r="E143" i="3"/>
  <c r="D158" i="3"/>
  <c r="BE109" i="6"/>
  <c r="BF109" i="6"/>
  <c r="BG109" i="6"/>
  <c r="BH109" i="6"/>
  <c r="BI109" i="6"/>
  <c r="BJ109" i="6"/>
  <c r="BK109" i="6"/>
  <c r="BL109" i="6"/>
  <c r="BM109" i="6"/>
  <c r="BN109" i="6"/>
  <c r="K100" i="6"/>
  <c r="L100" i="6"/>
  <c r="M100" i="6"/>
  <c r="J100" i="6"/>
  <c r="K89" i="6"/>
  <c r="L89" i="6"/>
  <c r="M89" i="6"/>
  <c r="J89" i="6"/>
  <c r="G145" i="14" l="1"/>
  <c r="H145" i="14" s="1"/>
  <c r="I145" i="14" s="1"/>
  <c r="J145" i="14" s="1"/>
  <c r="K145" i="14" s="1"/>
  <c r="L145" i="14" s="1"/>
  <c r="M145" i="14" s="1"/>
  <c r="N145" i="14" s="1"/>
  <c r="O145" i="14" s="1"/>
  <c r="P145" i="14" s="1"/>
  <c r="Q145" i="14" s="1"/>
  <c r="R145" i="14" s="1"/>
  <c r="S145" i="14" s="1"/>
  <c r="T145" i="14" s="1"/>
  <c r="U145" i="14" s="1"/>
  <c r="K158" i="6"/>
  <c r="H141" i="14"/>
  <c r="H85" i="14" s="1"/>
  <c r="C44" i="9"/>
  <c r="D42" i="9" s="1"/>
  <c r="F26" i="10"/>
  <c r="F89" i="10" s="1"/>
  <c r="J139" i="14"/>
  <c r="I141" i="14"/>
  <c r="I85" i="14" s="1"/>
  <c r="E47" i="10"/>
  <c r="K97" i="5" s="1"/>
  <c r="E35" i="10"/>
  <c r="E90" i="10"/>
  <c r="E45" i="10"/>
  <c r="K83" i="5" s="1"/>
  <c r="E20" i="10"/>
  <c r="F29" i="10"/>
  <c r="G26" i="10" s="1"/>
  <c r="C115" i="10"/>
  <c r="E46" i="10"/>
  <c r="K90" i="5" s="1"/>
  <c r="D112" i="10"/>
  <c r="D49" i="10"/>
  <c r="M19" i="14"/>
  <c r="F46" i="10"/>
  <c r="L90" i="5" s="1"/>
  <c r="F32" i="10"/>
  <c r="E16" i="10"/>
  <c r="E113" i="10" s="1"/>
  <c r="N44" i="10"/>
  <c r="O44" i="10" s="1"/>
  <c r="D41" i="10"/>
  <c r="G44" i="10"/>
  <c r="J68" i="6"/>
  <c r="G50" i="14" s="1"/>
  <c r="D49" i="9"/>
  <c r="C56" i="9" s="1"/>
  <c r="C57" i="9" s="1"/>
  <c r="D54" i="9" s="1"/>
  <c r="H79" i="6"/>
  <c r="I79" i="6" s="1"/>
  <c r="AA191" i="5"/>
  <c r="Z191" i="5" s="1"/>
  <c r="Y191" i="5" s="1"/>
  <c r="X191" i="5" s="1"/>
  <c r="W191" i="5" s="1"/>
  <c r="V191" i="5" s="1"/>
  <c r="U191" i="5" s="1"/>
  <c r="T191" i="5" s="1"/>
  <c r="S191" i="5" s="1"/>
  <c r="R191" i="5" s="1"/>
  <c r="Q191" i="5" s="1"/>
  <c r="P191" i="5" s="1"/>
  <c r="O191" i="5" s="1"/>
  <c r="M191" i="5" s="1"/>
  <c r="L191" i="5" s="1"/>
  <c r="K191" i="5" s="1"/>
  <c r="J191" i="5" s="1"/>
  <c r="N191" i="5" s="1"/>
  <c r="L131" i="6"/>
  <c r="M131" i="6" s="1"/>
  <c r="L129" i="6"/>
  <c r="M129" i="6" s="1"/>
  <c r="I139" i="6"/>
  <c r="H139" i="6"/>
  <c r="G139" i="6"/>
  <c r="H56" i="6"/>
  <c r="I56" i="6" s="1"/>
  <c r="B53" i="6"/>
  <c r="B52" i="6"/>
  <c r="BN163" i="6"/>
  <c r="L119" i="6"/>
  <c r="M119" i="6"/>
  <c r="K119" i="6"/>
  <c r="O66" i="3"/>
  <c r="Q39" i="2"/>
  <c r="J21" i="3"/>
  <c r="Q41" i="2" s="1"/>
  <c r="J20" i="3"/>
  <c r="Q40" i="2" s="1"/>
  <c r="Q38" i="2"/>
  <c r="A3" i="2"/>
  <c r="F10" i="8"/>
  <c r="F9" i="8"/>
  <c r="F8" i="8"/>
  <c r="B2" i="8"/>
  <c r="B1" i="8"/>
  <c r="O89" i="3"/>
  <c r="P89" i="3" s="1"/>
  <c r="O84" i="3"/>
  <c r="P84" i="3" s="1"/>
  <c r="O75" i="3"/>
  <c r="O37" i="3"/>
  <c r="O46" i="3"/>
  <c r="O28" i="3"/>
  <c r="O55" i="3"/>
  <c r="N92" i="3"/>
  <c r="M90" i="3"/>
  <c r="M101" i="3" s="1"/>
  <c r="M84" i="3"/>
  <c r="M76" i="3"/>
  <c r="P19" i="3"/>
  <c r="P172" i="3" s="1"/>
  <c r="P20" i="3"/>
  <c r="P21" i="3"/>
  <c r="P124" i="3" s="1"/>
  <c r="P18" i="3"/>
  <c r="P94" i="3" s="1"/>
  <c r="G43" i="3"/>
  <c r="H43" i="3"/>
  <c r="I43" i="3"/>
  <c r="G76" i="3"/>
  <c r="H76" i="3"/>
  <c r="I76" i="3"/>
  <c r="G86" i="3"/>
  <c r="H86" i="3"/>
  <c r="I86" i="3"/>
  <c r="G95" i="3"/>
  <c r="G105" i="3"/>
  <c r="G115" i="3" s="1"/>
  <c r="G125" i="3" s="1"/>
  <c r="G165" i="3"/>
  <c r="G173" i="3" s="1"/>
  <c r="G181" i="3" s="1"/>
  <c r="G189" i="3" s="1"/>
  <c r="G197" i="3" s="1"/>
  <c r="H6" i="3"/>
  <c r="H95" i="3" s="1"/>
  <c r="H105" i="3" s="1"/>
  <c r="H115" i="3" s="1"/>
  <c r="H125" i="3" s="1"/>
  <c r="BM43" i="4"/>
  <c r="BL43" i="4"/>
  <c r="BK43" i="4"/>
  <c r="BJ43" i="4"/>
  <c r="BI43" i="4"/>
  <c r="BH43" i="4"/>
  <c r="BG43" i="4"/>
  <c r="BF43" i="4"/>
  <c r="BE43" i="4"/>
  <c r="BD43" i="4"/>
  <c r="BC43" i="4"/>
  <c r="BB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Z43" i="4"/>
  <c r="Y43" i="4"/>
  <c r="X43" i="4"/>
  <c r="W43" i="4"/>
  <c r="V43" i="4"/>
  <c r="U43" i="4"/>
  <c r="T43" i="4"/>
  <c r="S43" i="4"/>
  <c r="R43" i="4"/>
  <c r="Q43" i="4"/>
  <c r="P43" i="4"/>
  <c r="O43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Z37" i="4"/>
  <c r="Y37" i="4"/>
  <c r="X37" i="4"/>
  <c r="W37" i="4"/>
  <c r="V37" i="4"/>
  <c r="U37" i="4"/>
  <c r="T37" i="4"/>
  <c r="S37" i="4"/>
  <c r="R37" i="4"/>
  <c r="Q37" i="4"/>
  <c r="P37" i="4"/>
  <c r="O37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N28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Z31" i="4"/>
  <c r="Y31" i="4"/>
  <c r="X31" i="4"/>
  <c r="W31" i="4"/>
  <c r="V31" i="4"/>
  <c r="U31" i="4"/>
  <c r="T31" i="4"/>
  <c r="S31" i="4"/>
  <c r="R31" i="4"/>
  <c r="Q31" i="4"/>
  <c r="P31" i="4"/>
  <c r="O31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BB163" i="6"/>
  <c r="BC163" i="6"/>
  <c r="BD163" i="6"/>
  <c r="BE163" i="6"/>
  <c r="BF163" i="6"/>
  <c r="BG163" i="6"/>
  <c r="BH163" i="6"/>
  <c r="BI163" i="6"/>
  <c r="BJ163" i="6"/>
  <c r="BK163" i="6"/>
  <c r="BL163" i="6"/>
  <c r="BM163" i="6"/>
  <c r="I163" i="6"/>
  <c r="H163" i="6" s="1"/>
  <c r="G163" i="6" s="1"/>
  <c r="O232" i="3"/>
  <c r="O234" i="3"/>
  <c r="O231" i="3"/>
  <c r="M232" i="3"/>
  <c r="M234" i="3"/>
  <c r="L234" i="3" s="1"/>
  <c r="K234" i="3" s="1"/>
  <c r="J234" i="3" s="1"/>
  <c r="I234" i="3" s="1"/>
  <c r="H234" i="3" s="1"/>
  <c r="G234" i="3" s="1"/>
  <c r="M231" i="3"/>
  <c r="L231" i="3" s="1"/>
  <c r="J126" i="6"/>
  <c r="U67" i="2" s="1"/>
  <c r="H148" i="6"/>
  <c r="I148" i="6" s="1"/>
  <c r="BB148" i="6" s="1"/>
  <c r="BC148" i="6" s="1"/>
  <c r="BD148" i="6" s="1"/>
  <c r="BE148" i="6" s="1"/>
  <c r="BF148" i="6" s="1"/>
  <c r="BG148" i="6" s="1"/>
  <c r="BH148" i="6" s="1"/>
  <c r="BI148" i="6" s="1"/>
  <c r="BJ148" i="6" s="1"/>
  <c r="BK148" i="6" s="1"/>
  <c r="BL148" i="6" s="1"/>
  <c r="BM148" i="6" s="1"/>
  <c r="B145" i="6"/>
  <c r="B144" i="6"/>
  <c r="F19" i="7"/>
  <c r="F18" i="7"/>
  <c r="F17" i="7"/>
  <c r="H117" i="6"/>
  <c r="I117" i="6" s="1"/>
  <c r="B114" i="6"/>
  <c r="B113" i="6"/>
  <c r="B3" i="6"/>
  <c r="B2" i="6"/>
  <c r="O167" i="3"/>
  <c r="P167" i="3" s="1"/>
  <c r="Q167" i="3" s="1"/>
  <c r="R167" i="3" s="1"/>
  <c r="S167" i="3" s="1"/>
  <c r="T167" i="3" s="1"/>
  <c r="U167" i="3" s="1"/>
  <c r="V167" i="3" s="1"/>
  <c r="W167" i="3" s="1"/>
  <c r="X167" i="3" s="1"/>
  <c r="Y167" i="3" s="1"/>
  <c r="Z167" i="3" s="1"/>
  <c r="AA167" i="3" s="1"/>
  <c r="AB167" i="3" s="1"/>
  <c r="AC167" i="3" s="1"/>
  <c r="AD167" i="3" s="1"/>
  <c r="AE167" i="3" s="1"/>
  <c r="AF167" i="3" s="1"/>
  <c r="AG167" i="3" s="1"/>
  <c r="AH167" i="3" s="1"/>
  <c r="AI167" i="3" s="1"/>
  <c r="AJ167" i="3" s="1"/>
  <c r="AK167" i="3" s="1"/>
  <c r="AL167" i="3" s="1"/>
  <c r="AM167" i="3" s="1"/>
  <c r="AN167" i="3" s="1"/>
  <c r="AO167" i="3" s="1"/>
  <c r="AP167" i="3" s="1"/>
  <c r="AQ167" i="3" s="1"/>
  <c r="AR167" i="3" s="1"/>
  <c r="AS167" i="3" s="1"/>
  <c r="AT167" i="3" s="1"/>
  <c r="AU167" i="3" s="1"/>
  <c r="AV167" i="3" s="1"/>
  <c r="AW167" i="3" s="1"/>
  <c r="AX167" i="3" s="1"/>
  <c r="AY167" i="3" s="1"/>
  <c r="AZ167" i="3" s="1"/>
  <c r="BA167" i="3" s="1"/>
  <c r="BB167" i="3" s="1"/>
  <c r="BC167" i="3" s="1"/>
  <c r="BD167" i="3" s="1"/>
  <c r="BE167" i="3" s="1"/>
  <c r="BF167" i="3" s="1"/>
  <c r="BG167" i="3" s="1"/>
  <c r="BH167" i="3" s="1"/>
  <c r="BI167" i="3" s="1"/>
  <c r="BJ167" i="3" s="1"/>
  <c r="BK167" i="3" s="1"/>
  <c r="BL167" i="3" s="1"/>
  <c r="BM167" i="3" s="1"/>
  <c r="BN167" i="3" s="1"/>
  <c r="M167" i="3"/>
  <c r="L167" i="3" s="1"/>
  <c r="K167" i="3" s="1"/>
  <c r="J167" i="3" s="1"/>
  <c r="I167" i="3" s="1"/>
  <c r="H167" i="3" s="1"/>
  <c r="G167" i="3" s="1"/>
  <c r="O175" i="3"/>
  <c r="P175" i="3" s="1"/>
  <c r="Q175" i="3" s="1"/>
  <c r="R175" i="3" s="1"/>
  <c r="S175" i="3" s="1"/>
  <c r="T175" i="3" s="1"/>
  <c r="U175" i="3" s="1"/>
  <c r="V175" i="3" s="1"/>
  <c r="W175" i="3" s="1"/>
  <c r="X175" i="3" s="1"/>
  <c r="Y175" i="3" s="1"/>
  <c r="Z175" i="3" s="1"/>
  <c r="AA175" i="3" s="1"/>
  <c r="AB175" i="3" s="1"/>
  <c r="AC175" i="3" s="1"/>
  <c r="AD175" i="3" s="1"/>
  <c r="AE175" i="3" s="1"/>
  <c r="AF175" i="3" s="1"/>
  <c r="AG175" i="3" s="1"/>
  <c r="AH175" i="3" s="1"/>
  <c r="AI175" i="3" s="1"/>
  <c r="AJ175" i="3" s="1"/>
  <c r="AK175" i="3" s="1"/>
  <c r="AL175" i="3" s="1"/>
  <c r="AM175" i="3" s="1"/>
  <c r="AN175" i="3" s="1"/>
  <c r="AO175" i="3" s="1"/>
  <c r="AP175" i="3" s="1"/>
  <c r="AQ175" i="3" s="1"/>
  <c r="AR175" i="3" s="1"/>
  <c r="AS175" i="3" s="1"/>
  <c r="AT175" i="3" s="1"/>
  <c r="AU175" i="3" s="1"/>
  <c r="AV175" i="3" s="1"/>
  <c r="AW175" i="3" s="1"/>
  <c r="AX175" i="3" s="1"/>
  <c r="AY175" i="3" s="1"/>
  <c r="AZ175" i="3" s="1"/>
  <c r="BA175" i="3" s="1"/>
  <c r="BB175" i="3" s="1"/>
  <c r="BC175" i="3" s="1"/>
  <c r="BD175" i="3" s="1"/>
  <c r="BE175" i="3" s="1"/>
  <c r="BF175" i="3" s="1"/>
  <c r="BG175" i="3" s="1"/>
  <c r="BH175" i="3" s="1"/>
  <c r="BI175" i="3" s="1"/>
  <c r="BJ175" i="3" s="1"/>
  <c r="BK175" i="3" s="1"/>
  <c r="BL175" i="3" s="1"/>
  <c r="BM175" i="3" s="1"/>
  <c r="BN175" i="3" s="1"/>
  <c r="M175" i="3"/>
  <c r="L175" i="3" s="1"/>
  <c r="K175" i="3" s="1"/>
  <c r="J175" i="3" s="1"/>
  <c r="I175" i="3" s="1"/>
  <c r="H175" i="3" s="1"/>
  <c r="G175" i="3" s="1"/>
  <c r="O183" i="3"/>
  <c r="P183" i="3" s="1"/>
  <c r="Q183" i="3" s="1"/>
  <c r="R183" i="3" s="1"/>
  <c r="S183" i="3" s="1"/>
  <c r="T183" i="3" s="1"/>
  <c r="U183" i="3" s="1"/>
  <c r="V183" i="3" s="1"/>
  <c r="W183" i="3" s="1"/>
  <c r="X183" i="3" s="1"/>
  <c r="Y183" i="3" s="1"/>
  <c r="Z183" i="3" s="1"/>
  <c r="AA183" i="3" s="1"/>
  <c r="AB183" i="3" s="1"/>
  <c r="AC183" i="3" s="1"/>
  <c r="AD183" i="3" s="1"/>
  <c r="AE183" i="3" s="1"/>
  <c r="AF183" i="3" s="1"/>
  <c r="AG183" i="3" s="1"/>
  <c r="AH183" i="3" s="1"/>
  <c r="AI183" i="3" s="1"/>
  <c r="AJ183" i="3" s="1"/>
  <c r="AK183" i="3" s="1"/>
  <c r="AL183" i="3" s="1"/>
  <c r="AM183" i="3" s="1"/>
  <c r="AN183" i="3" s="1"/>
  <c r="AO183" i="3" s="1"/>
  <c r="AP183" i="3" s="1"/>
  <c r="AQ183" i="3" s="1"/>
  <c r="AR183" i="3" s="1"/>
  <c r="AS183" i="3" s="1"/>
  <c r="AT183" i="3" s="1"/>
  <c r="AU183" i="3" s="1"/>
  <c r="AV183" i="3" s="1"/>
  <c r="AW183" i="3" s="1"/>
  <c r="AX183" i="3" s="1"/>
  <c r="AY183" i="3" s="1"/>
  <c r="AZ183" i="3" s="1"/>
  <c r="BA183" i="3" s="1"/>
  <c r="BB183" i="3" s="1"/>
  <c r="BC183" i="3" s="1"/>
  <c r="BD183" i="3" s="1"/>
  <c r="BE183" i="3" s="1"/>
  <c r="BF183" i="3" s="1"/>
  <c r="BG183" i="3" s="1"/>
  <c r="BH183" i="3" s="1"/>
  <c r="BI183" i="3" s="1"/>
  <c r="BJ183" i="3" s="1"/>
  <c r="BK183" i="3" s="1"/>
  <c r="BL183" i="3" s="1"/>
  <c r="BM183" i="3" s="1"/>
  <c r="BN183" i="3" s="1"/>
  <c r="M183" i="3"/>
  <c r="L183" i="3" s="1"/>
  <c r="K183" i="3" s="1"/>
  <c r="J183" i="3" s="1"/>
  <c r="I183" i="3" s="1"/>
  <c r="H183" i="3" s="1"/>
  <c r="G183" i="3" s="1"/>
  <c r="O191" i="3"/>
  <c r="P191" i="3" s="1"/>
  <c r="Q191" i="3" s="1"/>
  <c r="R191" i="3" s="1"/>
  <c r="S191" i="3" s="1"/>
  <c r="T191" i="3" s="1"/>
  <c r="U191" i="3" s="1"/>
  <c r="V191" i="3" s="1"/>
  <c r="W191" i="3" s="1"/>
  <c r="X191" i="3" s="1"/>
  <c r="Y191" i="3" s="1"/>
  <c r="Z191" i="3" s="1"/>
  <c r="AA191" i="3" s="1"/>
  <c r="AB191" i="3" s="1"/>
  <c r="AC191" i="3" s="1"/>
  <c r="AD191" i="3" s="1"/>
  <c r="AE191" i="3" s="1"/>
  <c r="AF191" i="3" s="1"/>
  <c r="AG191" i="3" s="1"/>
  <c r="AH191" i="3" s="1"/>
  <c r="AI191" i="3" s="1"/>
  <c r="AJ191" i="3" s="1"/>
  <c r="AK191" i="3" s="1"/>
  <c r="AL191" i="3" s="1"/>
  <c r="AM191" i="3" s="1"/>
  <c r="AN191" i="3" s="1"/>
  <c r="AO191" i="3" s="1"/>
  <c r="AP191" i="3" s="1"/>
  <c r="AQ191" i="3" s="1"/>
  <c r="AR191" i="3" s="1"/>
  <c r="AS191" i="3" s="1"/>
  <c r="AT191" i="3" s="1"/>
  <c r="AU191" i="3" s="1"/>
  <c r="AV191" i="3" s="1"/>
  <c r="AW191" i="3" s="1"/>
  <c r="AX191" i="3" s="1"/>
  <c r="AY191" i="3" s="1"/>
  <c r="AZ191" i="3" s="1"/>
  <c r="BA191" i="3" s="1"/>
  <c r="BB191" i="3" s="1"/>
  <c r="BC191" i="3" s="1"/>
  <c r="BD191" i="3" s="1"/>
  <c r="BE191" i="3" s="1"/>
  <c r="BF191" i="3" s="1"/>
  <c r="BG191" i="3" s="1"/>
  <c r="BH191" i="3" s="1"/>
  <c r="BI191" i="3" s="1"/>
  <c r="BJ191" i="3" s="1"/>
  <c r="BK191" i="3" s="1"/>
  <c r="BL191" i="3" s="1"/>
  <c r="BM191" i="3" s="1"/>
  <c r="BN191" i="3" s="1"/>
  <c r="M191" i="3"/>
  <c r="L191" i="3" s="1"/>
  <c r="K191" i="3" s="1"/>
  <c r="J191" i="3" s="1"/>
  <c r="I191" i="3" s="1"/>
  <c r="H191" i="3" s="1"/>
  <c r="G191" i="3" s="1"/>
  <c r="B187" i="5"/>
  <c r="B34" i="6" s="1"/>
  <c r="C77" i="7"/>
  <c r="B2" i="7"/>
  <c r="B1" i="7"/>
  <c r="H6" i="6"/>
  <c r="I6" i="6" s="1"/>
  <c r="J6" i="6" s="1"/>
  <c r="K6" i="6" s="1"/>
  <c r="L6" i="6" s="1"/>
  <c r="M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Y6" i="6" s="1"/>
  <c r="Z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s="1"/>
  <c r="AO6" i="6" s="1"/>
  <c r="AP6" i="6" s="1"/>
  <c r="AQ6" i="6" s="1"/>
  <c r="AR6" i="6" s="1"/>
  <c r="AS6" i="6" s="1"/>
  <c r="AT6" i="6" s="1"/>
  <c r="AU6" i="6" s="1"/>
  <c r="AV6" i="6" s="1"/>
  <c r="AW6" i="6" s="1"/>
  <c r="AX6" i="6" s="1"/>
  <c r="AY6" i="6" s="1"/>
  <c r="AZ6" i="6" s="1"/>
  <c r="BB6" i="6" s="1"/>
  <c r="BC6" i="6" s="1"/>
  <c r="BD6" i="6" s="1"/>
  <c r="BE6" i="6" s="1"/>
  <c r="BF6" i="6" s="1"/>
  <c r="BG6" i="6" s="1"/>
  <c r="BH6" i="6" s="1"/>
  <c r="BI6" i="6" s="1"/>
  <c r="BJ6" i="6" s="1"/>
  <c r="BK6" i="6" s="1"/>
  <c r="BL6" i="6" s="1"/>
  <c r="BM6" i="6" s="1"/>
  <c r="BB226" i="3"/>
  <c r="BB227" i="3" s="1"/>
  <c r="BB228" i="3" s="1"/>
  <c r="BC226" i="3"/>
  <c r="BC227" i="3" s="1"/>
  <c r="BC228" i="3" s="1"/>
  <c r="BD226" i="3"/>
  <c r="BD227" i="3" s="1"/>
  <c r="BD228" i="3" s="1"/>
  <c r="BE226" i="3"/>
  <c r="BE227" i="3" s="1"/>
  <c r="BE228" i="3" s="1"/>
  <c r="BF226" i="3"/>
  <c r="BF227" i="3" s="1"/>
  <c r="BF228" i="3" s="1"/>
  <c r="BG226" i="3"/>
  <c r="BG227" i="3" s="1"/>
  <c r="BG228" i="3" s="1"/>
  <c r="BH226" i="3"/>
  <c r="BH227" i="3" s="1"/>
  <c r="BH228" i="3" s="1"/>
  <c r="BI226" i="3"/>
  <c r="BI227" i="3" s="1"/>
  <c r="BI228" i="3" s="1"/>
  <c r="BJ226" i="3"/>
  <c r="BJ227" i="3" s="1"/>
  <c r="BJ228" i="3" s="1"/>
  <c r="BK226" i="3"/>
  <c r="BK227" i="3" s="1"/>
  <c r="BK228" i="3" s="1"/>
  <c r="BL226" i="3"/>
  <c r="BL227" i="3" s="1"/>
  <c r="BL228" i="3" s="1"/>
  <c r="BM226" i="3"/>
  <c r="BM227" i="3" s="1"/>
  <c r="BM228" i="3" s="1"/>
  <c r="L192" i="5"/>
  <c r="K192" i="5" s="1"/>
  <c r="J192" i="5" s="1"/>
  <c r="N192" i="5" s="1"/>
  <c r="N183" i="5"/>
  <c r="N30" i="6" s="1"/>
  <c r="O183" i="5"/>
  <c r="O30" i="6" s="1"/>
  <c r="B184" i="5"/>
  <c r="B31" i="6" s="1"/>
  <c r="B185" i="5"/>
  <c r="B32" i="6" s="1"/>
  <c r="B186" i="5"/>
  <c r="B33" i="6" s="1"/>
  <c r="B183" i="5"/>
  <c r="B30" i="6" s="1"/>
  <c r="O222" i="3"/>
  <c r="P222" i="3" s="1"/>
  <c r="Q222" i="3" s="1"/>
  <c r="R222" i="3" s="1"/>
  <c r="S222" i="3" s="1"/>
  <c r="T222" i="3" s="1"/>
  <c r="U222" i="3" s="1"/>
  <c r="V222" i="3" s="1"/>
  <c r="W222" i="3" s="1"/>
  <c r="X222" i="3" s="1"/>
  <c r="Y222" i="3" s="1"/>
  <c r="Z222" i="3" s="1"/>
  <c r="AA222" i="3" s="1"/>
  <c r="AB222" i="3" s="1"/>
  <c r="AC222" i="3" s="1"/>
  <c r="AD222" i="3" s="1"/>
  <c r="AE222" i="3" s="1"/>
  <c r="AF222" i="3" s="1"/>
  <c r="AG222" i="3" s="1"/>
  <c r="AH222" i="3" s="1"/>
  <c r="AI222" i="3" s="1"/>
  <c r="AJ222" i="3" s="1"/>
  <c r="AK222" i="3" s="1"/>
  <c r="AL222" i="3" s="1"/>
  <c r="AM222" i="3" s="1"/>
  <c r="AN222" i="3" s="1"/>
  <c r="AO222" i="3" s="1"/>
  <c r="AP222" i="3" s="1"/>
  <c r="AQ222" i="3" s="1"/>
  <c r="AR222" i="3" s="1"/>
  <c r="AS222" i="3" s="1"/>
  <c r="AT222" i="3" s="1"/>
  <c r="AU222" i="3" s="1"/>
  <c r="AV222" i="3" s="1"/>
  <c r="AW222" i="3" s="1"/>
  <c r="AX222" i="3" s="1"/>
  <c r="AY222" i="3" s="1"/>
  <c r="AZ222" i="3" s="1"/>
  <c r="BA222" i="3" s="1"/>
  <c r="BB222" i="3" s="1"/>
  <c r="BC222" i="3" s="1"/>
  <c r="BD222" i="3" s="1"/>
  <c r="BE222" i="3" s="1"/>
  <c r="BF222" i="3" s="1"/>
  <c r="BG222" i="3" s="1"/>
  <c r="BH222" i="3" s="1"/>
  <c r="BI222" i="3" s="1"/>
  <c r="BJ222" i="3" s="1"/>
  <c r="BK222" i="3" s="1"/>
  <c r="BL222" i="3" s="1"/>
  <c r="BM222" i="3" s="1"/>
  <c r="BN222" i="3" s="1"/>
  <c r="M222" i="3"/>
  <c r="L222" i="3" s="1"/>
  <c r="K222" i="3" s="1"/>
  <c r="J222" i="3" s="1"/>
  <c r="I222" i="3" s="1"/>
  <c r="H222" i="3" s="1"/>
  <c r="G222" i="3" s="1"/>
  <c r="P183" i="5"/>
  <c r="P30" i="6" s="1"/>
  <c r="N54" i="5"/>
  <c r="O67" i="3"/>
  <c r="P67" i="3"/>
  <c r="Q67" i="3"/>
  <c r="R67" i="3"/>
  <c r="S67" i="3"/>
  <c r="T67" i="3"/>
  <c r="U67" i="3"/>
  <c r="V67" i="3"/>
  <c r="W67" i="3"/>
  <c r="X67" i="3"/>
  <c r="Y67" i="3"/>
  <c r="Z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M66" i="3"/>
  <c r="BN59" i="4"/>
  <c r="BN60" i="3" s="1"/>
  <c r="BA59" i="4"/>
  <c r="BA60" i="3" s="1"/>
  <c r="AT101" i="10" s="1"/>
  <c r="AN59" i="4"/>
  <c r="AN60" i="3" s="1"/>
  <c r="AG101" i="10" s="1"/>
  <c r="AA59" i="4"/>
  <c r="AA60" i="3" s="1"/>
  <c r="T101" i="10" s="1"/>
  <c r="N59" i="4"/>
  <c r="N60" i="3" s="1"/>
  <c r="O52" i="3"/>
  <c r="P52" i="3"/>
  <c r="Q52" i="3"/>
  <c r="R52" i="3"/>
  <c r="S52" i="3"/>
  <c r="T52" i="3"/>
  <c r="U52" i="3"/>
  <c r="V52" i="3"/>
  <c r="W52" i="3"/>
  <c r="X52" i="3"/>
  <c r="Y52" i="3"/>
  <c r="Z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J43" i="3"/>
  <c r="K43" i="3"/>
  <c r="L43" i="3"/>
  <c r="M43" i="3"/>
  <c r="O34" i="3"/>
  <c r="O43" i="3" s="1"/>
  <c r="P34" i="3"/>
  <c r="P43" i="3" s="1"/>
  <c r="Q34" i="3"/>
  <c r="Q43" i="3" s="1"/>
  <c r="R34" i="3"/>
  <c r="R43" i="3" s="1"/>
  <c r="S34" i="3"/>
  <c r="S43" i="3" s="1"/>
  <c r="T34" i="3"/>
  <c r="T43" i="3" s="1"/>
  <c r="U34" i="3"/>
  <c r="U43" i="3" s="1"/>
  <c r="V34" i="3"/>
  <c r="V43" i="3" s="1"/>
  <c r="W34" i="3"/>
  <c r="W43" i="3" s="1"/>
  <c r="X34" i="3"/>
  <c r="X43" i="3" s="1"/>
  <c r="Y34" i="3"/>
  <c r="Y43" i="3" s="1"/>
  <c r="Z34" i="3"/>
  <c r="Z43" i="3" s="1"/>
  <c r="AB34" i="3"/>
  <c r="AB43" i="3" s="1"/>
  <c r="AC34" i="3"/>
  <c r="AC43" i="3" s="1"/>
  <c r="AD34" i="3"/>
  <c r="AD43" i="3" s="1"/>
  <c r="AE34" i="3"/>
  <c r="AE43" i="3" s="1"/>
  <c r="AF34" i="3"/>
  <c r="AF43" i="3" s="1"/>
  <c r="AG34" i="3"/>
  <c r="AG43" i="3" s="1"/>
  <c r="AH34" i="3"/>
  <c r="AH43" i="3" s="1"/>
  <c r="AI34" i="3"/>
  <c r="AI43" i="3" s="1"/>
  <c r="AJ34" i="3"/>
  <c r="AJ43" i="3" s="1"/>
  <c r="AK34" i="3"/>
  <c r="AK43" i="3" s="1"/>
  <c r="AL34" i="3"/>
  <c r="AL43" i="3" s="1"/>
  <c r="AM34" i="3"/>
  <c r="AM43" i="3" s="1"/>
  <c r="AO34" i="3"/>
  <c r="AO43" i="3" s="1"/>
  <c r="AP34" i="3"/>
  <c r="AP43" i="3" s="1"/>
  <c r="AQ34" i="3"/>
  <c r="AQ43" i="3" s="1"/>
  <c r="AR34" i="3"/>
  <c r="AR43" i="3" s="1"/>
  <c r="AS34" i="3"/>
  <c r="AS43" i="3" s="1"/>
  <c r="AT34" i="3"/>
  <c r="AT43" i="3" s="1"/>
  <c r="AU34" i="3"/>
  <c r="AU43" i="3" s="1"/>
  <c r="AV34" i="3"/>
  <c r="AV43" i="3" s="1"/>
  <c r="AW34" i="3"/>
  <c r="AW43" i="3" s="1"/>
  <c r="AX34" i="3"/>
  <c r="AX43" i="3" s="1"/>
  <c r="AY34" i="3"/>
  <c r="AY43" i="3" s="1"/>
  <c r="AZ34" i="3"/>
  <c r="AZ43" i="3" s="1"/>
  <c r="BB34" i="3"/>
  <c r="BB43" i="3" s="1"/>
  <c r="BC34" i="3"/>
  <c r="BC43" i="3" s="1"/>
  <c r="BD34" i="3"/>
  <c r="BD43" i="3" s="1"/>
  <c r="BE34" i="3"/>
  <c r="BE43" i="3" s="1"/>
  <c r="BF34" i="3"/>
  <c r="BF43" i="3" s="1"/>
  <c r="BG34" i="3"/>
  <c r="BG43" i="3" s="1"/>
  <c r="BH34" i="3"/>
  <c r="BH43" i="3" s="1"/>
  <c r="BI34" i="3"/>
  <c r="BI43" i="3" s="1"/>
  <c r="BJ34" i="3"/>
  <c r="BJ43" i="3" s="1"/>
  <c r="BK34" i="3"/>
  <c r="BK43" i="3" s="1"/>
  <c r="BL34" i="3"/>
  <c r="BL43" i="3" s="1"/>
  <c r="BM34" i="3"/>
  <c r="BM43" i="3" s="1"/>
  <c r="BN53" i="4"/>
  <c r="BN52" i="3" s="1"/>
  <c r="BA53" i="4"/>
  <c r="AN53" i="4"/>
  <c r="AA53" i="4"/>
  <c r="N53" i="4"/>
  <c r="BN47" i="4"/>
  <c r="BN34" i="3" s="1"/>
  <c r="BN43" i="3" s="1"/>
  <c r="BA47" i="4"/>
  <c r="AN47" i="4"/>
  <c r="AA47" i="4"/>
  <c r="N47" i="4"/>
  <c r="M55" i="3"/>
  <c r="L55" i="3" s="1"/>
  <c r="N49" i="3"/>
  <c r="O49" i="3" s="1"/>
  <c r="P49" i="3" s="1"/>
  <c r="O48" i="3"/>
  <c r="P48" i="3" s="1"/>
  <c r="M48" i="3"/>
  <c r="M46" i="3"/>
  <c r="L46" i="3" s="1"/>
  <c r="K46" i="3" s="1"/>
  <c r="J46" i="3" s="1"/>
  <c r="I46" i="3" s="1"/>
  <c r="H46" i="3" s="1"/>
  <c r="G46" i="3" s="1"/>
  <c r="N40" i="3"/>
  <c r="O40" i="3" s="1"/>
  <c r="P40" i="3" s="1"/>
  <c r="O39" i="3"/>
  <c r="M39" i="3"/>
  <c r="M37" i="3"/>
  <c r="L37" i="3" s="1"/>
  <c r="K37" i="3" s="1"/>
  <c r="J37" i="3" s="1"/>
  <c r="I37" i="3" s="1"/>
  <c r="H37" i="3" s="1"/>
  <c r="G37" i="3" s="1"/>
  <c r="O30" i="3"/>
  <c r="P30" i="3" s="1"/>
  <c r="Q30" i="3" s="1"/>
  <c r="M30" i="3"/>
  <c r="O29" i="3"/>
  <c r="O38" i="3" s="1"/>
  <c r="O47" i="3" s="1"/>
  <c r="O56" i="3" s="1"/>
  <c r="P29" i="3"/>
  <c r="Q29" i="3"/>
  <c r="Q38" i="3" s="1"/>
  <c r="Q47" i="3" s="1"/>
  <c r="Q56" i="3" s="1"/>
  <c r="R29" i="3"/>
  <c r="R38" i="3" s="1"/>
  <c r="R47" i="3" s="1"/>
  <c r="R56" i="3" s="1"/>
  <c r="S29" i="3"/>
  <c r="S38" i="3" s="1"/>
  <c r="S47" i="3" s="1"/>
  <c r="S56" i="3" s="1"/>
  <c r="T29" i="3"/>
  <c r="U29" i="3"/>
  <c r="U38" i="3" s="1"/>
  <c r="U47" i="3" s="1"/>
  <c r="U56" i="3" s="1"/>
  <c r="V29" i="3"/>
  <c r="V38" i="3" s="1"/>
  <c r="V47" i="3" s="1"/>
  <c r="V56" i="3" s="1"/>
  <c r="W29" i="3"/>
  <c r="W38" i="3" s="1"/>
  <c r="W47" i="3" s="1"/>
  <c r="W56" i="3" s="1"/>
  <c r="X29" i="3"/>
  <c r="Y29" i="3"/>
  <c r="Y38" i="3" s="1"/>
  <c r="Y47" i="3" s="1"/>
  <c r="Y56" i="3" s="1"/>
  <c r="Z29" i="3"/>
  <c r="Z38" i="3" s="1"/>
  <c r="Z47" i="3" s="1"/>
  <c r="Z56" i="3" s="1"/>
  <c r="AB29" i="3"/>
  <c r="AB38" i="3" s="1"/>
  <c r="AB47" i="3" s="1"/>
  <c r="AB56" i="3" s="1"/>
  <c r="AC29" i="3"/>
  <c r="AD29" i="3"/>
  <c r="AD38" i="3" s="1"/>
  <c r="AD47" i="3" s="1"/>
  <c r="AD56" i="3" s="1"/>
  <c r="AE29" i="3"/>
  <c r="AE38" i="3" s="1"/>
  <c r="AE47" i="3" s="1"/>
  <c r="AE56" i="3" s="1"/>
  <c r="AF29" i="3"/>
  <c r="AF38" i="3" s="1"/>
  <c r="AF47" i="3" s="1"/>
  <c r="AF56" i="3" s="1"/>
  <c r="AG29" i="3"/>
  <c r="AH29" i="3"/>
  <c r="AH38" i="3" s="1"/>
  <c r="AH47" i="3" s="1"/>
  <c r="AH56" i="3" s="1"/>
  <c r="AI29" i="3"/>
  <c r="AI38" i="3" s="1"/>
  <c r="AI47" i="3" s="1"/>
  <c r="AI56" i="3" s="1"/>
  <c r="AJ29" i="3"/>
  <c r="AJ38" i="3" s="1"/>
  <c r="AJ47" i="3" s="1"/>
  <c r="AJ56" i="3" s="1"/>
  <c r="AK29" i="3"/>
  <c r="AL29" i="3"/>
  <c r="AL38" i="3" s="1"/>
  <c r="AL47" i="3" s="1"/>
  <c r="AL56" i="3" s="1"/>
  <c r="AM29" i="3"/>
  <c r="AM38" i="3" s="1"/>
  <c r="AM47" i="3" s="1"/>
  <c r="AM56" i="3" s="1"/>
  <c r="AO29" i="3"/>
  <c r="AO38" i="3" s="1"/>
  <c r="AO47" i="3" s="1"/>
  <c r="AO56" i="3" s="1"/>
  <c r="AP29" i="3"/>
  <c r="AP38" i="3" s="1"/>
  <c r="AP47" i="3" s="1"/>
  <c r="AP56" i="3" s="1"/>
  <c r="AQ29" i="3"/>
  <c r="AQ38" i="3" s="1"/>
  <c r="AQ47" i="3" s="1"/>
  <c r="AQ56" i="3" s="1"/>
  <c r="AR29" i="3"/>
  <c r="AR38" i="3" s="1"/>
  <c r="AR47" i="3" s="1"/>
  <c r="AR56" i="3" s="1"/>
  <c r="AS29" i="3"/>
  <c r="AS38" i="3" s="1"/>
  <c r="AS47" i="3" s="1"/>
  <c r="AS56" i="3" s="1"/>
  <c r="AT29" i="3"/>
  <c r="AT38" i="3" s="1"/>
  <c r="AT47" i="3" s="1"/>
  <c r="AT56" i="3" s="1"/>
  <c r="AU29" i="3"/>
  <c r="AU38" i="3" s="1"/>
  <c r="AU47" i="3" s="1"/>
  <c r="AU56" i="3" s="1"/>
  <c r="AV29" i="3"/>
  <c r="AV38" i="3" s="1"/>
  <c r="AV47" i="3" s="1"/>
  <c r="AV56" i="3" s="1"/>
  <c r="AW29" i="3"/>
  <c r="AW38" i="3" s="1"/>
  <c r="AW47" i="3" s="1"/>
  <c r="AW56" i="3" s="1"/>
  <c r="AX29" i="3"/>
  <c r="AX38" i="3" s="1"/>
  <c r="AX47" i="3" s="1"/>
  <c r="AX56" i="3" s="1"/>
  <c r="AY29" i="3"/>
  <c r="AY38" i="3" s="1"/>
  <c r="AY47" i="3" s="1"/>
  <c r="AY56" i="3" s="1"/>
  <c r="AZ29" i="3"/>
  <c r="AZ38" i="3" s="1"/>
  <c r="AZ47" i="3" s="1"/>
  <c r="AZ56" i="3" s="1"/>
  <c r="BB29" i="3"/>
  <c r="BB38" i="3" s="1"/>
  <c r="BB47" i="3" s="1"/>
  <c r="BB56" i="3" s="1"/>
  <c r="BC29" i="3"/>
  <c r="BC38" i="3" s="1"/>
  <c r="BC47" i="3" s="1"/>
  <c r="BC56" i="3" s="1"/>
  <c r="BD29" i="3"/>
  <c r="BD38" i="3" s="1"/>
  <c r="BD47" i="3" s="1"/>
  <c r="BD56" i="3" s="1"/>
  <c r="BE29" i="3"/>
  <c r="BE38" i="3" s="1"/>
  <c r="BE47" i="3" s="1"/>
  <c r="BE56" i="3" s="1"/>
  <c r="BF29" i="3"/>
  <c r="BF38" i="3" s="1"/>
  <c r="BF47" i="3" s="1"/>
  <c r="BF56" i="3" s="1"/>
  <c r="BG29" i="3"/>
  <c r="BG38" i="3" s="1"/>
  <c r="BG47" i="3" s="1"/>
  <c r="BG56" i="3" s="1"/>
  <c r="BH29" i="3"/>
  <c r="BH38" i="3" s="1"/>
  <c r="BH47" i="3" s="1"/>
  <c r="BH56" i="3" s="1"/>
  <c r="BI29" i="3"/>
  <c r="BI38" i="3" s="1"/>
  <c r="BI47" i="3" s="1"/>
  <c r="BI56" i="3" s="1"/>
  <c r="BJ29" i="3"/>
  <c r="BJ38" i="3" s="1"/>
  <c r="BJ47" i="3" s="1"/>
  <c r="BJ56" i="3" s="1"/>
  <c r="BK29" i="3"/>
  <c r="BK38" i="3" s="1"/>
  <c r="BK47" i="3" s="1"/>
  <c r="BK56" i="3" s="1"/>
  <c r="BL29" i="3"/>
  <c r="BL38" i="3" s="1"/>
  <c r="BL47" i="3" s="1"/>
  <c r="BL56" i="3" s="1"/>
  <c r="BM29" i="3"/>
  <c r="BM38" i="3" s="1"/>
  <c r="BM47" i="3" s="1"/>
  <c r="BM56" i="3" s="1"/>
  <c r="M28" i="3"/>
  <c r="L28" i="3" s="1"/>
  <c r="K28" i="3" s="1"/>
  <c r="J28" i="3" s="1"/>
  <c r="I28" i="3" s="1"/>
  <c r="H28" i="3" s="1"/>
  <c r="G28" i="3" s="1"/>
  <c r="N194" i="3"/>
  <c r="J86" i="3"/>
  <c r="K86" i="3"/>
  <c r="L86" i="3"/>
  <c r="M86" i="3"/>
  <c r="O86" i="3"/>
  <c r="P86" i="3"/>
  <c r="Q86" i="3"/>
  <c r="R86" i="3"/>
  <c r="S86" i="3"/>
  <c r="T86" i="3"/>
  <c r="U86" i="3"/>
  <c r="V86" i="3"/>
  <c r="W86" i="3"/>
  <c r="X86" i="3"/>
  <c r="Y86" i="3"/>
  <c r="Z86" i="3"/>
  <c r="M40" i="4"/>
  <c r="L40" i="4"/>
  <c r="K40" i="4"/>
  <c r="J40" i="4"/>
  <c r="I40" i="4"/>
  <c r="H40" i="4"/>
  <c r="G40" i="4"/>
  <c r="M44" i="4"/>
  <c r="L44" i="4"/>
  <c r="K44" i="4"/>
  <c r="J44" i="4"/>
  <c r="I44" i="4"/>
  <c r="H44" i="4"/>
  <c r="G44" i="4"/>
  <c r="M43" i="4"/>
  <c r="L43" i="4"/>
  <c r="K43" i="4"/>
  <c r="J43" i="4"/>
  <c r="I43" i="4"/>
  <c r="H43" i="4"/>
  <c r="G43" i="4"/>
  <c r="M38" i="4"/>
  <c r="L38" i="4"/>
  <c r="K38" i="4"/>
  <c r="J38" i="4"/>
  <c r="I38" i="4"/>
  <c r="H38" i="4"/>
  <c r="G38" i="4"/>
  <c r="M37" i="4"/>
  <c r="L37" i="4"/>
  <c r="K37" i="4"/>
  <c r="J37" i="4"/>
  <c r="I37" i="4"/>
  <c r="H37" i="4"/>
  <c r="G37" i="4"/>
  <c r="M34" i="4"/>
  <c r="L34" i="4"/>
  <c r="K34" i="4"/>
  <c r="J34" i="4"/>
  <c r="I34" i="4"/>
  <c r="H34" i="4"/>
  <c r="G34" i="4"/>
  <c r="M28" i="4"/>
  <c r="L28" i="4"/>
  <c r="K28" i="4"/>
  <c r="J28" i="4"/>
  <c r="I28" i="4"/>
  <c r="H28" i="4"/>
  <c r="G28" i="4"/>
  <c r="M32" i="4"/>
  <c r="L32" i="4"/>
  <c r="K32" i="4"/>
  <c r="J32" i="4"/>
  <c r="I32" i="4"/>
  <c r="H32" i="4"/>
  <c r="G32" i="4"/>
  <c r="M31" i="4"/>
  <c r="L31" i="4"/>
  <c r="K31" i="4"/>
  <c r="J31" i="4"/>
  <c r="I31" i="4"/>
  <c r="H31" i="4"/>
  <c r="G31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B25" i="4"/>
  <c r="BC25" i="4"/>
  <c r="BD25" i="4"/>
  <c r="BE25" i="4"/>
  <c r="BF25" i="4"/>
  <c r="BG25" i="4"/>
  <c r="BH25" i="4"/>
  <c r="BI25" i="4"/>
  <c r="BJ25" i="4"/>
  <c r="BK25" i="4"/>
  <c r="BL25" i="4"/>
  <c r="BM25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AO25" i="4"/>
  <c r="AP25" i="4"/>
  <c r="AQ25" i="4"/>
  <c r="AR25" i="4"/>
  <c r="AS25" i="4"/>
  <c r="AT25" i="4"/>
  <c r="AU25" i="4"/>
  <c r="AV25" i="4"/>
  <c r="AW25" i="4"/>
  <c r="AX25" i="4"/>
  <c r="AY25" i="4"/>
  <c r="AZ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M22" i="4"/>
  <c r="L22" i="4"/>
  <c r="K22" i="4"/>
  <c r="J22" i="4"/>
  <c r="I22" i="4"/>
  <c r="H22" i="4"/>
  <c r="G22" i="4"/>
  <c r="Q22" i="4"/>
  <c r="Z22" i="4"/>
  <c r="Y22" i="4"/>
  <c r="X22" i="4"/>
  <c r="W22" i="4"/>
  <c r="V22" i="4"/>
  <c r="U22" i="4"/>
  <c r="T22" i="4"/>
  <c r="S22" i="4"/>
  <c r="R22" i="4"/>
  <c r="P22" i="4"/>
  <c r="O22" i="4"/>
  <c r="M26" i="4"/>
  <c r="L26" i="4"/>
  <c r="K26" i="4"/>
  <c r="J26" i="4"/>
  <c r="I26" i="4"/>
  <c r="H26" i="4"/>
  <c r="G26" i="4"/>
  <c r="O25" i="4"/>
  <c r="P25" i="4"/>
  <c r="Q25" i="4"/>
  <c r="R25" i="4"/>
  <c r="S25" i="4"/>
  <c r="T25" i="4"/>
  <c r="U25" i="4"/>
  <c r="V25" i="4"/>
  <c r="W25" i="4"/>
  <c r="X25" i="4"/>
  <c r="Y25" i="4"/>
  <c r="Z25" i="4"/>
  <c r="M25" i="4"/>
  <c r="L25" i="4"/>
  <c r="K25" i="4"/>
  <c r="J25" i="4"/>
  <c r="I25" i="4"/>
  <c r="H25" i="4"/>
  <c r="G25" i="4"/>
  <c r="AN13" i="4"/>
  <c r="AN67" i="3" s="1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AB77" i="3"/>
  <c r="AB86" i="3" s="1"/>
  <c r="AC77" i="3"/>
  <c r="AC86" i="3" s="1"/>
  <c r="AD77" i="3"/>
  <c r="AD86" i="3" s="1"/>
  <c r="AE77" i="3"/>
  <c r="AE86" i="3" s="1"/>
  <c r="AF77" i="3"/>
  <c r="AF86" i="3" s="1"/>
  <c r="AG77" i="3"/>
  <c r="AG86" i="3" s="1"/>
  <c r="AH77" i="3"/>
  <c r="AH86" i="3" s="1"/>
  <c r="AI77" i="3"/>
  <c r="AI86" i="3" s="1"/>
  <c r="AJ77" i="3"/>
  <c r="AJ86" i="3" s="1"/>
  <c r="AK77" i="3"/>
  <c r="AK86" i="3" s="1"/>
  <c r="AL77" i="3"/>
  <c r="AL86" i="3" s="1"/>
  <c r="AM77" i="3"/>
  <c r="AM86" i="3" s="1"/>
  <c r="AO77" i="3"/>
  <c r="AO86" i="3" s="1"/>
  <c r="AP77" i="3"/>
  <c r="AP86" i="3" s="1"/>
  <c r="AQ77" i="3"/>
  <c r="AQ86" i="3" s="1"/>
  <c r="AR77" i="3"/>
  <c r="AR86" i="3" s="1"/>
  <c r="AS77" i="3"/>
  <c r="AS86" i="3" s="1"/>
  <c r="AT77" i="3"/>
  <c r="AT86" i="3" s="1"/>
  <c r="AU77" i="3"/>
  <c r="AU86" i="3" s="1"/>
  <c r="AV77" i="3"/>
  <c r="AV86" i="3" s="1"/>
  <c r="AW77" i="3"/>
  <c r="AW86" i="3" s="1"/>
  <c r="AX77" i="3"/>
  <c r="AX86" i="3" s="1"/>
  <c r="AY77" i="3"/>
  <c r="AY86" i="3" s="1"/>
  <c r="AZ77" i="3"/>
  <c r="AZ86" i="3" s="1"/>
  <c r="BB77" i="3"/>
  <c r="BB86" i="3" s="1"/>
  <c r="BC77" i="3"/>
  <c r="BC86" i="3" s="1"/>
  <c r="BD77" i="3"/>
  <c r="BD86" i="3" s="1"/>
  <c r="BE77" i="3"/>
  <c r="BE86" i="3" s="1"/>
  <c r="BF77" i="3"/>
  <c r="BF86" i="3" s="1"/>
  <c r="BG77" i="3"/>
  <c r="BG86" i="3" s="1"/>
  <c r="BH77" i="3"/>
  <c r="BH86" i="3" s="1"/>
  <c r="BI77" i="3"/>
  <c r="BI86" i="3" s="1"/>
  <c r="BJ77" i="3"/>
  <c r="BJ86" i="3" s="1"/>
  <c r="BK77" i="3"/>
  <c r="BK86" i="3" s="1"/>
  <c r="BL77" i="3"/>
  <c r="BL86" i="3" s="1"/>
  <c r="BM77" i="3"/>
  <c r="BM86" i="3" s="1"/>
  <c r="N13" i="4"/>
  <c r="BN22" i="4"/>
  <c r="BA22" i="4"/>
  <c r="AN22" i="4"/>
  <c r="AA22" i="4"/>
  <c r="N22" i="4"/>
  <c r="F16" i="7" s="1"/>
  <c r="BA13" i="4"/>
  <c r="BA29" i="3" s="1"/>
  <c r="BN13" i="4"/>
  <c r="BN29" i="3" s="1"/>
  <c r="H5" i="4"/>
  <c r="I5" i="4" s="1"/>
  <c r="J5" i="4" s="1"/>
  <c r="K5" i="4" s="1"/>
  <c r="L5" i="4" s="1"/>
  <c r="M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O5" i="4" s="1"/>
  <c r="AP5" i="4" s="1"/>
  <c r="AQ5" i="4" s="1"/>
  <c r="AR5" i="4" s="1"/>
  <c r="AS5" i="4" s="1"/>
  <c r="AT5" i="4" s="1"/>
  <c r="AU5" i="4" s="1"/>
  <c r="AV5" i="4" s="1"/>
  <c r="AW5" i="4" s="1"/>
  <c r="AX5" i="4" s="1"/>
  <c r="AY5" i="4" s="1"/>
  <c r="AZ5" i="4" s="1"/>
  <c r="BB5" i="4" s="1"/>
  <c r="BC5" i="4" s="1"/>
  <c r="BD5" i="4" s="1"/>
  <c r="H6" i="5"/>
  <c r="I6" i="5" s="1"/>
  <c r="C125" i="10" l="1"/>
  <c r="C124" i="10"/>
  <c r="C123" i="10"/>
  <c r="D41" i="9"/>
  <c r="D43" i="9"/>
  <c r="L158" i="6"/>
  <c r="V145" i="14"/>
  <c r="W145" i="14" s="1"/>
  <c r="X145" i="14" s="1"/>
  <c r="Y145" i="14" s="1"/>
  <c r="Z145" i="14" s="1"/>
  <c r="AA145" i="14" s="1"/>
  <c r="AB145" i="14" s="1"/>
  <c r="AC145" i="14" s="1"/>
  <c r="AD145" i="14" s="1"/>
  <c r="AE145" i="14" s="1"/>
  <c r="AF145" i="14" s="1"/>
  <c r="AG145" i="14" s="1"/>
  <c r="J6" i="5"/>
  <c r="K6" i="5" s="1"/>
  <c r="L6" i="5" s="1"/>
  <c r="M6" i="5" s="1"/>
  <c r="O6" i="5" s="1"/>
  <c r="P6" i="5" s="1"/>
  <c r="Q6" i="5" s="1"/>
  <c r="R6" i="5" s="1"/>
  <c r="S6" i="5" s="1"/>
  <c r="T6" i="5" s="1"/>
  <c r="U6" i="5" s="1"/>
  <c r="V6" i="5" s="1"/>
  <c r="W6" i="5" s="1"/>
  <c r="X6" i="5" s="1"/>
  <c r="Y6" i="5" s="1"/>
  <c r="Z6" i="5" s="1"/>
  <c r="AB6" i="5" s="1"/>
  <c r="AC6" i="5" s="1"/>
  <c r="AD6" i="5" s="1"/>
  <c r="AE6" i="5" s="1"/>
  <c r="AF6" i="5" s="1"/>
  <c r="AG6" i="5" s="1"/>
  <c r="AH6" i="5" s="1"/>
  <c r="AI6" i="5" s="1"/>
  <c r="AJ6" i="5" s="1"/>
  <c r="AK6" i="5" s="1"/>
  <c r="AL6" i="5" s="1"/>
  <c r="AM6" i="5" s="1"/>
  <c r="AO6" i="5" s="1"/>
  <c r="AP6" i="5" s="1"/>
  <c r="AQ6" i="5" s="1"/>
  <c r="AR6" i="5" s="1"/>
  <c r="AS6" i="5" s="1"/>
  <c r="AT6" i="5" s="1"/>
  <c r="AU6" i="5" s="1"/>
  <c r="AV6" i="5" s="1"/>
  <c r="AW6" i="5" s="1"/>
  <c r="AX6" i="5" s="1"/>
  <c r="AY6" i="5" s="1"/>
  <c r="AZ6" i="5" s="1"/>
  <c r="BB6" i="5" s="1"/>
  <c r="BC6" i="5" s="1"/>
  <c r="BD6" i="5" s="1"/>
  <c r="BE6" i="5" s="1"/>
  <c r="BF6" i="5" s="1"/>
  <c r="BG6" i="5" s="1"/>
  <c r="BH6" i="5" s="1"/>
  <c r="BI6" i="5" s="1"/>
  <c r="BJ6" i="5" s="1"/>
  <c r="BK6" i="5" s="1"/>
  <c r="BL6" i="5" s="1"/>
  <c r="BM6" i="5" s="1"/>
  <c r="J141" i="14"/>
  <c r="J85" i="14" s="1"/>
  <c r="K139" i="14"/>
  <c r="N61" i="3"/>
  <c r="O61" i="3" s="1"/>
  <c r="O42" i="3" s="1"/>
  <c r="G101" i="10"/>
  <c r="F15" i="10"/>
  <c r="G29" i="10"/>
  <c r="G15" i="10" s="1"/>
  <c r="C62" i="10" s="1"/>
  <c r="G89" i="10"/>
  <c r="H89" i="10" s="1"/>
  <c r="F35" i="10"/>
  <c r="G32" i="10" s="1"/>
  <c r="F90" i="10"/>
  <c r="E23" i="10"/>
  <c r="E88" i="10"/>
  <c r="F47" i="10"/>
  <c r="L97" i="5" s="1"/>
  <c r="N19" i="14"/>
  <c r="F12" i="8"/>
  <c r="E38" i="10"/>
  <c r="D17" i="10"/>
  <c r="L85" i="3"/>
  <c r="P44" i="10"/>
  <c r="H44" i="10"/>
  <c r="I44" i="10" s="1"/>
  <c r="J154" i="6"/>
  <c r="K152" i="6"/>
  <c r="L152" i="6" s="1"/>
  <c r="M152" i="6" s="1"/>
  <c r="D55" i="9"/>
  <c r="D56" i="9"/>
  <c r="G202" i="3"/>
  <c r="G209" i="3" s="1"/>
  <c r="G215" i="3" s="1"/>
  <c r="G119" i="6" s="1"/>
  <c r="N200" i="3"/>
  <c r="N206" i="3" s="1"/>
  <c r="N212" i="3" s="1"/>
  <c r="O194" i="3"/>
  <c r="I6" i="3"/>
  <c r="H165" i="3"/>
  <c r="H173" i="3" s="1"/>
  <c r="H181" i="3" s="1"/>
  <c r="H189" i="3" s="1"/>
  <c r="H197" i="3" s="1"/>
  <c r="I152" i="6"/>
  <c r="Q42" i="2"/>
  <c r="Q47" i="2" s="1"/>
  <c r="AN29" i="3"/>
  <c r="AN38" i="3" s="1"/>
  <c r="AN47" i="3" s="1"/>
  <c r="AN56" i="3" s="1"/>
  <c r="H79" i="10"/>
  <c r="BN226" i="3"/>
  <c r="BN227" i="3" s="1"/>
  <c r="BN228" i="3" s="1"/>
  <c r="P180" i="3"/>
  <c r="P114" i="3"/>
  <c r="P164" i="3"/>
  <c r="P170" i="3" s="1"/>
  <c r="P178" i="3" s="1"/>
  <c r="P104" i="3"/>
  <c r="H202" i="3"/>
  <c r="H209" i="3" s="1"/>
  <c r="H215" i="3" s="1"/>
  <c r="G129" i="6"/>
  <c r="I129" i="6"/>
  <c r="K231" i="3"/>
  <c r="J231" i="3" s="1"/>
  <c r="I231" i="3" s="1"/>
  <c r="H231" i="3" s="1"/>
  <c r="G231" i="3" s="1"/>
  <c r="P234" i="3"/>
  <c r="Q234" i="3" s="1"/>
  <c r="R234" i="3" s="1"/>
  <c r="S234" i="3" s="1"/>
  <c r="T234" i="3" s="1"/>
  <c r="U234" i="3" s="1"/>
  <c r="V234" i="3" s="1"/>
  <c r="W234" i="3" s="1"/>
  <c r="W15" i="3"/>
  <c r="P232" i="3"/>
  <c r="Q232" i="3" s="1"/>
  <c r="H119" i="6"/>
  <c r="AJ15" i="3"/>
  <c r="AF15" i="3"/>
  <c r="O15" i="3"/>
  <c r="S15" i="3"/>
  <c r="AB15" i="3"/>
  <c r="BF15" i="3"/>
  <c r="AO15" i="3"/>
  <c r="AC38" i="3"/>
  <c r="AC47" i="3" s="1"/>
  <c r="AC56" i="3" s="1"/>
  <c r="AC15" i="3"/>
  <c r="BJ15" i="3"/>
  <c r="AS15" i="3"/>
  <c r="P231" i="3"/>
  <c r="BB15" i="3"/>
  <c r="AK38" i="3"/>
  <c r="AK47" i="3" s="1"/>
  <c r="AK56" i="3" s="1"/>
  <c r="AK15" i="3"/>
  <c r="AG38" i="3"/>
  <c r="AG47" i="3" s="1"/>
  <c r="AG56" i="3" s="1"/>
  <c r="AG15" i="3"/>
  <c r="X38" i="3"/>
  <c r="X47" i="3" s="1"/>
  <c r="X56" i="3" s="1"/>
  <c r="X15" i="3"/>
  <c r="T38" i="3"/>
  <c r="T47" i="3" s="1"/>
  <c r="T56" i="3" s="1"/>
  <c r="T15" i="3"/>
  <c r="P38" i="3"/>
  <c r="P47" i="3" s="1"/>
  <c r="P56" i="3" s="1"/>
  <c r="P15" i="3"/>
  <c r="AW15" i="3"/>
  <c r="BM15" i="3"/>
  <c r="BI15" i="3"/>
  <c r="BE15" i="3"/>
  <c r="AZ15" i="3"/>
  <c r="AV15" i="3"/>
  <c r="AR15" i="3"/>
  <c r="AM15" i="3"/>
  <c r="AI15" i="3"/>
  <c r="AE15" i="3"/>
  <c r="Z15" i="3"/>
  <c r="V15" i="3"/>
  <c r="R15" i="3"/>
  <c r="BL15" i="3"/>
  <c r="BH15" i="3"/>
  <c r="BD15" i="3"/>
  <c r="AY15" i="3"/>
  <c r="AU15" i="3"/>
  <c r="AQ15" i="3"/>
  <c r="AL15" i="3"/>
  <c r="AH15" i="3"/>
  <c r="AD15" i="3"/>
  <c r="Y15" i="3"/>
  <c r="U15" i="3"/>
  <c r="Q15" i="3"/>
  <c r="L232" i="3"/>
  <c r="BK15" i="3"/>
  <c r="BG15" i="3"/>
  <c r="BC15" i="3"/>
  <c r="AX15" i="3"/>
  <c r="AT15" i="3"/>
  <c r="AP15" i="3"/>
  <c r="BN38" i="3"/>
  <c r="BN47" i="3" s="1"/>
  <c r="BN56" i="3" s="1"/>
  <c r="BN15" i="3"/>
  <c r="BA38" i="3"/>
  <c r="BA47" i="3" s="1"/>
  <c r="BA56" i="3" s="1"/>
  <c r="BA15" i="3"/>
  <c r="N77" i="3"/>
  <c r="N86" i="3" s="1"/>
  <c r="BN67" i="3"/>
  <c r="N67" i="3"/>
  <c r="BA67" i="3"/>
  <c r="Q183" i="5"/>
  <c r="Q30" i="6" s="1"/>
  <c r="D11" i="7"/>
  <c r="O6" i="7"/>
  <c r="L66" i="3"/>
  <c r="M54" i="5"/>
  <c r="K55" i="3"/>
  <c r="L46" i="5"/>
  <c r="AO60" i="3"/>
  <c r="BN61" i="3"/>
  <c r="AA61" i="3"/>
  <c r="AB61" i="3" s="1"/>
  <c r="AB42" i="3" s="1"/>
  <c r="BB60" i="3"/>
  <c r="AU101" i="10" s="1"/>
  <c r="M46" i="5"/>
  <c r="N50" i="3"/>
  <c r="BA61" i="3"/>
  <c r="O60" i="3"/>
  <c r="AN61" i="3"/>
  <c r="M60" i="3"/>
  <c r="AB60" i="3"/>
  <c r="N41" i="3"/>
  <c r="H80" i="10" s="1"/>
  <c r="M49" i="3"/>
  <c r="Q48" i="3"/>
  <c r="L48" i="3"/>
  <c r="R30" i="3"/>
  <c r="P39" i="3"/>
  <c r="M31" i="3"/>
  <c r="L30" i="3"/>
  <c r="L39" i="3"/>
  <c r="N149" i="5"/>
  <c r="N156" i="5" s="1"/>
  <c r="N163" i="5" s="1"/>
  <c r="N170" i="5" s="1"/>
  <c r="AN77" i="3"/>
  <c r="AN86" i="3" s="1"/>
  <c r="AN223" i="3"/>
  <c r="BN77" i="3"/>
  <c r="BN86" i="3" s="1"/>
  <c r="BN223" i="3"/>
  <c r="BA77" i="3"/>
  <c r="BA86" i="3" s="1"/>
  <c r="BA223" i="3"/>
  <c r="BE5" i="4"/>
  <c r="BF5" i="4" s="1"/>
  <c r="BG5" i="4" s="1"/>
  <c r="BH5" i="4" s="1"/>
  <c r="BI5" i="4" s="1"/>
  <c r="BJ5" i="4" s="1"/>
  <c r="BK5" i="4" s="1"/>
  <c r="BL5" i="4" s="1"/>
  <c r="BM5" i="4" s="1"/>
  <c r="N190" i="3"/>
  <c r="N182" i="3"/>
  <c r="N174" i="3"/>
  <c r="N122" i="5" s="1"/>
  <c r="N158" i="5" s="1"/>
  <c r="N166" i="3"/>
  <c r="N100" i="3"/>
  <c r="Q158" i="3"/>
  <c r="P158" i="3"/>
  <c r="O158" i="3"/>
  <c r="D143" i="3"/>
  <c r="N233" i="3"/>
  <c r="M194" i="3"/>
  <c r="M69" i="5"/>
  <c r="L76" i="3"/>
  <c r="L69" i="5" s="1"/>
  <c r="K76" i="3"/>
  <c r="K69" i="5" s="1"/>
  <c r="J76" i="3"/>
  <c r="J69" i="5" s="1"/>
  <c r="M89" i="3"/>
  <c r="M92" i="3"/>
  <c r="N69" i="5"/>
  <c r="B2" i="5"/>
  <c r="B3" i="5"/>
  <c r="D44" i="9" l="1"/>
  <c r="M158" i="6"/>
  <c r="AT145" i="14" s="1"/>
  <c r="AH145" i="14"/>
  <c r="AI145" i="14" s="1"/>
  <c r="AJ145" i="14" s="1"/>
  <c r="AK145" i="14" s="1"/>
  <c r="AL145" i="14" s="1"/>
  <c r="AM145" i="14" s="1"/>
  <c r="AN145" i="14" s="1"/>
  <c r="AO145" i="14" s="1"/>
  <c r="AP145" i="14" s="1"/>
  <c r="AQ145" i="14" s="1"/>
  <c r="AR145" i="14" s="1"/>
  <c r="AS145" i="14" s="1"/>
  <c r="F112" i="10"/>
  <c r="F119" i="10" s="1"/>
  <c r="G46" i="10"/>
  <c r="L139" i="14"/>
  <c r="K141" i="14"/>
  <c r="K85" i="14" s="1"/>
  <c r="G141" i="14"/>
  <c r="G85" i="14" s="1"/>
  <c r="J104" i="6"/>
  <c r="H81" i="10"/>
  <c r="N62" i="3"/>
  <c r="N63" i="3" s="1"/>
  <c r="M61" i="3"/>
  <c r="M37" i="5" s="1"/>
  <c r="AB37" i="5"/>
  <c r="U101" i="10"/>
  <c r="AB33" i="3"/>
  <c r="AH101" i="10"/>
  <c r="AO33" i="3"/>
  <c r="H101" i="10"/>
  <c r="O33" i="3"/>
  <c r="O37" i="5"/>
  <c r="F101" i="10"/>
  <c r="M90" i="5"/>
  <c r="G112" i="10"/>
  <c r="I26" i="10"/>
  <c r="I29" i="10" s="1"/>
  <c r="J26" i="10" s="1"/>
  <c r="G35" i="10"/>
  <c r="I32" i="10" s="1"/>
  <c r="G90" i="10"/>
  <c r="H90" i="10" s="1"/>
  <c r="F16" i="10"/>
  <c r="F113" i="10" s="1"/>
  <c r="F20" i="10"/>
  <c r="E14" i="10"/>
  <c r="E41" i="10"/>
  <c r="F38" i="10" s="1"/>
  <c r="E91" i="10"/>
  <c r="E48" i="10"/>
  <c r="E49" i="10" s="1"/>
  <c r="D114" i="10"/>
  <c r="O19" i="14"/>
  <c r="G47" i="10"/>
  <c r="M97" i="5" s="1"/>
  <c r="O41" i="3"/>
  <c r="M32" i="3"/>
  <c r="I46" i="10"/>
  <c r="E17" i="10"/>
  <c r="Q44" i="10"/>
  <c r="D57" i="9"/>
  <c r="J6" i="3"/>
  <c r="I95" i="3"/>
  <c r="I105" i="3" s="1"/>
  <c r="I115" i="3" s="1"/>
  <c r="I125" i="3" s="1"/>
  <c r="I165" i="3"/>
  <c r="I173" i="3" s="1"/>
  <c r="O200" i="3"/>
  <c r="P194" i="3"/>
  <c r="M233" i="3"/>
  <c r="L233" i="3" s="1"/>
  <c r="K233" i="3" s="1"/>
  <c r="G161" i="3"/>
  <c r="H161" i="3"/>
  <c r="I161" i="3"/>
  <c r="N110" i="3"/>
  <c r="N120" i="3" s="1"/>
  <c r="O100" i="3"/>
  <c r="P100" i="3" s="1"/>
  <c r="H152" i="6"/>
  <c r="I154" i="6"/>
  <c r="AN15" i="3"/>
  <c r="N41" i="5"/>
  <c r="O50" i="3"/>
  <c r="H129" i="6"/>
  <c r="O233" i="3"/>
  <c r="P233" i="3" s="1"/>
  <c r="X234" i="3"/>
  <c r="K232" i="3"/>
  <c r="Q231" i="3"/>
  <c r="R232" i="3"/>
  <c r="N38" i="3"/>
  <c r="N47" i="3" s="1"/>
  <c r="N56" i="3" s="1"/>
  <c r="R183" i="5"/>
  <c r="R30" i="6" s="1"/>
  <c r="M50" i="3"/>
  <c r="K66" i="3"/>
  <c r="L54" i="5"/>
  <c r="AC61" i="3"/>
  <c r="AC42" i="3" s="1"/>
  <c r="AC37" i="5" s="1"/>
  <c r="BC60" i="3"/>
  <c r="BN62" i="3"/>
  <c r="AP60" i="3"/>
  <c r="AC60" i="3"/>
  <c r="P60" i="3"/>
  <c r="N31" i="5"/>
  <c r="M41" i="3"/>
  <c r="G80" i="10" s="1"/>
  <c r="N36" i="5"/>
  <c r="L60" i="3"/>
  <c r="P61" i="3"/>
  <c r="P42" i="3" s="1"/>
  <c r="P37" i="5" s="1"/>
  <c r="BB61" i="3"/>
  <c r="AA62" i="3"/>
  <c r="J55" i="3"/>
  <c r="I55" i="3" s="1"/>
  <c r="H55" i="3" s="1"/>
  <c r="G55" i="3" s="1"/>
  <c r="K46" i="5"/>
  <c r="BA62" i="3"/>
  <c r="AN62" i="3"/>
  <c r="AO61" i="3"/>
  <c r="AO42" i="3" s="1"/>
  <c r="O62" i="3"/>
  <c r="O51" i="3" s="1"/>
  <c r="M62" i="3"/>
  <c r="R48" i="3"/>
  <c r="L49" i="3"/>
  <c r="K48" i="3"/>
  <c r="K30" i="3"/>
  <c r="L31" i="3"/>
  <c r="L40" i="3"/>
  <c r="K39" i="3"/>
  <c r="Q39" i="3"/>
  <c r="S30" i="3"/>
  <c r="M200" i="3"/>
  <c r="M206" i="3" s="1"/>
  <c r="M212" i="3" s="1"/>
  <c r="M149" i="5"/>
  <c r="M156" i="5" s="1"/>
  <c r="M163" i="5" s="1"/>
  <c r="M170" i="5" s="1"/>
  <c r="N140" i="5"/>
  <c r="N172" i="5" s="1"/>
  <c r="N214" i="3"/>
  <c r="N131" i="5"/>
  <c r="N165" i="5" s="1"/>
  <c r="N208" i="3"/>
  <c r="N113" i="5"/>
  <c r="N196" i="3"/>
  <c r="N101" i="3"/>
  <c r="N79" i="5"/>
  <c r="L182" i="3"/>
  <c r="P182" i="3"/>
  <c r="L84" i="3"/>
  <c r="L194" i="3" s="1"/>
  <c r="M74" i="5"/>
  <c r="M182" i="3"/>
  <c r="M190" i="3"/>
  <c r="O190" i="3"/>
  <c r="O182" i="3"/>
  <c r="O174" i="3"/>
  <c r="O122" i="5" s="1"/>
  <c r="O158" i="5" s="1"/>
  <c r="M174" i="3"/>
  <c r="M122" i="5" s="1"/>
  <c r="M158" i="5" s="1"/>
  <c r="M166" i="3"/>
  <c r="O166" i="3"/>
  <c r="N102" i="3"/>
  <c r="N112" i="3" s="1"/>
  <c r="N122" i="3" s="1"/>
  <c r="L89" i="3"/>
  <c r="M100" i="3"/>
  <c r="M110" i="3" s="1"/>
  <c r="M120" i="3" s="1"/>
  <c r="L92" i="3"/>
  <c r="M103" i="3"/>
  <c r="M113" i="3" s="1"/>
  <c r="M123" i="3" s="1"/>
  <c r="N103" i="3"/>
  <c r="N113" i="3" s="1"/>
  <c r="N123" i="3" s="1"/>
  <c r="M91" i="3"/>
  <c r="I89" i="10" l="1"/>
  <c r="G119" i="10"/>
  <c r="H119" i="10" s="1"/>
  <c r="C68" i="10" s="1"/>
  <c r="H112" i="10"/>
  <c r="L141" i="14"/>
  <c r="L85" i="14" s="1"/>
  <c r="M139" i="14"/>
  <c r="L61" i="3"/>
  <c r="L42" i="3" s="1"/>
  <c r="L37" i="5" s="1"/>
  <c r="L50" i="3"/>
  <c r="F81" i="10" s="1"/>
  <c r="G81" i="10"/>
  <c r="P50" i="3"/>
  <c r="J81" i="10" s="1"/>
  <c r="I81" i="10"/>
  <c r="AO37" i="5"/>
  <c r="AB32" i="5"/>
  <c r="V101" i="10"/>
  <c r="AC33" i="3"/>
  <c r="AC32" i="5" s="1"/>
  <c r="AO32" i="5"/>
  <c r="AI101" i="10"/>
  <c r="AP33" i="3"/>
  <c r="AP32" i="5" s="1"/>
  <c r="E101" i="10"/>
  <c r="L33" i="3"/>
  <c r="L32" i="5" s="1"/>
  <c r="M32" i="5"/>
  <c r="I101" i="10"/>
  <c r="P33" i="3"/>
  <c r="P32" i="5" s="1"/>
  <c r="O32" i="5"/>
  <c r="G16" i="10"/>
  <c r="C63" i="10" s="1"/>
  <c r="K104" i="5"/>
  <c r="H46" i="10"/>
  <c r="N90" i="5" s="1"/>
  <c r="L83" i="5"/>
  <c r="E111" i="10"/>
  <c r="J29" i="10"/>
  <c r="J89" i="10"/>
  <c r="F23" i="10"/>
  <c r="F88" i="10"/>
  <c r="F41" i="10"/>
  <c r="G38" i="10" s="1"/>
  <c r="F91" i="10"/>
  <c r="I35" i="10"/>
  <c r="J32" i="10" s="1"/>
  <c r="I90" i="10"/>
  <c r="I15" i="10"/>
  <c r="H47" i="10"/>
  <c r="N97" i="5" s="1"/>
  <c r="D115" i="10"/>
  <c r="F48" i="10"/>
  <c r="L104" i="5" s="1"/>
  <c r="E114" i="10"/>
  <c r="O32" i="3"/>
  <c r="P41" i="3"/>
  <c r="J80" i="10" s="1"/>
  <c r="I80" i="10"/>
  <c r="P19" i="14"/>
  <c r="I16" i="10"/>
  <c r="I113" i="10" s="1"/>
  <c r="I120" i="10" s="1"/>
  <c r="I47" i="10"/>
  <c r="O97" i="5" s="1"/>
  <c r="R44" i="10"/>
  <c r="O90" i="5"/>
  <c r="I181" i="3"/>
  <c r="I189" i="3" s="1"/>
  <c r="I197" i="3" s="1"/>
  <c r="I202" i="3"/>
  <c r="I209" i="3" s="1"/>
  <c r="I215" i="3" s="1"/>
  <c r="G162" i="3"/>
  <c r="G171" i="3" s="1"/>
  <c r="G179" i="3" s="1"/>
  <c r="G187" i="3" s="1"/>
  <c r="G170" i="3"/>
  <c r="G178" i="3" s="1"/>
  <c r="G186" i="3" s="1"/>
  <c r="I170" i="3"/>
  <c r="I178" i="3" s="1"/>
  <c r="I186" i="3" s="1"/>
  <c r="I162" i="3"/>
  <c r="I171" i="3" s="1"/>
  <c r="I179" i="3" s="1"/>
  <c r="I187" i="3" s="1"/>
  <c r="H162" i="3"/>
  <c r="H171" i="3" s="1"/>
  <c r="H179" i="3" s="1"/>
  <c r="H187" i="3" s="1"/>
  <c r="H170" i="3"/>
  <c r="H178" i="3" s="1"/>
  <c r="H186" i="3" s="1"/>
  <c r="G152" i="6"/>
  <c r="G154" i="6" s="1"/>
  <c r="H154" i="6"/>
  <c r="Y234" i="3"/>
  <c r="I126" i="6"/>
  <c r="S232" i="3"/>
  <c r="J232" i="3"/>
  <c r="I232" i="3" s="1"/>
  <c r="H232" i="3" s="1"/>
  <c r="G232" i="3" s="1"/>
  <c r="R231" i="3"/>
  <c r="Q233" i="3"/>
  <c r="J233" i="3"/>
  <c r="I233" i="3" s="1"/>
  <c r="H233" i="3" s="1"/>
  <c r="G233" i="3" s="1"/>
  <c r="M41" i="5"/>
  <c r="C11" i="7"/>
  <c r="J66" i="3"/>
  <c r="I66" i="3" s="1"/>
  <c r="H66" i="3" s="1"/>
  <c r="G66" i="3" s="1"/>
  <c r="K54" i="5"/>
  <c r="L62" i="3"/>
  <c r="L51" i="3" s="1"/>
  <c r="Q61" i="3"/>
  <c r="Q42" i="3" s="1"/>
  <c r="Q37" i="5" s="1"/>
  <c r="L41" i="3"/>
  <c r="F80" i="10" s="1"/>
  <c r="M36" i="5"/>
  <c r="BA63" i="3"/>
  <c r="AQ60" i="3"/>
  <c r="BB62" i="3"/>
  <c r="BC61" i="3"/>
  <c r="K60" i="3"/>
  <c r="L32" i="3"/>
  <c r="F79" i="10" s="1"/>
  <c r="M31" i="5"/>
  <c r="P62" i="3"/>
  <c r="P51" i="3" s="1"/>
  <c r="J46" i="5"/>
  <c r="Q60" i="3"/>
  <c r="BD60" i="3"/>
  <c r="AP61" i="3"/>
  <c r="AP42" i="3" s="1"/>
  <c r="AP37" i="5" s="1"/>
  <c r="AA63" i="3"/>
  <c r="AB62" i="3"/>
  <c r="AB51" i="3" s="1"/>
  <c r="AD60" i="3"/>
  <c r="BN63" i="3"/>
  <c r="AD61" i="3"/>
  <c r="AD42" i="3" s="1"/>
  <c r="AD37" i="5" s="1"/>
  <c r="M63" i="3"/>
  <c r="O63" i="3"/>
  <c r="O57" i="3" s="1"/>
  <c r="AN63" i="3"/>
  <c r="AO62" i="3"/>
  <c r="AO51" i="3" s="1"/>
  <c r="K49" i="3"/>
  <c r="J48" i="3"/>
  <c r="I48" i="3" s="1"/>
  <c r="S48" i="3"/>
  <c r="R39" i="3"/>
  <c r="J39" i="3"/>
  <c r="I39" i="3" s="1"/>
  <c r="K40" i="3"/>
  <c r="T30" i="3"/>
  <c r="J30" i="3"/>
  <c r="K31" i="3"/>
  <c r="M140" i="5"/>
  <c r="M172" i="5" s="1"/>
  <c r="M214" i="3"/>
  <c r="L200" i="3"/>
  <c r="L206" i="3" s="1"/>
  <c r="L212" i="3" s="1"/>
  <c r="L149" i="5"/>
  <c r="L156" i="5" s="1"/>
  <c r="L163" i="5" s="1"/>
  <c r="L170" i="5" s="1"/>
  <c r="N203" i="3"/>
  <c r="N151" i="5"/>
  <c r="O140" i="5"/>
  <c r="O172" i="5" s="1"/>
  <c r="O214" i="3"/>
  <c r="M131" i="5"/>
  <c r="M165" i="5" s="1"/>
  <c r="M208" i="3"/>
  <c r="P174" i="3"/>
  <c r="P122" i="5" s="1"/>
  <c r="P158" i="5" s="1"/>
  <c r="O131" i="5"/>
  <c r="O165" i="5" s="1"/>
  <c r="O208" i="3"/>
  <c r="P131" i="5"/>
  <c r="P165" i="5" s="1"/>
  <c r="P208" i="3"/>
  <c r="L131" i="5"/>
  <c r="L165" i="5" s="1"/>
  <c r="L208" i="3"/>
  <c r="M113" i="5"/>
  <c r="M196" i="3"/>
  <c r="P190" i="3"/>
  <c r="M79" i="5"/>
  <c r="O113" i="5"/>
  <c r="O196" i="3"/>
  <c r="L166" i="3"/>
  <c r="N111" i="3"/>
  <c r="N86" i="5"/>
  <c r="I119" i="6"/>
  <c r="K84" i="3"/>
  <c r="K194" i="3" s="1"/>
  <c r="L74" i="5"/>
  <c r="L190" i="3"/>
  <c r="L174" i="3"/>
  <c r="L122" i="5" s="1"/>
  <c r="L158" i="5" s="1"/>
  <c r="P166" i="3"/>
  <c r="L91" i="3"/>
  <c r="M102" i="3"/>
  <c r="M112" i="3" s="1"/>
  <c r="M122" i="3" s="1"/>
  <c r="K92" i="3"/>
  <c r="L103" i="3"/>
  <c r="L113" i="3" s="1"/>
  <c r="L123" i="3" s="1"/>
  <c r="K89" i="3"/>
  <c r="L100" i="3"/>
  <c r="L110" i="3" s="1"/>
  <c r="L120" i="3" s="1"/>
  <c r="L90" i="3"/>
  <c r="G113" i="10" l="1"/>
  <c r="I112" i="10"/>
  <c r="I119" i="10" s="1"/>
  <c r="J46" i="10"/>
  <c r="P90" i="5" s="1"/>
  <c r="N139" i="14"/>
  <c r="M141" i="14"/>
  <c r="M85" i="14" s="1"/>
  <c r="K50" i="3"/>
  <c r="E81" i="10" s="1"/>
  <c r="K61" i="3"/>
  <c r="K42" i="3" s="1"/>
  <c r="K37" i="5" s="1"/>
  <c r="L41" i="5"/>
  <c r="W101" i="10"/>
  <c r="AD33" i="3"/>
  <c r="AJ101" i="10"/>
  <c r="AQ33" i="3"/>
  <c r="J101" i="10"/>
  <c r="Q33" i="3"/>
  <c r="Q32" i="5" s="1"/>
  <c r="D101" i="10"/>
  <c r="K33" i="3"/>
  <c r="K32" i="5" s="1"/>
  <c r="G41" i="10"/>
  <c r="I38" i="10" s="1"/>
  <c r="G91" i="10"/>
  <c r="H91" i="10" s="1"/>
  <c r="J35" i="10"/>
  <c r="K32" i="10" s="1"/>
  <c r="J90" i="10"/>
  <c r="J15" i="10"/>
  <c r="K26" i="10"/>
  <c r="F17" i="10"/>
  <c r="G48" i="10" s="1"/>
  <c r="F14" i="10"/>
  <c r="G20" i="10"/>
  <c r="F49" i="10"/>
  <c r="E115" i="10"/>
  <c r="D124" i="10"/>
  <c r="D125" i="10"/>
  <c r="D123" i="10"/>
  <c r="P32" i="3"/>
  <c r="J79" i="10" s="1"/>
  <c r="I79" i="10"/>
  <c r="O31" i="5"/>
  <c r="Q19" i="14"/>
  <c r="J47" i="10"/>
  <c r="P97" i="5" s="1"/>
  <c r="G17" i="10"/>
  <c r="S44" i="10"/>
  <c r="I49" i="3"/>
  <c r="H48" i="3"/>
  <c r="J31" i="3"/>
  <c r="I30" i="3"/>
  <c r="I40" i="3"/>
  <c r="H39" i="3"/>
  <c r="Z234" i="3"/>
  <c r="G126" i="6"/>
  <c r="H126" i="6"/>
  <c r="S231" i="3"/>
  <c r="T232" i="3"/>
  <c r="R233" i="3"/>
  <c r="S183" i="5"/>
  <c r="S30" i="6" s="1"/>
  <c r="J165" i="3"/>
  <c r="J173" i="3" s="1"/>
  <c r="J202" i="3" s="1"/>
  <c r="J209" i="3" s="1"/>
  <c r="J215" i="3" s="1"/>
  <c r="J54" i="5"/>
  <c r="AE61" i="3"/>
  <c r="AE42" i="3" s="1"/>
  <c r="AE37" i="5" s="1"/>
  <c r="BE60" i="3"/>
  <c r="J60" i="3"/>
  <c r="R61" i="3"/>
  <c r="R42" i="3" s="1"/>
  <c r="R37" i="5" s="1"/>
  <c r="P63" i="3"/>
  <c r="P57" i="3" s="1"/>
  <c r="AE60" i="3"/>
  <c r="AC62" i="3"/>
  <c r="AC51" i="3" s="1"/>
  <c r="AQ61" i="3"/>
  <c r="AQ42" i="3" s="1"/>
  <c r="AQ37" i="5" s="1"/>
  <c r="R60" i="3"/>
  <c r="BD61" i="3"/>
  <c r="K41" i="3"/>
  <c r="L36" i="5"/>
  <c r="AO63" i="3"/>
  <c r="AO57" i="3" s="1"/>
  <c r="AB63" i="3"/>
  <c r="AB57" i="3" s="1"/>
  <c r="K32" i="3"/>
  <c r="L31" i="5"/>
  <c r="BB63" i="3"/>
  <c r="J61" i="3"/>
  <c r="AR60" i="3"/>
  <c r="L63" i="3"/>
  <c r="AP62" i="3"/>
  <c r="AP51" i="3" s="1"/>
  <c r="Q62" i="3"/>
  <c r="Q51" i="3" s="1"/>
  <c r="BC62" i="3"/>
  <c r="K62" i="3"/>
  <c r="K51" i="3" s="1"/>
  <c r="T48" i="3"/>
  <c r="J40" i="3"/>
  <c r="U30" i="3"/>
  <c r="S39" i="3"/>
  <c r="M203" i="3"/>
  <c r="M151" i="5"/>
  <c r="L140" i="5"/>
  <c r="L172" i="5" s="1"/>
  <c r="L214" i="3"/>
  <c r="O203" i="3"/>
  <c r="O151" i="5"/>
  <c r="K200" i="3"/>
  <c r="K206" i="3" s="1"/>
  <c r="K212" i="3" s="1"/>
  <c r="K149" i="5"/>
  <c r="K156" i="5" s="1"/>
  <c r="K163" i="5" s="1"/>
  <c r="K170" i="5" s="1"/>
  <c r="P140" i="5"/>
  <c r="P172" i="5" s="1"/>
  <c r="P214" i="3"/>
  <c r="Q174" i="3"/>
  <c r="Q122" i="5" s="1"/>
  <c r="Q158" i="5" s="1"/>
  <c r="K166" i="3"/>
  <c r="K196" i="3" s="1"/>
  <c r="P113" i="5"/>
  <c r="P196" i="3"/>
  <c r="L113" i="5"/>
  <c r="L196" i="3"/>
  <c r="L79" i="5"/>
  <c r="K182" i="3"/>
  <c r="M111" i="3"/>
  <c r="M86" i="5"/>
  <c r="Q182" i="3"/>
  <c r="Q190" i="3"/>
  <c r="N121" i="3"/>
  <c r="N100" i="5" s="1"/>
  <c r="N93" i="5"/>
  <c r="J84" i="3"/>
  <c r="K74" i="5"/>
  <c r="K190" i="3"/>
  <c r="K174" i="3"/>
  <c r="K122" i="5" s="1"/>
  <c r="K158" i="5" s="1"/>
  <c r="Q166" i="3"/>
  <c r="L101" i="3"/>
  <c r="K100" i="3"/>
  <c r="K110" i="3" s="1"/>
  <c r="K120" i="3" s="1"/>
  <c r="J89" i="3"/>
  <c r="I89" i="3" s="1"/>
  <c r="K91" i="3"/>
  <c r="L102" i="3"/>
  <c r="L112" i="3" s="1"/>
  <c r="L122" i="3" s="1"/>
  <c r="J92" i="3"/>
  <c r="I92" i="3" s="1"/>
  <c r="K103" i="3"/>
  <c r="K113" i="3" s="1"/>
  <c r="K123" i="3" s="1"/>
  <c r="K90" i="3"/>
  <c r="K6" i="3"/>
  <c r="K165" i="3" s="1"/>
  <c r="J95" i="3"/>
  <c r="J105" i="3" s="1"/>
  <c r="B20" i="4"/>
  <c r="G13" i="4"/>
  <c r="AA13" i="4"/>
  <c r="B8" i="4"/>
  <c r="B11" i="4"/>
  <c r="B2" i="4"/>
  <c r="G114" i="10" l="1"/>
  <c r="C64" i="10"/>
  <c r="G120" i="10"/>
  <c r="H120" i="10" s="1"/>
  <c r="C69" i="10" s="1"/>
  <c r="H113" i="10"/>
  <c r="O139" i="14"/>
  <c r="N141" i="14"/>
  <c r="N85" i="14" s="1"/>
  <c r="K41" i="5"/>
  <c r="J50" i="3"/>
  <c r="D81" i="10" s="1"/>
  <c r="C81" i="10" s="1"/>
  <c r="X101" i="10"/>
  <c r="AE33" i="3"/>
  <c r="AE32" i="5" s="1"/>
  <c r="AD32" i="5"/>
  <c r="AQ32" i="5"/>
  <c r="AK101" i="10"/>
  <c r="AR33" i="3"/>
  <c r="AR32" i="5" s="1"/>
  <c r="K101" i="10"/>
  <c r="R33" i="3"/>
  <c r="I60" i="3"/>
  <c r="H60" i="3" s="1"/>
  <c r="G60" i="3" s="1"/>
  <c r="C101" i="10"/>
  <c r="J33" i="3"/>
  <c r="I61" i="3"/>
  <c r="H61" i="3" s="1"/>
  <c r="G61" i="3" s="1"/>
  <c r="J42" i="3"/>
  <c r="E80" i="10"/>
  <c r="J41" i="3"/>
  <c r="J16" i="10"/>
  <c r="J113" i="10" s="1"/>
  <c r="J120" i="10" s="1"/>
  <c r="I41" i="10"/>
  <c r="J38" i="10" s="1"/>
  <c r="I91" i="10"/>
  <c r="K35" i="10"/>
  <c r="L32" i="10" s="1"/>
  <c r="K90" i="10"/>
  <c r="F114" i="10"/>
  <c r="G23" i="10"/>
  <c r="G14" i="10" s="1"/>
  <c r="C61" i="10" s="1"/>
  <c r="G88" i="10"/>
  <c r="H88" i="10" s="1"/>
  <c r="K29" i="10"/>
  <c r="K89" i="10"/>
  <c r="G49" i="10"/>
  <c r="H49" i="10" s="1"/>
  <c r="F111" i="10"/>
  <c r="J112" i="10"/>
  <c r="J119" i="10" s="1"/>
  <c r="K46" i="10"/>
  <c r="Q90" i="5" s="1"/>
  <c r="H48" i="10"/>
  <c r="N104" i="5" s="1"/>
  <c r="M104" i="5"/>
  <c r="E124" i="10"/>
  <c r="E125" i="10"/>
  <c r="E123" i="10"/>
  <c r="J32" i="3"/>
  <c r="E79" i="10"/>
  <c r="R19" i="14"/>
  <c r="I48" i="10"/>
  <c r="O104" i="5" s="1"/>
  <c r="T44" i="10"/>
  <c r="I182" i="3"/>
  <c r="I208" i="3" s="1"/>
  <c r="H89" i="3"/>
  <c r="I100" i="3"/>
  <c r="I110" i="3" s="1"/>
  <c r="I120" i="3" s="1"/>
  <c r="G54" i="5"/>
  <c r="H30" i="3"/>
  <c r="I31" i="3"/>
  <c r="H92" i="3"/>
  <c r="I103" i="3"/>
  <c r="I113" i="3" s="1"/>
  <c r="I123" i="3" s="1"/>
  <c r="G39" i="3"/>
  <c r="G40" i="3" s="1"/>
  <c r="H40" i="3"/>
  <c r="H49" i="3"/>
  <c r="G48" i="3"/>
  <c r="G49" i="3" s="1"/>
  <c r="J194" i="3"/>
  <c r="I84" i="3"/>
  <c r="AA234" i="3"/>
  <c r="I127" i="6"/>
  <c r="T231" i="3"/>
  <c r="U232" i="3"/>
  <c r="S233" i="3"/>
  <c r="I128" i="6"/>
  <c r="AA29" i="3"/>
  <c r="AA67" i="3"/>
  <c r="T183" i="5"/>
  <c r="T30" i="6" s="1"/>
  <c r="J82" i="5"/>
  <c r="BC63" i="3"/>
  <c r="AP63" i="3"/>
  <c r="AP57" i="3" s="1"/>
  <c r="BE61" i="3"/>
  <c r="S60" i="3"/>
  <c r="AD62" i="3"/>
  <c r="AD51" i="3" s="1"/>
  <c r="AF60" i="3"/>
  <c r="BF60" i="3"/>
  <c r="BD62" i="3"/>
  <c r="AQ62" i="3"/>
  <c r="AQ51" i="3" s="1"/>
  <c r="S61" i="3"/>
  <c r="S42" i="3" s="1"/>
  <c r="S37" i="5" s="1"/>
  <c r="J62" i="3"/>
  <c r="R62" i="3"/>
  <c r="R51" i="3" s="1"/>
  <c r="K63" i="3"/>
  <c r="K57" i="3" s="1"/>
  <c r="AS60" i="3"/>
  <c r="K31" i="5"/>
  <c r="AC63" i="3"/>
  <c r="AC57" i="3" s="1"/>
  <c r="K36" i="5"/>
  <c r="AR61" i="3"/>
  <c r="AR42" i="3" s="1"/>
  <c r="AR37" i="5" s="1"/>
  <c r="Q63" i="3"/>
  <c r="Q57" i="3" s="1"/>
  <c r="AF61" i="3"/>
  <c r="AF42" i="3" s="1"/>
  <c r="U48" i="3"/>
  <c r="V30" i="3"/>
  <c r="T39" i="3"/>
  <c r="R174" i="3"/>
  <c r="R122" i="5" s="1"/>
  <c r="R158" i="5" s="1"/>
  <c r="K113" i="5"/>
  <c r="J200" i="3"/>
  <c r="J206" i="3" s="1"/>
  <c r="J212" i="3" s="1"/>
  <c r="J149" i="5"/>
  <c r="J156" i="5" s="1"/>
  <c r="J163" i="5" s="1"/>
  <c r="J170" i="5" s="1"/>
  <c r="Q140" i="5"/>
  <c r="Q172" i="5" s="1"/>
  <c r="Q214" i="3"/>
  <c r="K140" i="5"/>
  <c r="K172" i="5" s="1"/>
  <c r="K214" i="3"/>
  <c r="K203" i="3"/>
  <c r="K151" i="5"/>
  <c r="L203" i="3"/>
  <c r="L151" i="5"/>
  <c r="P203" i="3"/>
  <c r="P151" i="5"/>
  <c r="R190" i="3"/>
  <c r="K131" i="5"/>
  <c r="K165" i="5" s="1"/>
  <c r="K208" i="3"/>
  <c r="Q131" i="5"/>
  <c r="Q165" i="5" s="1"/>
  <c r="Q208" i="3"/>
  <c r="Q113" i="5"/>
  <c r="Q196" i="3"/>
  <c r="K79" i="5"/>
  <c r="J166" i="3"/>
  <c r="J182" i="3"/>
  <c r="K173" i="3"/>
  <c r="K202" i="3" s="1"/>
  <c r="K209" i="3" s="1"/>
  <c r="K215" i="3" s="1"/>
  <c r="K82" i="5"/>
  <c r="R182" i="3"/>
  <c r="J181" i="3"/>
  <c r="J89" i="5"/>
  <c r="L111" i="3"/>
  <c r="L86" i="5"/>
  <c r="M121" i="3"/>
  <c r="M100" i="5" s="1"/>
  <c r="M93" i="5"/>
  <c r="J74" i="5"/>
  <c r="AA223" i="3"/>
  <c r="AA77" i="3"/>
  <c r="Q75" i="3" s="1"/>
  <c r="J190" i="3"/>
  <c r="J174" i="3"/>
  <c r="J122" i="5" s="1"/>
  <c r="J158" i="5" s="1"/>
  <c r="J115" i="3"/>
  <c r="J125" i="3" s="1"/>
  <c r="R166" i="3"/>
  <c r="J103" i="3"/>
  <c r="J113" i="3" s="1"/>
  <c r="J123" i="3" s="1"/>
  <c r="K101" i="3"/>
  <c r="J91" i="3"/>
  <c r="I91" i="3" s="1"/>
  <c r="K102" i="3"/>
  <c r="K112" i="3" s="1"/>
  <c r="K122" i="3" s="1"/>
  <c r="J100" i="3"/>
  <c r="J110" i="3" s="1"/>
  <c r="J120" i="3" s="1"/>
  <c r="J90" i="3"/>
  <c r="I90" i="3" s="1"/>
  <c r="L6" i="3"/>
  <c r="K95" i="3"/>
  <c r="K105" i="3" s="1"/>
  <c r="C65" i="10" l="1"/>
  <c r="C72" i="10" s="1"/>
  <c r="K47" i="10"/>
  <c r="Q97" i="5" s="1"/>
  <c r="G121" i="10"/>
  <c r="H121" i="10" s="1"/>
  <c r="C70" i="10" s="1"/>
  <c r="H114" i="10"/>
  <c r="I50" i="3"/>
  <c r="H50" i="3" s="1"/>
  <c r="G50" i="3" s="1"/>
  <c r="O141" i="14"/>
  <c r="O85" i="14" s="1"/>
  <c r="P139" i="14"/>
  <c r="J41" i="5"/>
  <c r="Y101" i="10"/>
  <c r="AF33" i="3"/>
  <c r="AL101" i="10"/>
  <c r="AS33" i="3"/>
  <c r="AS32" i="5" s="1"/>
  <c r="AF37" i="5"/>
  <c r="L101" i="10"/>
  <c r="S33" i="3"/>
  <c r="S32" i="5" s="1"/>
  <c r="N42" i="3"/>
  <c r="N37" i="5" s="1"/>
  <c r="J37" i="5"/>
  <c r="C121" i="10"/>
  <c r="C120" i="10"/>
  <c r="R32" i="5"/>
  <c r="J32" i="5"/>
  <c r="N32" i="5"/>
  <c r="I62" i="3"/>
  <c r="H62" i="3" s="1"/>
  <c r="G62" i="3" s="1"/>
  <c r="J51" i="3"/>
  <c r="E122" i="10"/>
  <c r="E126" i="10" s="1"/>
  <c r="H24" i="14" s="1"/>
  <c r="H65" i="14" s="1"/>
  <c r="K16" i="10"/>
  <c r="K113" i="10" s="1"/>
  <c r="K120" i="10" s="1"/>
  <c r="F115" i="10"/>
  <c r="F123" i="10" s="1"/>
  <c r="F122" i="10"/>
  <c r="J41" i="10"/>
  <c r="K38" i="10" s="1"/>
  <c r="J91" i="10"/>
  <c r="L26" i="10"/>
  <c r="K15" i="10"/>
  <c r="I17" i="10"/>
  <c r="I114" i="10" s="1"/>
  <c r="I121" i="10" s="1"/>
  <c r="L35" i="10"/>
  <c r="L16" i="10" s="1"/>
  <c r="L113" i="10" s="1"/>
  <c r="L120" i="10" s="1"/>
  <c r="L90" i="10"/>
  <c r="M83" i="5"/>
  <c r="H45" i="10"/>
  <c r="N83" i="5" s="1"/>
  <c r="I20" i="10"/>
  <c r="F124" i="10"/>
  <c r="F125" i="10"/>
  <c r="I41" i="3"/>
  <c r="H41" i="3" s="1"/>
  <c r="G41" i="3" s="1"/>
  <c r="D80" i="10"/>
  <c r="I32" i="3"/>
  <c r="H32" i="3" s="1"/>
  <c r="G32" i="3" s="1"/>
  <c r="D79" i="10"/>
  <c r="S19" i="14"/>
  <c r="L47" i="10"/>
  <c r="R97" i="5" s="1"/>
  <c r="U44" i="10"/>
  <c r="H90" i="3"/>
  <c r="I101" i="3"/>
  <c r="I111" i="3" s="1"/>
  <c r="I121" i="3" s="1"/>
  <c r="H31" i="3"/>
  <c r="G30" i="3"/>
  <c r="G31" i="3" s="1"/>
  <c r="H84" i="3"/>
  <c r="I194" i="3"/>
  <c r="I200" i="3" s="1"/>
  <c r="I206" i="3" s="1"/>
  <c r="I212" i="3" s="1"/>
  <c r="H100" i="3"/>
  <c r="H110" i="3" s="1"/>
  <c r="H120" i="3" s="1"/>
  <c r="G89" i="3"/>
  <c r="G100" i="3" s="1"/>
  <c r="G110" i="3" s="1"/>
  <c r="G120" i="3" s="1"/>
  <c r="G92" i="3"/>
  <c r="G103" i="3" s="1"/>
  <c r="G113" i="3" s="1"/>
  <c r="G123" i="3" s="1"/>
  <c r="H103" i="3"/>
  <c r="H113" i="3" s="1"/>
  <c r="H123" i="3" s="1"/>
  <c r="I190" i="3"/>
  <c r="I214" i="3" s="1"/>
  <c r="I102" i="3"/>
  <c r="I112" i="3" s="1"/>
  <c r="I122" i="3" s="1"/>
  <c r="H91" i="3"/>
  <c r="I166" i="3"/>
  <c r="I196" i="3" s="1"/>
  <c r="I203" i="3" s="1"/>
  <c r="I174" i="3"/>
  <c r="G182" i="3"/>
  <c r="G208" i="3" s="1"/>
  <c r="H182" i="3"/>
  <c r="H208" i="3" s="1"/>
  <c r="AB234" i="3"/>
  <c r="H127" i="6"/>
  <c r="G127" i="6"/>
  <c r="V232" i="3"/>
  <c r="U231" i="3"/>
  <c r="T233" i="3"/>
  <c r="H128" i="6"/>
  <c r="G128" i="6"/>
  <c r="P66" i="3"/>
  <c r="Q66" i="3" s="1"/>
  <c r="O54" i="5"/>
  <c r="AA15" i="3"/>
  <c r="AA28" i="3" s="1"/>
  <c r="AA38" i="3"/>
  <c r="O192" i="5"/>
  <c r="U183" i="5"/>
  <c r="U30" i="6" s="1"/>
  <c r="L165" i="3"/>
  <c r="L82" i="5" s="1"/>
  <c r="AA186" i="5"/>
  <c r="AA33" i="6" s="1"/>
  <c r="AA185" i="5"/>
  <c r="AA32" i="6" s="1"/>
  <c r="J36" i="5"/>
  <c r="T61" i="3"/>
  <c r="T42" i="3" s="1"/>
  <c r="T37" i="5" s="1"/>
  <c r="AG60" i="3"/>
  <c r="T60" i="3"/>
  <c r="AS61" i="3"/>
  <c r="AS42" i="3" s="1"/>
  <c r="J31" i="5"/>
  <c r="AT60" i="3"/>
  <c r="S62" i="3"/>
  <c r="S51" i="3" s="1"/>
  <c r="AR62" i="3"/>
  <c r="AR51" i="3" s="1"/>
  <c r="AQ63" i="3"/>
  <c r="AQ57" i="3" s="1"/>
  <c r="AG61" i="3"/>
  <c r="AG42" i="3" s="1"/>
  <c r="AG37" i="5" s="1"/>
  <c r="R63" i="3"/>
  <c r="R57" i="3" s="1"/>
  <c r="AD63" i="3"/>
  <c r="AD57" i="3" s="1"/>
  <c r="J63" i="3"/>
  <c r="BE62" i="3"/>
  <c r="BG60" i="3"/>
  <c r="AE62" i="3"/>
  <c r="AE51" i="3" s="1"/>
  <c r="BF61" i="3"/>
  <c r="BD63" i="3"/>
  <c r="V48" i="3"/>
  <c r="U39" i="3"/>
  <c r="W30" i="3"/>
  <c r="S190" i="3"/>
  <c r="S140" i="5" s="1"/>
  <c r="S172" i="5" s="1"/>
  <c r="S174" i="3"/>
  <c r="S122" i="5" s="1"/>
  <c r="S158" i="5" s="1"/>
  <c r="Q203" i="3"/>
  <c r="Q151" i="5"/>
  <c r="J140" i="5"/>
  <c r="J172" i="5" s="1"/>
  <c r="J214" i="3"/>
  <c r="R140" i="5"/>
  <c r="R172" i="5" s="1"/>
  <c r="R214" i="3"/>
  <c r="R131" i="5"/>
  <c r="R165" i="5" s="1"/>
  <c r="R208" i="3"/>
  <c r="J131" i="5"/>
  <c r="J165" i="5" s="1"/>
  <c r="J208" i="3"/>
  <c r="R113" i="5"/>
  <c r="R196" i="3"/>
  <c r="J79" i="5"/>
  <c r="J113" i="5"/>
  <c r="J196" i="3"/>
  <c r="K181" i="3"/>
  <c r="K89" i="5"/>
  <c r="S182" i="3"/>
  <c r="L121" i="3"/>
  <c r="L100" i="5" s="1"/>
  <c r="L93" i="5"/>
  <c r="AA86" i="3"/>
  <c r="AA84" i="3" s="1"/>
  <c r="AA93" i="3"/>
  <c r="AA89" i="3" s="1"/>
  <c r="Q89" i="3" s="1"/>
  <c r="J189" i="3"/>
  <c r="J96" i="5"/>
  <c r="J103" i="5" s="1"/>
  <c r="J114" i="5" s="1"/>
  <c r="K111" i="3"/>
  <c r="K86" i="5"/>
  <c r="S166" i="3"/>
  <c r="K115" i="3"/>
  <c r="K125" i="3" s="1"/>
  <c r="AN93" i="3"/>
  <c r="AN163" i="3"/>
  <c r="BN93" i="3"/>
  <c r="BN163" i="3"/>
  <c r="BA93" i="3"/>
  <c r="BA163" i="3"/>
  <c r="AA163" i="3"/>
  <c r="N163" i="3"/>
  <c r="N93" i="3"/>
  <c r="J101" i="3"/>
  <c r="J102" i="3"/>
  <c r="J112" i="3" s="1"/>
  <c r="J122" i="3" s="1"/>
  <c r="M6" i="3"/>
  <c r="L95" i="3"/>
  <c r="L105" i="3" s="1"/>
  <c r="AA75" i="3"/>
  <c r="P141" i="14" l="1"/>
  <c r="P85" i="14" s="1"/>
  <c r="Q139" i="14"/>
  <c r="AS37" i="5"/>
  <c r="AM101" i="10"/>
  <c r="AT33" i="3"/>
  <c r="AT32" i="5" s="1"/>
  <c r="Z101" i="10"/>
  <c r="AG33" i="3"/>
  <c r="AG32" i="5" s="1"/>
  <c r="AF32" i="5"/>
  <c r="J42" i="5"/>
  <c r="N51" i="3"/>
  <c r="I63" i="3"/>
  <c r="H63" i="3" s="1"/>
  <c r="G63" i="3" s="1"/>
  <c r="J57" i="3"/>
  <c r="N57" i="3" s="1"/>
  <c r="M101" i="10"/>
  <c r="T33" i="3"/>
  <c r="J17" i="10"/>
  <c r="J114" i="10" s="1"/>
  <c r="J121" i="10" s="1"/>
  <c r="M32" i="10"/>
  <c r="M90" i="10" s="1"/>
  <c r="J48" i="10"/>
  <c r="P104" i="5" s="1"/>
  <c r="K41" i="10"/>
  <c r="K17" i="10" s="1"/>
  <c r="K91" i="10"/>
  <c r="M35" i="10"/>
  <c r="N32" i="10" s="1"/>
  <c r="I23" i="10"/>
  <c r="I14" i="10" s="1"/>
  <c r="J45" i="10" s="1"/>
  <c r="I88" i="10"/>
  <c r="K112" i="10"/>
  <c r="K119" i="10" s="1"/>
  <c r="L46" i="10"/>
  <c r="R90" i="5" s="1"/>
  <c r="G111" i="10"/>
  <c r="I45" i="10"/>
  <c r="L29" i="10"/>
  <c r="L89" i="10"/>
  <c r="F126" i="10"/>
  <c r="I24" i="14" s="1"/>
  <c r="I65" i="14" s="1"/>
  <c r="C79" i="10"/>
  <c r="C118" i="10" s="1"/>
  <c r="C80" i="10"/>
  <c r="C119" i="10" s="1"/>
  <c r="C122" i="10" s="1"/>
  <c r="T19" i="14"/>
  <c r="M47" i="10"/>
  <c r="S97" i="5" s="1"/>
  <c r="AA194" i="3"/>
  <c r="AA200" i="3" s="1"/>
  <c r="AA206" i="3" s="1"/>
  <c r="AA212" i="3" s="1"/>
  <c r="D59" i="10"/>
  <c r="L38" i="10"/>
  <c r="G91" i="3"/>
  <c r="G102" i="3" s="1"/>
  <c r="G112" i="3" s="1"/>
  <c r="G122" i="3" s="1"/>
  <c r="H102" i="3"/>
  <c r="H112" i="3" s="1"/>
  <c r="H122" i="3" s="1"/>
  <c r="H174" i="3"/>
  <c r="G174" i="3"/>
  <c r="G166" i="3"/>
  <c r="G196" i="3" s="1"/>
  <c r="G203" i="3" s="1"/>
  <c r="H166" i="3"/>
  <c r="H196" i="3" s="1"/>
  <c r="H203" i="3" s="1"/>
  <c r="G190" i="3"/>
  <c r="G214" i="3" s="1"/>
  <c r="H190" i="3"/>
  <c r="H214" i="3" s="1"/>
  <c r="G84" i="3"/>
  <c r="G194" i="3" s="1"/>
  <c r="G200" i="3" s="1"/>
  <c r="G206" i="3" s="1"/>
  <c r="G212" i="3" s="1"/>
  <c r="H194" i="3"/>
  <c r="H200" i="3" s="1"/>
  <c r="H206" i="3" s="1"/>
  <c r="H212" i="3" s="1"/>
  <c r="H101" i="3"/>
  <c r="H111" i="3" s="1"/>
  <c r="H121" i="3" s="1"/>
  <c r="G90" i="3"/>
  <c r="G101" i="3" s="1"/>
  <c r="G111" i="3" s="1"/>
  <c r="G121" i="3" s="1"/>
  <c r="AA184" i="5"/>
  <c r="AA31" i="6" s="1"/>
  <c r="Q100" i="3"/>
  <c r="Q110" i="3" s="1"/>
  <c r="Q120" i="3" s="1"/>
  <c r="R89" i="3"/>
  <c r="S89" i="3" s="1"/>
  <c r="T89" i="3" s="1"/>
  <c r="U89" i="3" s="1"/>
  <c r="V89" i="3" s="1"/>
  <c r="W89" i="3" s="1"/>
  <c r="X89" i="3" s="1"/>
  <c r="Y89" i="3" s="1"/>
  <c r="Z89" i="3" s="1"/>
  <c r="Z28" i="3"/>
  <c r="Y28" i="3" s="1"/>
  <c r="X28" i="3" s="1"/>
  <c r="W28" i="3" s="1"/>
  <c r="V28" i="3" s="1"/>
  <c r="U28" i="3" s="1"/>
  <c r="T28" i="3" s="1"/>
  <c r="S28" i="3" s="1"/>
  <c r="R28" i="3" s="1"/>
  <c r="Q28" i="3" s="1"/>
  <c r="AB28" i="3"/>
  <c r="AC234" i="3"/>
  <c r="V231" i="3"/>
  <c r="W232" i="3"/>
  <c r="U233" i="3"/>
  <c r="L173" i="3"/>
  <c r="L202" i="3" s="1"/>
  <c r="L209" i="3" s="1"/>
  <c r="L215" i="3" s="1"/>
  <c r="P54" i="5"/>
  <c r="P28" i="3"/>
  <c r="O31" i="3"/>
  <c r="AA47" i="3"/>
  <c r="P192" i="5"/>
  <c r="Q192" i="5" s="1"/>
  <c r="R192" i="5" s="1"/>
  <c r="S192" i="5" s="1"/>
  <c r="T192" i="5" s="1"/>
  <c r="U192" i="5" s="1"/>
  <c r="V192" i="5" s="1"/>
  <c r="W192" i="5" s="1"/>
  <c r="X192" i="5" s="1"/>
  <c r="Y192" i="5" s="1"/>
  <c r="Z192" i="5" s="1"/>
  <c r="V183" i="5"/>
  <c r="V30" i="6" s="1"/>
  <c r="AN220" i="3"/>
  <c r="AN185" i="5" s="1"/>
  <c r="AN32" i="6" s="1"/>
  <c r="M165" i="3"/>
  <c r="M82" i="5" s="1"/>
  <c r="AN219" i="3"/>
  <c r="AN184" i="5" s="1"/>
  <c r="AN31" i="6" s="1"/>
  <c r="AN221" i="3"/>
  <c r="AN186" i="5" s="1"/>
  <c r="AN33" i="6" s="1"/>
  <c r="P69" i="3"/>
  <c r="P56" i="5" s="1"/>
  <c r="P42" i="5"/>
  <c r="P70" i="3"/>
  <c r="P57" i="5" s="1"/>
  <c r="BG61" i="3"/>
  <c r="BH60" i="3"/>
  <c r="AE63" i="3"/>
  <c r="AE57" i="3" s="1"/>
  <c r="S63" i="3"/>
  <c r="S57" i="3" s="1"/>
  <c r="AR63" i="3"/>
  <c r="AR57" i="3" s="1"/>
  <c r="T62" i="3"/>
  <c r="T51" i="3" s="1"/>
  <c r="U60" i="3"/>
  <c r="U61" i="3"/>
  <c r="U42" i="3" s="1"/>
  <c r="U37" i="5" s="1"/>
  <c r="P47" i="5"/>
  <c r="P71" i="3"/>
  <c r="P58" i="5" s="1"/>
  <c r="BE63" i="3"/>
  <c r="AF62" i="3"/>
  <c r="AF51" i="3" s="1"/>
  <c r="BF62" i="3"/>
  <c r="AH61" i="3"/>
  <c r="AH42" i="3" s="1"/>
  <c r="AS62" i="3"/>
  <c r="AS51" i="3" s="1"/>
  <c r="AU60" i="3"/>
  <c r="AT61" i="3"/>
  <c r="AT42" i="3" s="1"/>
  <c r="AT37" i="5" s="1"/>
  <c r="P68" i="3"/>
  <c r="P55" i="5" s="1"/>
  <c r="AH60" i="3"/>
  <c r="S214" i="3"/>
  <c r="T174" i="3"/>
  <c r="T122" i="5" s="1"/>
  <c r="T158" i="5" s="1"/>
  <c r="W48" i="3"/>
  <c r="T190" i="3"/>
  <c r="T140" i="5" s="1"/>
  <c r="T172" i="5" s="1"/>
  <c r="V39" i="3"/>
  <c r="X30" i="3"/>
  <c r="J203" i="3"/>
  <c r="J151" i="5"/>
  <c r="AA149" i="5"/>
  <c r="AA156" i="5" s="1"/>
  <c r="AA163" i="5" s="1"/>
  <c r="AA170" i="5" s="1"/>
  <c r="R203" i="3"/>
  <c r="R151" i="5"/>
  <c r="J197" i="3"/>
  <c r="J152" i="5" s="1"/>
  <c r="S131" i="5"/>
  <c r="S165" i="5" s="1"/>
  <c r="S208" i="3"/>
  <c r="S113" i="5"/>
  <c r="S196" i="3"/>
  <c r="J111" i="3"/>
  <c r="J86" i="5"/>
  <c r="Z84" i="3"/>
  <c r="Z194" i="3" s="1"/>
  <c r="AA74" i="5"/>
  <c r="K121" i="3"/>
  <c r="K100" i="5" s="1"/>
  <c r="K93" i="5"/>
  <c r="T182" i="3"/>
  <c r="J123" i="5"/>
  <c r="AN84" i="3"/>
  <c r="AN89" i="3"/>
  <c r="BA89" i="3" s="1"/>
  <c r="BN89" i="3" s="1"/>
  <c r="K189" i="3"/>
  <c r="K96" i="5"/>
  <c r="K103" i="5" s="1"/>
  <c r="K114" i="5" s="1"/>
  <c r="O93" i="3"/>
  <c r="L115" i="3"/>
  <c r="L125" i="3" s="1"/>
  <c r="T166" i="3"/>
  <c r="O163" i="3"/>
  <c r="AA91" i="3"/>
  <c r="AA100" i="3"/>
  <c r="AA110" i="3" s="1"/>
  <c r="AA120" i="3" s="1"/>
  <c r="AA76" i="3"/>
  <c r="O76" i="3"/>
  <c r="O69" i="5" s="1"/>
  <c r="O6" i="3"/>
  <c r="O165" i="3" s="1"/>
  <c r="M95" i="3"/>
  <c r="AN75" i="3"/>
  <c r="P22" i="3"/>
  <c r="Q18" i="3"/>
  <c r="P17" i="5"/>
  <c r="Q19" i="3"/>
  <c r="P18" i="5"/>
  <c r="Q21" i="3"/>
  <c r="Q124" i="3" s="1"/>
  <c r="P20" i="5"/>
  <c r="Q20" i="3"/>
  <c r="P19" i="5"/>
  <c r="AA90" i="3"/>
  <c r="G118" i="10" l="1"/>
  <c r="H118" i="10" s="1"/>
  <c r="C67" i="10" s="1"/>
  <c r="H111" i="10"/>
  <c r="H115" i="10" s="1"/>
  <c r="K48" i="10"/>
  <c r="Q104" i="5" s="1"/>
  <c r="Q141" i="14"/>
  <c r="Q85" i="14" s="1"/>
  <c r="R139" i="14"/>
  <c r="AA101" i="10"/>
  <c r="AH33" i="3"/>
  <c r="AH32" i="5" s="1"/>
  <c r="AN101" i="10"/>
  <c r="AU33" i="3"/>
  <c r="AH37" i="5"/>
  <c r="T32" i="5"/>
  <c r="N101" i="10"/>
  <c r="U33" i="3"/>
  <c r="U32" i="5" s="1"/>
  <c r="M16" i="10"/>
  <c r="M113" i="10" s="1"/>
  <c r="M120" i="10" s="1"/>
  <c r="L41" i="10"/>
  <c r="M38" i="10" s="1"/>
  <c r="L91" i="10"/>
  <c r="L15" i="10"/>
  <c r="M26" i="10"/>
  <c r="J20" i="10"/>
  <c r="N35" i="10"/>
  <c r="N16" i="10" s="1"/>
  <c r="N113" i="10" s="1"/>
  <c r="N120" i="10" s="1"/>
  <c r="N90" i="10"/>
  <c r="O83" i="5"/>
  <c r="I49" i="10"/>
  <c r="G115" i="10"/>
  <c r="L48" i="10"/>
  <c r="R104" i="5" s="1"/>
  <c r="K114" i="10"/>
  <c r="K121" i="10" s="1"/>
  <c r="C126" i="10"/>
  <c r="D122" i="10"/>
  <c r="D126" i="10" s="1"/>
  <c r="G24" i="14" s="1"/>
  <c r="G65" i="14" s="1"/>
  <c r="U19" i="14"/>
  <c r="N47" i="10"/>
  <c r="T97" i="5" s="1"/>
  <c r="AN194" i="3"/>
  <c r="AN200" i="3" s="1"/>
  <c r="AN206" i="3" s="1"/>
  <c r="AN212" i="3" s="1"/>
  <c r="E59" i="10"/>
  <c r="AA69" i="5"/>
  <c r="D58" i="10"/>
  <c r="P63" i="5"/>
  <c r="C66" i="7" s="1"/>
  <c r="D66" i="7" s="1"/>
  <c r="P62" i="5"/>
  <c r="C55" i="7" s="1"/>
  <c r="D55" i="7" s="1"/>
  <c r="P61" i="5"/>
  <c r="C44" i="7" s="1"/>
  <c r="D44" i="7" s="1"/>
  <c r="P60" i="5"/>
  <c r="C33" i="7" s="1"/>
  <c r="D33" i="7" s="1"/>
  <c r="Q94" i="3"/>
  <c r="Q164" i="3"/>
  <c r="Q180" i="3"/>
  <c r="Q114" i="3"/>
  <c r="Q172" i="3"/>
  <c r="Q104" i="3"/>
  <c r="AD234" i="3"/>
  <c r="N165" i="3"/>
  <c r="N173" i="3" s="1"/>
  <c r="N202" i="3" s="1"/>
  <c r="N209" i="3" s="1"/>
  <c r="N215" i="3" s="1"/>
  <c r="X232" i="3"/>
  <c r="W231" i="3"/>
  <c r="L181" i="3"/>
  <c r="L96" i="5" s="1"/>
  <c r="L103" i="5" s="1"/>
  <c r="L114" i="5" s="1"/>
  <c r="L123" i="5" s="1"/>
  <c r="L132" i="5" s="1"/>
  <c r="L141" i="5" s="1"/>
  <c r="V233" i="3"/>
  <c r="L89" i="5"/>
  <c r="P31" i="3"/>
  <c r="P37" i="3"/>
  <c r="Q37" i="3" s="1"/>
  <c r="AN191" i="5"/>
  <c r="AA192" i="5"/>
  <c r="AN192" i="5" s="1"/>
  <c r="AA56" i="3"/>
  <c r="AA55" i="3" s="1"/>
  <c r="R66" i="3"/>
  <c r="Q54" i="5"/>
  <c r="P9" i="6"/>
  <c r="W183" i="5"/>
  <c r="W30" i="6" s="1"/>
  <c r="M173" i="3"/>
  <c r="M202" i="3" s="1"/>
  <c r="M209" i="3" s="1"/>
  <c r="M215" i="3" s="1"/>
  <c r="M183" i="5"/>
  <c r="M30" i="6" s="1"/>
  <c r="BA221" i="3"/>
  <c r="BA186" i="5" s="1"/>
  <c r="BA33" i="6" s="1"/>
  <c r="BA219" i="3"/>
  <c r="BA184" i="5" s="1"/>
  <c r="BA31" i="6" s="1"/>
  <c r="BA220" i="3"/>
  <c r="BA185" i="5" s="1"/>
  <c r="BA32" i="6" s="1"/>
  <c r="Q71" i="3"/>
  <c r="Q58" i="5" s="1"/>
  <c r="Q47" i="5"/>
  <c r="AV60" i="3"/>
  <c r="AG62" i="3"/>
  <c r="AG51" i="3" s="1"/>
  <c r="U62" i="3"/>
  <c r="U51" i="3" s="1"/>
  <c r="T63" i="3"/>
  <c r="T57" i="3" s="1"/>
  <c r="Q42" i="5"/>
  <c r="Q70" i="3"/>
  <c r="Q57" i="5" s="1"/>
  <c r="AI60" i="3"/>
  <c r="Q69" i="3"/>
  <c r="Q56" i="5" s="1"/>
  <c r="AI61" i="3"/>
  <c r="AI42" i="3" s="1"/>
  <c r="AI37" i="5" s="1"/>
  <c r="V60" i="3"/>
  <c r="BI60" i="3"/>
  <c r="Q68" i="3"/>
  <c r="Q55" i="5" s="1"/>
  <c r="AU61" i="3"/>
  <c r="AU42" i="3" s="1"/>
  <c r="AU37" i="5" s="1"/>
  <c r="AT62" i="3"/>
  <c r="AT51" i="3" s="1"/>
  <c r="BG62" i="3"/>
  <c r="BF63" i="3"/>
  <c r="V61" i="3"/>
  <c r="V42" i="3" s="1"/>
  <c r="V37" i="5" s="1"/>
  <c r="AS63" i="3"/>
  <c r="AS57" i="3" s="1"/>
  <c r="AF63" i="3"/>
  <c r="AF57" i="3" s="1"/>
  <c r="BH61" i="3"/>
  <c r="U174" i="3"/>
  <c r="U122" i="5" s="1"/>
  <c r="U158" i="5" s="1"/>
  <c r="T214" i="3"/>
  <c r="X48" i="3"/>
  <c r="U190" i="3"/>
  <c r="U140" i="5" s="1"/>
  <c r="U172" i="5" s="1"/>
  <c r="W39" i="3"/>
  <c r="Y30" i="3"/>
  <c r="S203" i="3"/>
  <c r="S151" i="5"/>
  <c r="Z200" i="3"/>
  <c r="Z206" i="3" s="1"/>
  <c r="Z212" i="3" s="1"/>
  <c r="Z149" i="5"/>
  <c r="Z156" i="5" s="1"/>
  <c r="Z163" i="5" s="1"/>
  <c r="Z170" i="5" s="1"/>
  <c r="J159" i="5"/>
  <c r="J166" i="5" s="1"/>
  <c r="K197" i="3"/>
  <c r="K152" i="5" s="1"/>
  <c r="T131" i="5"/>
  <c r="T165" i="5" s="1"/>
  <c r="T208" i="3"/>
  <c r="AN74" i="5"/>
  <c r="P121" i="5"/>
  <c r="P157" i="5" s="1"/>
  <c r="P201" i="3"/>
  <c r="AA79" i="5"/>
  <c r="P112" i="5"/>
  <c r="P195" i="3"/>
  <c r="P150" i="5" s="1"/>
  <c r="T113" i="5"/>
  <c r="T196" i="3"/>
  <c r="BM89" i="3"/>
  <c r="BN90" i="3"/>
  <c r="J132" i="5"/>
  <c r="O173" i="3"/>
  <c r="O202" i="3" s="1"/>
  <c r="O209" i="3" s="1"/>
  <c r="O215" i="3" s="1"/>
  <c r="O82" i="5"/>
  <c r="N82" i="5"/>
  <c r="Y84" i="3"/>
  <c r="Y194" i="3" s="1"/>
  <c r="J121" i="3"/>
  <c r="J100" i="5" s="1"/>
  <c r="J93" i="5"/>
  <c r="K123" i="5"/>
  <c r="K132" i="5" s="1"/>
  <c r="K141" i="5" s="1"/>
  <c r="BA84" i="3"/>
  <c r="P188" i="3"/>
  <c r="P101" i="5"/>
  <c r="AM84" i="3"/>
  <c r="AM194" i="3" s="1"/>
  <c r="Z74" i="5"/>
  <c r="U182" i="3"/>
  <c r="P94" i="5"/>
  <c r="P207" i="3"/>
  <c r="P87" i="5"/>
  <c r="U166" i="3"/>
  <c r="P80" i="5"/>
  <c r="AM89" i="3"/>
  <c r="Z91" i="3"/>
  <c r="Z100" i="3"/>
  <c r="Z110" i="3" s="1"/>
  <c r="Z120" i="3" s="1"/>
  <c r="Z90" i="3"/>
  <c r="BA75" i="3"/>
  <c r="AB75" i="3"/>
  <c r="N105" i="3"/>
  <c r="M105" i="3"/>
  <c r="AN91" i="3"/>
  <c r="AN100" i="3"/>
  <c r="AN110" i="3" s="1"/>
  <c r="AN120" i="3" s="1"/>
  <c r="AA92" i="3"/>
  <c r="AA103" i="3" s="1"/>
  <c r="AA113" i="3" s="1"/>
  <c r="AA123" i="3" s="1"/>
  <c r="AA102" i="3"/>
  <c r="AA112" i="3" s="1"/>
  <c r="AA122" i="3" s="1"/>
  <c r="AA101" i="3"/>
  <c r="AN76" i="3"/>
  <c r="P75" i="3"/>
  <c r="P6" i="3"/>
  <c r="O95" i="3"/>
  <c r="O105" i="3" s="1"/>
  <c r="Q22" i="3"/>
  <c r="R20" i="3"/>
  <c r="Q19" i="5"/>
  <c r="R21" i="3"/>
  <c r="R124" i="3" s="1"/>
  <c r="Q20" i="5"/>
  <c r="Q18" i="5"/>
  <c r="R19" i="3"/>
  <c r="Q17" i="5"/>
  <c r="R18" i="3"/>
  <c r="AN90" i="3"/>
  <c r="G124" i="10" l="1"/>
  <c r="H124" i="10" s="1"/>
  <c r="G125" i="10"/>
  <c r="H125" i="10" s="1"/>
  <c r="S139" i="14"/>
  <c r="R141" i="14"/>
  <c r="R85" i="14" s="1"/>
  <c r="AU32" i="5"/>
  <c r="AO101" i="10"/>
  <c r="AV33" i="3"/>
  <c r="AV32" i="5" s="1"/>
  <c r="AB101" i="10"/>
  <c r="AI33" i="3"/>
  <c r="O101" i="10"/>
  <c r="V32" i="5"/>
  <c r="L17" i="10"/>
  <c r="L114" i="10" s="1"/>
  <c r="L121" i="10" s="1"/>
  <c r="O32" i="10"/>
  <c r="O90" i="10" s="1"/>
  <c r="O35" i="10"/>
  <c r="P32" i="10" s="1"/>
  <c r="G122" i="10"/>
  <c r="M29" i="10"/>
  <c r="M89" i="10"/>
  <c r="C73" i="10"/>
  <c r="C74" i="10"/>
  <c r="L112" i="10"/>
  <c r="L119" i="10" s="1"/>
  <c r="M46" i="10"/>
  <c r="S90" i="5" s="1"/>
  <c r="M41" i="10"/>
  <c r="N38" i="10" s="1"/>
  <c r="M91" i="10"/>
  <c r="J23" i="10"/>
  <c r="J88" i="10"/>
  <c r="G123" i="10"/>
  <c r="H123" i="10" s="1"/>
  <c r="I111" i="10"/>
  <c r="I118" i="10" s="1"/>
  <c r="M48" i="10"/>
  <c r="S104" i="5" s="1"/>
  <c r="F24" i="14"/>
  <c r="F27" i="14" s="1"/>
  <c r="E136" i="6"/>
  <c r="V19" i="14"/>
  <c r="O47" i="10"/>
  <c r="U97" i="5" s="1"/>
  <c r="AN149" i="5"/>
  <c r="AN156" i="5" s="1"/>
  <c r="AN163" i="5" s="1"/>
  <c r="AN170" i="5" s="1"/>
  <c r="BA194" i="3"/>
  <c r="BA200" i="3" s="1"/>
  <c r="BA206" i="3" s="1"/>
  <c r="BA212" i="3" s="1"/>
  <c r="F59" i="10"/>
  <c r="AN69" i="5"/>
  <c r="E58" i="10"/>
  <c r="Z55" i="3"/>
  <c r="Y55" i="3" s="1"/>
  <c r="X55" i="3" s="1"/>
  <c r="W55" i="3" s="1"/>
  <c r="V55" i="3" s="1"/>
  <c r="U55" i="3" s="1"/>
  <c r="T55" i="3" s="1"/>
  <c r="S55" i="3" s="1"/>
  <c r="P65" i="5"/>
  <c r="P22" i="6" s="1"/>
  <c r="Q63" i="5"/>
  <c r="Q62" i="5"/>
  <c r="Q61" i="5"/>
  <c r="Q60" i="5"/>
  <c r="R164" i="3"/>
  <c r="R94" i="3"/>
  <c r="R114" i="3"/>
  <c r="R172" i="3"/>
  <c r="R104" i="3"/>
  <c r="L189" i="3"/>
  <c r="L197" i="3" s="1"/>
  <c r="L152" i="5" s="1"/>
  <c r="L159" i="5" s="1"/>
  <c r="L166" i="5" s="1"/>
  <c r="L173" i="5" s="1"/>
  <c r="AE234" i="3"/>
  <c r="M181" i="3"/>
  <c r="M189" i="3" s="1"/>
  <c r="X231" i="3"/>
  <c r="Y232" i="3"/>
  <c r="W233" i="3"/>
  <c r="O46" i="5"/>
  <c r="P55" i="3"/>
  <c r="Q55" i="3" s="1"/>
  <c r="R55" i="3" s="1"/>
  <c r="BA192" i="5"/>
  <c r="AB192" i="5"/>
  <c r="AC192" i="5" s="1"/>
  <c r="AD192" i="5" s="1"/>
  <c r="AE192" i="5" s="1"/>
  <c r="AF192" i="5" s="1"/>
  <c r="AG192" i="5" s="1"/>
  <c r="AH192" i="5" s="1"/>
  <c r="AI192" i="5" s="1"/>
  <c r="AJ192" i="5" s="1"/>
  <c r="AK192" i="5" s="1"/>
  <c r="AL192" i="5" s="1"/>
  <c r="AM192" i="5" s="1"/>
  <c r="S66" i="3"/>
  <c r="R54" i="5"/>
  <c r="P46" i="3"/>
  <c r="Q46" i="3" s="1"/>
  <c r="BA191" i="5"/>
  <c r="AB191" i="5"/>
  <c r="AC191" i="5" s="1"/>
  <c r="AD191" i="5" s="1"/>
  <c r="AE191" i="5" s="1"/>
  <c r="AF191" i="5" s="1"/>
  <c r="AG191" i="5" s="1"/>
  <c r="AH191" i="5" s="1"/>
  <c r="AI191" i="5" s="1"/>
  <c r="AJ191" i="5" s="1"/>
  <c r="AK191" i="5" s="1"/>
  <c r="AL191" i="5" s="1"/>
  <c r="AM191" i="5" s="1"/>
  <c r="Q31" i="3"/>
  <c r="Q9" i="6"/>
  <c r="X183" i="5"/>
  <c r="X30" i="6" s="1"/>
  <c r="M89" i="5"/>
  <c r="L183" i="5"/>
  <c r="L30" i="6" s="1"/>
  <c r="BN220" i="3"/>
  <c r="BN185" i="5" s="1"/>
  <c r="BN221" i="3"/>
  <c r="BN186" i="5" s="1"/>
  <c r="P165" i="3"/>
  <c r="P173" i="3" s="1"/>
  <c r="P202" i="3" s="1"/>
  <c r="P209" i="3" s="1"/>
  <c r="P215" i="3" s="1"/>
  <c r="BN219" i="3"/>
  <c r="BN184" i="5" s="1"/>
  <c r="V62" i="3"/>
  <c r="V51" i="3" s="1"/>
  <c r="R69" i="3"/>
  <c r="R56" i="5" s="1"/>
  <c r="BI61" i="3"/>
  <c r="AJ61" i="3"/>
  <c r="AJ42" i="3" s="1"/>
  <c r="AJ37" i="5" s="1"/>
  <c r="U63" i="3"/>
  <c r="U57" i="3" s="1"/>
  <c r="AH62" i="3"/>
  <c r="AH51" i="3" s="1"/>
  <c r="AW60" i="3"/>
  <c r="R47" i="5"/>
  <c r="R71" i="3"/>
  <c r="R58" i="5" s="1"/>
  <c r="AT63" i="3"/>
  <c r="AT57" i="3" s="1"/>
  <c r="W61" i="3"/>
  <c r="W42" i="3" s="1"/>
  <c r="W37" i="5" s="1"/>
  <c r="BH62" i="3"/>
  <c r="AU62" i="3"/>
  <c r="AU51" i="3" s="1"/>
  <c r="W60" i="3"/>
  <c r="R68" i="3"/>
  <c r="R55" i="5" s="1"/>
  <c r="R42" i="5"/>
  <c r="R70" i="3"/>
  <c r="R57" i="5" s="1"/>
  <c r="AG63" i="3"/>
  <c r="AG57" i="3" s="1"/>
  <c r="BG63" i="3"/>
  <c r="AV61" i="3"/>
  <c r="AV42" i="3" s="1"/>
  <c r="AV37" i="5" s="1"/>
  <c r="BJ60" i="3"/>
  <c r="AJ60" i="3"/>
  <c r="V174" i="3"/>
  <c r="V122" i="5" s="1"/>
  <c r="V158" i="5" s="1"/>
  <c r="V190" i="3"/>
  <c r="V214" i="3" s="1"/>
  <c r="U214" i="3"/>
  <c r="Y48" i="3"/>
  <c r="Z30" i="3"/>
  <c r="X39" i="3"/>
  <c r="T203" i="3"/>
  <c r="T151" i="5"/>
  <c r="K159" i="5"/>
  <c r="AM200" i="3"/>
  <c r="AM206" i="3" s="1"/>
  <c r="AM212" i="3" s="1"/>
  <c r="AM149" i="5"/>
  <c r="AM156" i="5" s="1"/>
  <c r="AM163" i="5" s="1"/>
  <c r="AM170" i="5" s="1"/>
  <c r="P139" i="5"/>
  <c r="P171" i="5" s="1"/>
  <c r="P213" i="3"/>
  <c r="Y200" i="3"/>
  <c r="Y206" i="3" s="1"/>
  <c r="Y212" i="3" s="1"/>
  <c r="Y149" i="5"/>
  <c r="Y156" i="5" s="1"/>
  <c r="Y163" i="5" s="1"/>
  <c r="Y170" i="5" s="1"/>
  <c r="U131" i="5"/>
  <c r="U165" i="5" s="1"/>
  <c r="U208" i="3"/>
  <c r="Q121" i="5"/>
  <c r="Q157" i="5" s="1"/>
  <c r="Q201" i="3"/>
  <c r="P130" i="5"/>
  <c r="P164" i="5" s="1"/>
  <c r="AN79" i="5"/>
  <c r="Q112" i="5"/>
  <c r="Q195" i="3"/>
  <c r="Q150" i="5" s="1"/>
  <c r="BN79" i="5"/>
  <c r="U113" i="5"/>
  <c r="U196" i="3"/>
  <c r="X84" i="3"/>
  <c r="X194" i="3" s="1"/>
  <c r="AL84" i="3"/>
  <c r="AL194" i="3" s="1"/>
  <c r="Y74" i="5"/>
  <c r="V182" i="3"/>
  <c r="J141" i="5"/>
  <c r="Q188" i="3"/>
  <c r="Q101" i="5"/>
  <c r="BA74" i="5"/>
  <c r="N181" i="3"/>
  <c r="N89" i="5"/>
  <c r="Z101" i="3"/>
  <c r="Z79" i="5"/>
  <c r="AZ84" i="3"/>
  <c r="AZ194" i="3" s="1"/>
  <c r="AA111" i="3"/>
  <c r="AA86" i="5"/>
  <c r="AM74" i="5"/>
  <c r="BN84" i="3"/>
  <c r="BN194" i="3" s="1"/>
  <c r="O181" i="3"/>
  <c r="O89" i="5"/>
  <c r="AZ75" i="3"/>
  <c r="BN75" i="3"/>
  <c r="Q94" i="5"/>
  <c r="Q207" i="3"/>
  <c r="Q87" i="5"/>
  <c r="V166" i="3"/>
  <c r="O115" i="3"/>
  <c r="M115" i="3"/>
  <c r="M125" i="3" s="1"/>
  <c r="N115" i="3"/>
  <c r="N125" i="3" s="1"/>
  <c r="Q80" i="5"/>
  <c r="Y91" i="3"/>
  <c r="Y90" i="3"/>
  <c r="Y100" i="3"/>
  <c r="Y110" i="3" s="1"/>
  <c r="Y120" i="3" s="1"/>
  <c r="AL89" i="3"/>
  <c r="AM91" i="3"/>
  <c r="AM100" i="3"/>
  <c r="AM110" i="3" s="1"/>
  <c r="AM120" i="3" s="1"/>
  <c r="AM90" i="3"/>
  <c r="Z92" i="3"/>
  <c r="Z103" i="3" s="1"/>
  <c r="Z113" i="3" s="1"/>
  <c r="Z123" i="3" s="1"/>
  <c r="Z102" i="3"/>
  <c r="Z112" i="3" s="1"/>
  <c r="Z122" i="3" s="1"/>
  <c r="AZ89" i="3"/>
  <c r="BA76" i="3"/>
  <c r="AN92" i="3"/>
  <c r="AN103" i="3" s="1"/>
  <c r="AN113" i="3" s="1"/>
  <c r="AN123" i="3" s="1"/>
  <c r="AN102" i="3"/>
  <c r="AN112" i="3" s="1"/>
  <c r="AN122" i="3" s="1"/>
  <c r="BA91" i="3"/>
  <c r="BA100" i="3"/>
  <c r="BA110" i="3" s="1"/>
  <c r="BA120" i="3" s="1"/>
  <c r="P76" i="3"/>
  <c r="P69" i="5" s="1"/>
  <c r="AC75" i="3"/>
  <c r="AB76" i="3"/>
  <c r="AB69" i="5" s="1"/>
  <c r="AN101" i="3"/>
  <c r="Q6" i="3"/>
  <c r="Q165" i="3" s="1"/>
  <c r="P95" i="3"/>
  <c r="P105" i="3" s="1"/>
  <c r="R22" i="3"/>
  <c r="R20" i="5"/>
  <c r="S21" i="3"/>
  <c r="S124" i="3" s="1"/>
  <c r="S20" i="3"/>
  <c r="R19" i="5"/>
  <c r="P85" i="3"/>
  <c r="P81" i="3"/>
  <c r="P71" i="5" s="1"/>
  <c r="S18" i="3"/>
  <c r="R17" i="5"/>
  <c r="S19" i="3"/>
  <c r="R18" i="5"/>
  <c r="BA90" i="3"/>
  <c r="M17" i="10" l="1"/>
  <c r="N48" i="10" s="1"/>
  <c r="T104" i="5" s="1"/>
  <c r="T139" i="14"/>
  <c r="S141" i="14"/>
  <c r="S85" i="14" s="1"/>
  <c r="AC101" i="10"/>
  <c r="AJ33" i="3"/>
  <c r="AJ32" i="5" s="1"/>
  <c r="AI32" i="5"/>
  <c r="AP101" i="10"/>
  <c r="AW33" i="3"/>
  <c r="AW32" i="5" s="1"/>
  <c r="P101" i="10"/>
  <c r="W33" i="3"/>
  <c r="W32" i="5" s="1"/>
  <c r="H122" i="10"/>
  <c r="H126" i="10" s="1"/>
  <c r="C71" i="10"/>
  <c r="C75" i="10" s="1"/>
  <c r="O16" i="10"/>
  <c r="O113" i="10" s="1"/>
  <c r="O120" i="10" s="1"/>
  <c r="I122" i="10"/>
  <c r="I115" i="10"/>
  <c r="K20" i="10"/>
  <c r="J14" i="10"/>
  <c r="P35" i="10"/>
  <c r="Q32" i="10" s="1"/>
  <c r="P90" i="10"/>
  <c r="N26" i="10"/>
  <c r="M15" i="10"/>
  <c r="N41" i="10"/>
  <c r="O38" i="10" s="1"/>
  <c r="N91" i="10"/>
  <c r="P83" i="5"/>
  <c r="P106" i="5" s="1"/>
  <c r="J49" i="10"/>
  <c r="G126" i="10"/>
  <c r="J24" i="14" s="1"/>
  <c r="J65" i="14" s="1"/>
  <c r="F29" i="14"/>
  <c r="F42" i="14" s="1"/>
  <c r="F56" i="14" s="1"/>
  <c r="F57" i="14" s="1"/>
  <c r="G56" i="14" s="1"/>
  <c r="W19" i="14"/>
  <c r="BA149" i="5"/>
  <c r="BA156" i="5" s="1"/>
  <c r="BA163" i="5" s="1"/>
  <c r="BA170" i="5" s="1"/>
  <c r="BA69" i="5"/>
  <c r="F58" i="10"/>
  <c r="Q65" i="5"/>
  <c r="Q22" i="6" s="1"/>
  <c r="BN31" i="6"/>
  <c r="BN32" i="6"/>
  <c r="BN33" i="6"/>
  <c r="R63" i="5"/>
  <c r="R62" i="5"/>
  <c r="R61" i="5"/>
  <c r="R60" i="5"/>
  <c r="S164" i="3"/>
  <c r="S94" i="3"/>
  <c r="S180" i="3"/>
  <c r="S114" i="3"/>
  <c r="S104" i="3"/>
  <c r="S172" i="3"/>
  <c r="M96" i="5"/>
  <c r="M103" i="5" s="1"/>
  <c r="M114" i="5" s="1"/>
  <c r="M123" i="5" s="1"/>
  <c r="AF234" i="3"/>
  <c r="Z232" i="3"/>
  <c r="Y231" i="3"/>
  <c r="X233" i="3"/>
  <c r="BN191" i="5"/>
  <c r="BB191" i="5" s="1"/>
  <c r="BC191" i="5" s="1"/>
  <c r="BD191" i="5" s="1"/>
  <c r="BE191" i="5" s="1"/>
  <c r="BF191" i="5" s="1"/>
  <c r="BG191" i="5" s="1"/>
  <c r="BH191" i="5" s="1"/>
  <c r="BI191" i="5" s="1"/>
  <c r="BJ191" i="5" s="1"/>
  <c r="BK191" i="5" s="1"/>
  <c r="BL191" i="5" s="1"/>
  <c r="BM191" i="5" s="1"/>
  <c r="AO191" i="5"/>
  <c r="AP191" i="5" s="1"/>
  <c r="AQ191" i="5" s="1"/>
  <c r="AR191" i="5" s="1"/>
  <c r="AS191" i="5" s="1"/>
  <c r="AT191" i="5" s="1"/>
  <c r="AU191" i="5" s="1"/>
  <c r="AV191" i="5" s="1"/>
  <c r="AW191" i="5" s="1"/>
  <c r="AX191" i="5" s="1"/>
  <c r="AY191" i="5" s="1"/>
  <c r="AZ191" i="5" s="1"/>
  <c r="S54" i="5"/>
  <c r="T66" i="3"/>
  <c r="BN192" i="5"/>
  <c r="BB192" i="5" s="1"/>
  <c r="BC192" i="5" s="1"/>
  <c r="BD192" i="5" s="1"/>
  <c r="BE192" i="5" s="1"/>
  <c r="BF192" i="5" s="1"/>
  <c r="BG192" i="5" s="1"/>
  <c r="BH192" i="5" s="1"/>
  <c r="BI192" i="5" s="1"/>
  <c r="BJ192" i="5" s="1"/>
  <c r="BK192" i="5" s="1"/>
  <c r="BL192" i="5" s="1"/>
  <c r="BM192" i="5" s="1"/>
  <c r="AO192" i="5"/>
  <c r="AP192" i="5" s="1"/>
  <c r="AQ192" i="5" s="1"/>
  <c r="AR192" i="5" s="1"/>
  <c r="AS192" i="5" s="1"/>
  <c r="AT192" i="5" s="1"/>
  <c r="AU192" i="5" s="1"/>
  <c r="AV192" i="5" s="1"/>
  <c r="AW192" i="5" s="1"/>
  <c r="AX192" i="5" s="1"/>
  <c r="AY192" i="5" s="1"/>
  <c r="AZ192" i="5" s="1"/>
  <c r="R31" i="3"/>
  <c r="P46" i="5"/>
  <c r="P48" i="5" s="1"/>
  <c r="Q40" i="3"/>
  <c r="R37" i="3"/>
  <c r="R9" i="6"/>
  <c r="Y183" i="5"/>
  <c r="Y30" i="6" s="1"/>
  <c r="P82" i="5"/>
  <c r="I218" i="3"/>
  <c r="H218" i="3" s="1"/>
  <c r="G218" i="3" s="1"/>
  <c r="K183" i="5"/>
  <c r="K30" i="6" s="1"/>
  <c r="AK61" i="3"/>
  <c r="AK42" i="3" s="1"/>
  <c r="AK37" i="5" s="1"/>
  <c r="AX60" i="3"/>
  <c r="S42" i="5"/>
  <c r="S70" i="3"/>
  <c r="S57" i="5" s="1"/>
  <c r="AK60" i="3"/>
  <c r="X60" i="3"/>
  <c r="BI62" i="3"/>
  <c r="AU63" i="3"/>
  <c r="AU57" i="3" s="1"/>
  <c r="AV62" i="3"/>
  <c r="AV51" i="3" s="1"/>
  <c r="X61" i="3"/>
  <c r="X42" i="3" s="1"/>
  <c r="X37" i="5" s="1"/>
  <c r="BK60" i="3"/>
  <c r="BH63" i="3"/>
  <c r="V63" i="3"/>
  <c r="V57" i="3" s="1"/>
  <c r="S69" i="3"/>
  <c r="S56" i="5" s="1"/>
  <c r="S68" i="3"/>
  <c r="S55" i="5" s="1"/>
  <c r="S47" i="5"/>
  <c r="S71" i="3"/>
  <c r="S58" i="5" s="1"/>
  <c r="AW61" i="3"/>
  <c r="AW42" i="3" s="1"/>
  <c r="AW37" i="5" s="1"/>
  <c r="AH63" i="3"/>
  <c r="AH57" i="3" s="1"/>
  <c r="AI62" i="3"/>
  <c r="AI51" i="3" s="1"/>
  <c r="BJ61" i="3"/>
  <c r="W62" i="3"/>
  <c r="W51" i="3" s="1"/>
  <c r="W174" i="3"/>
  <c r="W122" i="5" s="1"/>
  <c r="W158" i="5" s="1"/>
  <c r="W190" i="3"/>
  <c r="W140" i="5" s="1"/>
  <c r="W172" i="5" s="1"/>
  <c r="V140" i="5"/>
  <c r="V172" i="5" s="1"/>
  <c r="Z48" i="3"/>
  <c r="Y39" i="3"/>
  <c r="AA30" i="3"/>
  <c r="AZ200" i="3"/>
  <c r="AZ206" i="3" s="1"/>
  <c r="AZ212" i="3" s="1"/>
  <c r="AZ149" i="5"/>
  <c r="AZ156" i="5" s="1"/>
  <c r="AZ163" i="5" s="1"/>
  <c r="AZ170" i="5" s="1"/>
  <c r="AL200" i="3"/>
  <c r="AL206" i="3" s="1"/>
  <c r="AL212" i="3" s="1"/>
  <c r="AL149" i="5"/>
  <c r="AL156" i="5" s="1"/>
  <c r="AL163" i="5" s="1"/>
  <c r="AL170" i="5" s="1"/>
  <c r="J173" i="5"/>
  <c r="Q139" i="5"/>
  <c r="Q171" i="5" s="1"/>
  <c r="Q213" i="3"/>
  <c r="X200" i="3"/>
  <c r="X206" i="3" s="1"/>
  <c r="X212" i="3" s="1"/>
  <c r="X149" i="5"/>
  <c r="X156" i="5" s="1"/>
  <c r="X163" i="5" s="1"/>
  <c r="X170" i="5" s="1"/>
  <c r="BN200" i="3"/>
  <c r="BN206" i="3" s="1"/>
  <c r="BN212" i="3" s="1"/>
  <c r="BN149" i="5"/>
  <c r="BN156" i="5" s="1"/>
  <c r="BN163" i="5" s="1"/>
  <c r="BN170" i="5" s="1"/>
  <c r="U203" i="3"/>
  <c r="U151" i="5"/>
  <c r="K166" i="5"/>
  <c r="AZ74" i="5"/>
  <c r="M197" i="3"/>
  <c r="M152" i="5" s="1"/>
  <c r="V131" i="5"/>
  <c r="V165" i="5" s="1"/>
  <c r="V208" i="3"/>
  <c r="W84" i="3"/>
  <c r="W194" i="3" s="1"/>
  <c r="AY84" i="3"/>
  <c r="AY194" i="3" s="1"/>
  <c r="Q130" i="5"/>
  <c r="Q164" i="5" s="1"/>
  <c r="R121" i="5"/>
  <c r="R157" i="5" s="1"/>
  <c r="R201" i="3"/>
  <c r="R112" i="5"/>
  <c r="R195" i="3"/>
  <c r="R150" i="5" s="1"/>
  <c r="V113" i="5"/>
  <c r="V196" i="3"/>
  <c r="X74" i="5"/>
  <c r="AL74" i="5"/>
  <c r="BA79" i="5"/>
  <c r="AK84" i="3"/>
  <c r="AK194" i="3" s="1"/>
  <c r="BM75" i="3"/>
  <c r="BL75" i="3" s="1"/>
  <c r="R188" i="3"/>
  <c r="R101" i="5"/>
  <c r="AA121" i="3"/>
  <c r="AA100" i="5" s="1"/>
  <c r="AA93" i="5"/>
  <c r="O189" i="3"/>
  <c r="O96" i="5"/>
  <c r="O103" i="5" s="1"/>
  <c r="O114" i="5" s="1"/>
  <c r="W182" i="3"/>
  <c r="P75" i="5"/>
  <c r="Q173" i="3"/>
  <c r="Q202" i="3" s="1"/>
  <c r="Q209" i="3" s="1"/>
  <c r="Q215" i="3" s="1"/>
  <c r="Q82" i="5"/>
  <c r="AM101" i="3"/>
  <c r="AM79" i="5"/>
  <c r="BN74" i="5"/>
  <c r="N189" i="3"/>
  <c r="N96" i="5"/>
  <c r="N103" i="5" s="1"/>
  <c r="N114" i="5" s="1"/>
  <c r="P181" i="3"/>
  <c r="P89" i="5"/>
  <c r="BM84" i="3"/>
  <c r="BM194" i="3" s="1"/>
  <c r="AN111" i="3"/>
  <c r="AN86" i="5"/>
  <c r="Y101" i="3"/>
  <c r="Y79" i="5"/>
  <c r="Z111" i="3"/>
  <c r="Z86" i="5"/>
  <c r="AY75" i="3"/>
  <c r="BN76" i="3"/>
  <c r="BN69" i="5" s="1"/>
  <c r="R94" i="5"/>
  <c r="R207" i="3"/>
  <c r="R87" i="5"/>
  <c r="P115" i="3"/>
  <c r="P125" i="3" s="1"/>
  <c r="W166" i="3"/>
  <c r="BN100" i="3"/>
  <c r="BN110" i="3" s="1"/>
  <c r="BN120" i="3" s="1"/>
  <c r="AY89" i="3"/>
  <c r="AZ100" i="3"/>
  <c r="AZ110" i="3" s="1"/>
  <c r="AZ120" i="3" s="1"/>
  <c r="AZ90" i="3"/>
  <c r="AZ91" i="3"/>
  <c r="BL89" i="3"/>
  <c r="BM100" i="3"/>
  <c r="BM110" i="3" s="1"/>
  <c r="BM120" i="3" s="1"/>
  <c r="BM91" i="3"/>
  <c r="BM90" i="3"/>
  <c r="AM102" i="3"/>
  <c r="AM112" i="3" s="1"/>
  <c r="AM122" i="3" s="1"/>
  <c r="AM92" i="3"/>
  <c r="AM103" i="3" s="1"/>
  <c r="AM113" i="3" s="1"/>
  <c r="AM123" i="3" s="1"/>
  <c r="X90" i="3"/>
  <c r="X100" i="3"/>
  <c r="X110" i="3" s="1"/>
  <c r="X120" i="3" s="1"/>
  <c r="X91" i="3"/>
  <c r="AK89" i="3"/>
  <c r="AL91" i="3"/>
  <c r="AL90" i="3"/>
  <c r="AL100" i="3"/>
  <c r="AL110" i="3" s="1"/>
  <c r="AL120" i="3" s="1"/>
  <c r="Y102" i="3"/>
  <c r="Y112" i="3" s="1"/>
  <c r="Y122" i="3" s="1"/>
  <c r="Y92" i="3"/>
  <c r="Y103" i="3" s="1"/>
  <c r="Y113" i="3" s="1"/>
  <c r="Y123" i="3" s="1"/>
  <c r="BA101" i="3"/>
  <c r="R75" i="3"/>
  <c r="Q76" i="3"/>
  <c r="Q69" i="5" s="1"/>
  <c r="AD75" i="3"/>
  <c r="AC76" i="3"/>
  <c r="AC69" i="5" s="1"/>
  <c r="BA92" i="3"/>
  <c r="BA103" i="3" s="1"/>
  <c r="BA113" i="3" s="1"/>
  <c r="BA123" i="3" s="1"/>
  <c r="BA102" i="3"/>
  <c r="BA112" i="3" s="1"/>
  <c r="BA122" i="3" s="1"/>
  <c r="R6" i="3"/>
  <c r="Q95" i="3"/>
  <c r="Q105" i="3" s="1"/>
  <c r="R80" i="5"/>
  <c r="BN91" i="3"/>
  <c r="S22" i="3"/>
  <c r="T18" i="3"/>
  <c r="S17" i="5"/>
  <c r="S20" i="5"/>
  <c r="T21" i="3"/>
  <c r="T124" i="3" s="1"/>
  <c r="Q81" i="3"/>
  <c r="Q85" i="3"/>
  <c r="S19" i="5"/>
  <c r="T20" i="3"/>
  <c r="T19" i="3"/>
  <c r="S18" i="5"/>
  <c r="M114" i="10" l="1"/>
  <c r="M121" i="10" s="1"/>
  <c r="P47" i="10"/>
  <c r="V97" i="5" s="1"/>
  <c r="J136" i="6"/>
  <c r="J84" i="6" s="1"/>
  <c r="T141" i="14"/>
  <c r="T85" i="14" s="1"/>
  <c r="U139" i="14"/>
  <c r="AQ101" i="10"/>
  <c r="AX33" i="3"/>
  <c r="AX32" i="5" s="1"/>
  <c r="AD101" i="10"/>
  <c r="AK33" i="3"/>
  <c r="AK32" i="5" s="1"/>
  <c r="Q101" i="10"/>
  <c r="X33" i="3"/>
  <c r="X32" i="5" s="1"/>
  <c r="C65" i="7"/>
  <c r="D65" i="7" s="1"/>
  <c r="N17" i="10"/>
  <c r="O48" i="10" s="1"/>
  <c r="U104" i="5" s="1"/>
  <c r="P16" i="10"/>
  <c r="P113" i="10" s="1"/>
  <c r="P120" i="10" s="1"/>
  <c r="Q35" i="10"/>
  <c r="Q16" i="10" s="1"/>
  <c r="Q113" i="10" s="1"/>
  <c r="Q120" i="10" s="1"/>
  <c r="Q90" i="10"/>
  <c r="M112" i="10"/>
  <c r="M119" i="10" s="1"/>
  <c r="N46" i="10"/>
  <c r="T90" i="5" s="1"/>
  <c r="I125" i="10"/>
  <c r="I124" i="10"/>
  <c r="I123" i="10"/>
  <c r="N29" i="10"/>
  <c r="N89" i="10"/>
  <c r="J111" i="10"/>
  <c r="J118" i="10" s="1"/>
  <c r="K45" i="10"/>
  <c r="K23" i="10"/>
  <c r="K88" i="10"/>
  <c r="O41" i="10"/>
  <c r="O17" i="10" s="1"/>
  <c r="O91" i="10"/>
  <c r="X19" i="14"/>
  <c r="R65" i="5"/>
  <c r="R22" i="6" s="1"/>
  <c r="S63" i="5"/>
  <c r="S62" i="5"/>
  <c r="S61" i="5"/>
  <c r="S60" i="5"/>
  <c r="Q71" i="5"/>
  <c r="T180" i="3"/>
  <c r="T114" i="3"/>
  <c r="T172" i="3"/>
  <c r="T104" i="3"/>
  <c r="T94" i="3"/>
  <c r="T164" i="3"/>
  <c r="AG234" i="3"/>
  <c r="Z231" i="3"/>
  <c r="AA232" i="3"/>
  <c r="Y233" i="3"/>
  <c r="K154" i="6"/>
  <c r="K104" i="6" s="1"/>
  <c r="S31" i="3"/>
  <c r="U66" i="3"/>
  <c r="T54" i="5"/>
  <c r="R40" i="3"/>
  <c r="S37" i="3"/>
  <c r="R46" i="3"/>
  <c r="Q49" i="3"/>
  <c r="Q46" i="5"/>
  <c r="Q48" i="5" s="1"/>
  <c r="S9" i="6"/>
  <c r="Z183" i="5"/>
  <c r="Z30" i="6" s="1"/>
  <c r="J183" i="5"/>
  <c r="J30" i="6" s="1"/>
  <c r="R165" i="3"/>
  <c r="R82" i="5" s="1"/>
  <c r="AI63" i="3"/>
  <c r="AI57" i="3" s="1"/>
  <c r="BL60" i="3"/>
  <c r="AW62" i="3"/>
  <c r="AW51" i="3" s="1"/>
  <c r="AL61" i="3"/>
  <c r="AL42" i="3" s="1"/>
  <c r="AL37" i="5" s="1"/>
  <c r="T69" i="3"/>
  <c r="T56" i="5" s="1"/>
  <c r="X62" i="3"/>
  <c r="X51" i="3" s="1"/>
  <c r="AJ62" i="3"/>
  <c r="AJ51" i="3" s="1"/>
  <c r="BJ62" i="3"/>
  <c r="AL60" i="3"/>
  <c r="AY60" i="3"/>
  <c r="BK61" i="3"/>
  <c r="AV63" i="3"/>
  <c r="AV57" i="3" s="1"/>
  <c r="Y60" i="3"/>
  <c r="T42" i="5"/>
  <c r="T70" i="3"/>
  <c r="T57" i="5" s="1"/>
  <c r="T47" i="5"/>
  <c r="T71" i="3"/>
  <c r="T58" i="5" s="1"/>
  <c r="T68" i="3"/>
  <c r="T55" i="5" s="1"/>
  <c r="W63" i="3"/>
  <c r="W57" i="3" s="1"/>
  <c r="AX61" i="3"/>
  <c r="AX42" i="3" s="1"/>
  <c r="AX37" i="5" s="1"/>
  <c r="BI63" i="3"/>
  <c r="Y61" i="3"/>
  <c r="Y42" i="3" s="1"/>
  <c r="Y37" i="5" s="1"/>
  <c r="X174" i="3"/>
  <c r="X122" i="5" s="1"/>
  <c r="X158" i="5" s="1"/>
  <c r="W214" i="3"/>
  <c r="X190" i="3"/>
  <c r="X140" i="5" s="1"/>
  <c r="X172" i="5" s="1"/>
  <c r="W74" i="5"/>
  <c r="AA48" i="3"/>
  <c r="AB30" i="3"/>
  <c r="Z39" i="3"/>
  <c r="V84" i="3"/>
  <c r="V194" i="3" s="1"/>
  <c r="V149" i="5" s="1"/>
  <c r="V156" i="5" s="1"/>
  <c r="V163" i="5" s="1"/>
  <c r="V170" i="5" s="1"/>
  <c r="AX84" i="3"/>
  <c r="AX194" i="3" s="1"/>
  <c r="AX149" i="5" s="1"/>
  <c r="AX156" i="5" s="1"/>
  <c r="AX163" i="5" s="1"/>
  <c r="AX170" i="5" s="1"/>
  <c r="BM200" i="3"/>
  <c r="BM206" i="3" s="1"/>
  <c r="BM212" i="3" s="1"/>
  <c r="BM149" i="5"/>
  <c r="BM156" i="5" s="1"/>
  <c r="BM163" i="5" s="1"/>
  <c r="BM170" i="5" s="1"/>
  <c r="AK200" i="3"/>
  <c r="AK206" i="3" s="1"/>
  <c r="AK212" i="3" s="1"/>
  <c r="AK149" i="5"/>
  <c r="AK156" i="5" s="1"/>
  <c r="AK163" i="5" s="1"/>
  <c r="AK170" i="5" s="1"/>
  <c r="V203" i="3"/>
  <c r="V151" i="5"/>
  <c r="AY200" i="3"/>
  <c r="AY206" i="3" s="1"/>
  <c r="AY212" i="3" s="1"/>
  <c r="AY149" i="5"/>
  <c r="AY156" i="5" s="1"/>
  <c r="AY163" i="5" s="1"/>
  <c r="AY170" i="5" s="1"/>
  <c r="M159" i="5"/>
  <c r="R139" i="5"/>
  <c r="R171" i="5" s="1"/>
  <c r="R213" i="3"/>
  <c r="W200" i="3"/>
  <c r="W206" i="3" s="1"/>
  <c r="W212" i="3" s="1"/>
  <c r="W149" i="5"/>
  <c r="W156" i="5" s="1"/>
  <c r="W163" i="5" s="1"/>
  <c r="W170" i="5" s="1"/>
  <c r="K173" i="5"/>
  <c r="W131" i="5"/>
  <c r="W165" i="5" s="1"/>
  <c r="W208" i="3"/>
  <c r="AY74" i="5"/>
  <c r="N197" i="3"/>
  <c r="N152" i="5" s="1"/>
  <c r="O197" i="3"/>
  <c r="O152" i="5" s="1"/>
  <c r="O159" i="5" s="1"/>
  <c r="O166" i="5" s="1"/>
  <c r="O173" i="5" s="1"/>
  <c r="AK74" i="5"/>
  <c r="BM74" i="5"/>
  <c r="AJ84" i="3"/>
  <c r="AJ194" i="3" s="1"/>
  <c r="R130" i="5"/>
  <c r="R164" i="5" s="1"/>
  <c r="S121" i="5"/>
  <c r="S157" i="5" s="1"/>
  <c r="S201" i="3"/>
  <c r="S112" i="5"/>
  <c r="S195" i="3"/>
  <c r="S150" i="5" s="1"/>
  <c r="BL84" i="3"/>
  <c r="BL194" i="3" s="1"/>
  <c r="W113" i="5"/>
  <c r="W196" i="3"/>
  <c r="S188" i="3"/>
  <c r="S101" i="5"/>
  <c r="X101" i="3"/>
  <c r="X79" i="5"/>
  <c r="Q181" i="3"/>
  <c r="Q89" i="5"/>
  <c r="AN121" i="3"/>
  <c r="AN100" i="5" s="1"/>
  <c r="AN93" i="5"/>
  <c r="P189" i="3"/>
  <c r="P96" i="5"/>
  <c r="P103" i="5" s="1"/>
  <c r="P114" i="5" s="1"/>
  <c r="X182" i="3"/>
  <c r="BA111" i="3"/>
  <c r="BA86" i="5"/>
  <c r="AL101" i="3"/>
  <c r="AL79" i="5"/>
  <c r="M132" i="5"/>
  <c r="AM111" i="3"/>
  <c r="AM86" i="5"/>
  <c r="Q75" i="5"/>
  <c r="AZ101" i="3"/>
  <c r="AZ79" i="5"/>
  <c r="N123" i="5"/>
  <c r="N132" i="5" s="1"/>
  <c r="N141" i="5" s="1"/>
  <c r="Z121" i="3"/>
  <c r="Z100" i="5" s="1"/>
  <c r="Z93" i="5"/>
  <c r="Y111" i="3"/>
  <c r="Y86" i="5"/>
  <c r="BM101" i="3"/>
  <c r="BM79" i="5"/>
  <c r="O123" i="5"/>
  <c r="O132" i="5" s="1"/>
  <c r="O141" i="5" s="1"/>
  <c r="AX75" i="3"/>
  <c r="BK75" i="3"/>
  <c r="S94" i="5"/>
  <c r="S207" i="3"/>
  <c r="S87" i="5"/>
  <c r="Q115" i="3"/>
  <c r="Q125" i="3" s="1"/>
  <c r="X166" i="3"/>
  <c r="S80" i="5"/>
  <c r="X102" i="3"/>
  <c r="X112" i="3" s="1"/>
  <c r="X122" i="3" s="1"/>
  <c r="X92" i="3"/>
  <c r="X103" i="3" s="1"/>
  <c r="X113" i="3" s="1"/>
  <c r="X123" i="3" s="1"/>
  <c r="AX89" i="3"/>
  <c r="AY100" i="3"/>
  <c r="AY110" i="3" s="1"/>
  <c r="AY120" i="3" s="1"/>
  <c r="AY90" i="3"/>
  <c r="AY91" i="3"/>
  <c r="AL102" i="3"/>
  <c r="AL112" i="3" s="1"/>
  <c r="AL122" i="3" s="1"/>
  <c r="AL92" i="3"/>
  <c r="AL103" i="3" s="1"/>
  <c r="AL113" i="3" s="1"/>
  <c r="AL123" i="3" s="1"/>
  <c r="AZ102" i="3"/>
  <c r="AZ112" i="3" s="1"/>
  <c r="AZ122" i="3" s="1"/>
  <c r="AZ92" i="3"/>
  <c r="AZ103" i="3" s="1"/>
  <c r="AZ113" i="3" s="1"/>
  <c r="AZ123" i="3" s="1"/>
  <c r="W91" i="3"/>
  <c r="W90" i="3"/>
  <c r="W100" i="3"/>
  <c r="W110" i="3" s="1"/>
  <c r="W120" i="3" s="1"/>
  <c r="BK89" i="3"/>
  <c r="BL100" i="3"/>
  <c r="BL110" i="3" s="1"/>
  <c r="BL120" i="3" s="1"/>
  <c r="BL90" i="3"/>
  <c r="BL91" i="3"/>
  <c r="AJ89" i="3"/>
  <c r="AK90" i="3"/>
  <c r="AK91" i="3"/>
  <c r="AK100" i="3"/>
  <c r="AK110" i="3" s="1"/>
  <c r="AK120" i="3" s="1"/>
  <c r="BM92" i="3"/>
  <c r="BM103" i="3" s="1"/>
  <c r="BM113" i="3" s="1"/>
  <c r="BM123" i="3" s="1"/>
  <c r="BM102" i="3"/>
  <c r="BM112" i="3" s="1"/>
  <c r="BM122" i="3" s="1"/>
  <c r="BN101" i="3"/>
  <c r="AE75" i="3"/>
  <c r="AD76" i="3"/>
  <c r="AD69" i="5" s="1"/>
  <c r="R76" i="3"/>
  <c r="R69" i="5" s="1"/>
  <c r="S75" i="3"/>
  <c r="BN92" i="3"/>
  <c r="BN103" i="3" s="1"/>
  <c r="BN113" i="3" s="1"/>
  <c r="BN123" i="3" s="1"/>
  <c r="BN102" i="3"/>
  <c r="BN112" i="3" s="1"/>
  <c r="BN122" i="3" s="1"/>
  <c r="AY76" i="3"/>
  <c r="AY69" i="5" s="1"/>
  <c r="BL76" i="3"/>
  <c r="BL69" i="5" s="1"/>
  <c r="S6" i="3"/>
  <c r="S165" i="3" s="1"/>
  <c r="R95" i="3"/>
  <c r="R105" i="3" s="1"/>
  <c r="T22" i="3"/>
  <c r="U20" i="3"/>
  <c r="T19" i="5"/>
  <c r="R81" i="3"/>
  <c r="R85" i="3"/>
  <c r="U19" i="3"/>
  <c r="T18" i="5"/>
  <c r="U21" i="3"/>
  <c r="U124" i="3" s="1"/>
  <c r="T20" i="5"/>
  <c r="U18" i="3"/>
  <c r="T17" i="5"/>
  <c r="Q47" i="10" l="1"/>
  <c r="W97" i="5" s="1"/>
  <c r="V139" i="14"/>
  <c r="U141" i="14"/>
  <c r="U85" i="14" s="1"/>
  <c r="AR101" i="10"/>
  <c r="AY33" i="3"/>
  <c r="AY32" i="5" s="1"/>
  <c r="AE101" i="10"/>
  <c r="AL33" i="3"/>
  <c r="AL32" i="5" s="1"/>
  <c r="R101" i="10"/>
  <c r="Y33" i="3"/>
  <c r="Y32" i="5" s="1"/>
  <c r="P38" i="10"/>
  <c r="P91" i="10" s="1"/>
  <c r="R32" i="10"/>
  <c r="R90" i="10" s="1"/>
  <c r="N114" i="10"/>
  <c r="N121" i="10" s="1"/>
  <c r="I126" i="10"/>
  <c r="K24" i="14" s="1"/>
  <c r="K65" i="14" s="1"/>
  <c r="P41" i="10"/>
  <c r="P17" i="10" s="1"/>
  <c r="J122" i="10"/>
  <c r="J115" i="10"/>
  <c r="L20" i="10"/>
  <c r="K14" i="10"/>
  <c r="O26" i="10"/>
  <c r="N15" i="10"/>
  <c r="Q83" i="5"/>
  <c r="K49" i="10"/>
  <c r="P48" i="10"/>
  <c r="V104" i="5" s="1"/>
  <c r="O114" i="10"/>
  <c r="O121" i="10" s="1"/>
  <c r="Y19" i="14"/>
  <c r="R47" i="10"/>
  <c r="X97" i="5" s="1"/>
  <c r="Y190" i="3"/>
  <c r="S65" i="5"/>
  <c r="S22" i="6" s="1"/>
  <c r="T63" i="5"/>
  <c r="T62" i="5"/>
  <c r="T61" i="5"/>
  <c r="T60" i="5"/>
  <c r="R71" i="5"/>
  <c r="U94" i="3"/>
  <c r="U164" i="3"/>
  <c r="U172" i="3"/>
  <c r="U104" i="3"/>
  <c r="U180" i="3"/>
  <c r="U114" i="3"/>
  <c r="AH234" i="3"/>
  <c r="AB232" i="3"/>
  <c r="AA231" i="3"/>
  <c r="Z233" i="3"/>
  <c r="S46" i="3"/>
  <c r="R49" i="3"/>
  <c r="R46" i="5"/>
  <c r="R48" i="5" s="1"/>
  <c r="V66" i="3"/>
  <c r="U54" i="5"/>
  <c r="T37" i="3"/>
  <c r="S40" i="3"/>
  <c r="T31" i="3"/>
  <c r="T9" i="6"/>
  <c r="R173" i="3"/>
  <c r="R202" i="3" s="1"/>
  <c r="R209" i="3" s="1"/>
  <c r="R215" i="3" s="1"/>
  <c r="AA183" i="5"/>
  <c r="AA30" i="6" s="1"/>
  <c r="I30" i="6"/>
  <c r="I31" i="6"/>
  <c r="I33" i="6"/>
  <c r="I32" i="6"/>
  <c r="Y174" i="3"/>
  <c r="Y122" i="5" s="1"/>
  <c r="Y158" i="5" s="1"/>
  <c r="U69" i="3"/>
  <c r="U56" i="5" s="1"/>
  <c r="U42" i="5"/>
  <c r="U70" i="3"/>
  <c r="U57" i="5" s="1"/>
  <c r="AW63" i="3"/>
  <c r="AW57" i="3" s="1"/>
  <c r="BM60" i="3"/>
  <c r="U68" i="3"/>
  <c r="U55" i="5" s="1"/>
  <c r="AZ60" i="3"/>
  <c r="BK62" i="3"/>
  <c r="BL61" i="3"/>
  <c r="AM60" i="3"/>
  <c r="U47" i="5"/>
  <c r="U71" i="3"/>
  <c r="U58" i="5" s="1"/>
  <c r="BJ63" i="3"/>
  <c r="X63" i="3"/>
  <c r="X57" i="3" s="1"/>
  <c r="Y62" i="3"/>
  <c r="Y51" i="3" s="1"/>
  <c r="AM61" i="3"/>
  <c r="AM42" i="3" s="1"/>
  <c r="Z61" i="3"/>
  <c r="Z42" i="3" s="1"/>
  <c r="AY61" i="3"/>
  <c r="AY42" i="3" s="1"/>
  <c r="AY37" i="5" s="1"/>
  <c r="Z60" i="3"/>
  <c r="AK62" i="3"/>
  <c r="AK51" i="3" s="1"/>
  <c r="AX62" i="3"/>
  <c r="AX51" i="3" s="1"/>
  <c r="AJ63" i="3"/>
  <c r="AJ57" i="3" s="1"/>
  <c r="U84" i="3"/>
  <c r="U194" i="3" s="1"/>
  <c r="U200" i="3" s="1"/>
  <c r="U206" i="3" s="1"/>
  <c r="U212" i="3" s="1"/>
  <c r="X214" i="3"/>
  <c r="V200" i="3"/>
  <c r="V206" i="3" s="1"/>
  <c r="V212" i="3" s="1"/>
  <c r="AX74" i="5"/>
  <c r="AX200" i="3"/>
  <c r="AX206" i="3" s="1"/>
  <c r="AX212" i="3" s="1"/>
  <c r="AW84" i="3"/>
  <c r="AW194" i="3" s="1"/>
  <c r="AW149" i="5" s="1"/>
  <c r="AW156" i="5" s="1"/>
  <c r="AW163" i="5" s="1"/>
  <c r="AW170" i="5" s="1"/>
  <c r="V74" i="5"/>
  <c r="AB48" i="3"/>
  <c r="AA39" i="3"/>
  <c r="AC30" i="3"/>
  <c r="Y140" i="5"/>
  <c r="Y172" i="5" s="1"/>
  <c r="Y214" i="3"/>
  <c r="BL200" i="3"/>
  <c r="BL206" i="3" s="1"/>
  <c r="BL212" i="3" s="1"/>
  <c r="BL149" i="5"/>
  <c r="BL156" i="5" s="1"/>
  <c r="BL163" i="5" s="1"/>
  <c r="BL170" i="5" s="1"/>
  <c r="N159" i="5"/>
  <c r="M166" i="5"/>
  <c r="S139" i="5"/>
  <c r="S171" i="5" s="1"/>
  <c r="S213" i="3"/>
  <c r="AJ200" i="3"/>
  <c r="AJ206" i="3" s="1"/>
  <c r="AJ212" i="3" s="1"/>
  <c r="AJ149" i="5"/>
  <c r="AJ156" i="5" s="1"/>
  <c r="AJ163" i="5" s="1"/>
  <c r="AJ170" i="5" s="1"/>
  <c r="W203" i="3"/>
  <c r="W151" i="5"/>
  <c r="X131" i="5"/>
  <c r="X165" i="5" s="1"/>
  <c r="X208" i="3"/>
  <c r="P197" i="3"/>
  <c r="P152" i="5" s="1"/>
  <c r="AJ74" i="5"/>
  <c r="AI84" i="3"/>
  <c r="AI194" i="3" s="1"/>
  <c r="S130" i="5"/>
  <c r="S164" i="5" s="1"/>
  <c r="T121" i="5"/>
  <c r="T157" i="5" s="1"/>
  <c r="T201" i="3"/>
  <c r="BL74" i="5"/>
  <c r="T112" i="5"/>
  <c r="T195" i="3"/>
  <c r="T150" i="5" s="1"/>
  <c r="BK84" i="3"/>
  <c r="BK194" i="3" s="1"/>
  <c r="X113" i="5"/>
  <c r="X196" i="3"/>
  <c r="AL111" i="3"/>
  <c r="AL86" i="5"/>
  <c r="X111" i="3"/>
  <c r="X86" i="5"/>
  <c r="BN111" i="3"/>
  <c r="BN86" i="5"/>
  <c r="BL101" i="3"/>
  <c r="BL79" i="5"/>
  <c r="W101" i="3"/>
  <c r="W79" i="5"/>
  <c r="AY101" i="3"/>
  <c r="AY79" i="5"/>
  <c r="Y121" i="3"/>
  <c r="Y100" i="5" s="1"/>
  <c r="Y93" i="5"/>
  <c r="BA121" i="3"/>
  <c r="BA100" i="5" s="1"/>
  <c r="BA93" i="5"/>
  <c r="P123" i="5"/>
  <c r="P132" i="5" s="1"/>
  <c r="P141" i="5" s="1"/>
  <c r="S173" i="3"/>
  <c r="S202" i="3" s="1"/>
  <c r="S209" i="3" s="1"/>
  <c r="S215" i="3" s="1"/>
  <c r="S82" i="5"/>
  <c r="T188" i="3"/>
  <c r="T101" i="5"/>
  <c r="BM111" i="3"/>
  <c r="BM86" i="5"/>
  <c r="AM121" i="3"/>
  <c r="AM100" i="5" s="1"/>
  <c r="AM93" i="5"/>
  <c r="M141" i="5"/>
  <c r="R75" i="5"/>
  <c r="AK101" i="3"/>
  <c r="AK79" i="5"/>
  <c r="AZ111" i="3"/>
  <c r="AZ86" i="5"/>
  <c r="Y182" i="3"/>
  <c r="Q189" i="3"/>
  <c r="Q96" i="5"/>
  <c r="Q103" i="5" s="1"/>
  <c r="Q114" i="5" s="1"/>
  <c r="AW75" i="3"/>
  <c r="AX76" i="3"/>
  <c r="AX69" i="5" s="1"/>
  <c r="BJ75" i="3"/>
  <c r="BK76" i="3"/>
  <c r="BK69" i="5" s="1"/>
  <c r="T94" i="5"/>
  <c r="T207" i="3"/>
  <c r="T87" i="5"/>
  <c r="Z174" i="3"/>
  <c r="Z122" i="5" s="1"/>
  <c r="Z158" i="5" s="1"/>
  <c r="Y166" i="3"/>
  <c r="R115" i="3"/>
  <c r="R125" i="3" s="1"/>
  <c r="BL92" i="3"/>
  <c r="BL103" i="3" s="1"/>
  <c r="BL113" i="3" s="1"/>
  <c r="BL123" i="3" s="1"/>
  <c r="BL102" i="3"/>
  <c r="BL112" i="3" s="1"/>
  <c r="BL122" i="3" s="1"/>
  <c r="AY102" i="3"/>
  <c r="AY112" i="3" s="1"/>
  <c r="AY122" i="3" s="1"/>
  <c r="AY92" i="3"/>
  <c r="AY103" i="3" s="1"/>
  <c r="AY113" i="3" s="1"/>
  <c r="AY123" i="3" s="1"/>
  <c r="W92" i="3"/>
  <c r="W103" i="3" s="1"/>
  <c r="W113" i="3" s="1"/>
  <c r="W123" i="3" s="1"/>
  <c r="W102" i="3"/>
  <c r="W112" i="3" s="1"/>
  <c r="W122" i="3" s="1"/>
  <c r="AK92" i="3"/>
  <c r="AK103" i="3" s="1"/>
  <c r="AK113" i="3" s="1"/>
  <c r="AK123" i="3" s="1"/>
  <c r="AK102" i="3"/>
  <c r="AK112" i="3" s="1"/>
  <c r="AK122" i="3" s="1"/>
  <c r="AI89" i="3"/>
  <c r="AJ90" i="3"/>
  <c r="AJ91" i="3"/>
  <c r="AJ100" i="3"/>
  <c r="AJ110" i="3" s="1"/>
  <c r="AJ120" i="3" s="1"/>
  <c r="BJ89" i="3"/>
  <c r="BK100" i="3"/>
  <c r="BK110" i="3" s="1"/>
  <c r="BK120" i="3" s="1"/>
  <c r="BK90" i="3"/>
  <c r="BK91" i="3"/>
  <c r="V100" i="3"/>
  <c r="V110" i="3" s="1"/>
  <c r="V120" i="3" s="1"/>
  <c r="V91" i="3"/>
  <c r="V90" i="3"/>
  <c r="AW89" i="3"/>
  <c r="AX90" i="3"/>
  <c r="AX100" i="3"/>
  <c r="AX110" i="3" s="1"/>
  <c r="AX120" i="3" s="1"/>
  <c r="AX91" i="3"/>
  <c r="AF75" i="3"/>
  <c r="AE76" i="3"/>
  <c r="AE69" i="5" s="1"/>
  <c r="S76" i="3"/>
  <c r="S69" i="5" s="1"/>
  <c r="T75" i="3"/>
  <c r="BM76" i="3"/>
  <c r="BM69" i="5" s="1"/>
  <c r="AZ76" i="3"/>
  <c r="AZ69" i="5" s="1"/>
  <c r="T6" i="3"/>
  <c r="S95" i="3"/>
  <c r="S105" i="3" s="1"/>
  <c r="U22" i="3"/>
  <c r="T80" i="5"/>
  <c r="V19" i="3"/>
  <c r="U18" i="5"/>
  <c r="S85" i="3"/>
  <c r="S81" i="3"/>
  <c r="V18" i="3"/>
  <c r="U17" i="5"/>
  <c r="U19" i="5"/>
  <c r="V20" i="3"/>
  <c r="V21" i="3"/>
  <c r="V124" i="3" s="1"/>
  <c r="U20" i="5"/>
  <c r="R35" i="10" l="1"/>
  <c r="S32" i="10" s="1"/>
  <c r="S35" i="10" s="1"/>
  <c r="S16" i="10" s="1"/>
  <c r="S113" i="10" s="1"/>
  <c r="S120" i="10" s="1"/>
  <c r="V141" i="14"/>
  <c r="V85" i="14" s="1"/>
  <c r="W139" i="14"/>
  <c r="AF101" i="10"/>
  <c r="AM33" i="3"/>
  <c r="AS101" i="10"/>
  <c r="AZ33" i="3"/>
  <c r="AM37" i="5"/>
  <c r="AN42" i="3"/>
  <c r="AN37" i="5" s="1"/>
  <c r="S101" i="10"/>
  <c r="Z33" i="3"/>
  <c r="Z37" i="5"/>
  <c r="AA42" i="3"/>
  <c r="AA37" i="5" s="1"/>
  <c r="Q38" i="10"/>
  <c r="Q91" i="10" s="1"/>
  <c r="N112" i="10"/>
  <c r="N119" i="10" s="1"/>
  <c r="O46" i="10"/>
  <c r="U90" i="5" s="1"/>
  <c r="K111" i="10"/>
  <c r="K118" i="10" s="1"/>
  <c r="L45" i="10"/>
  <c r="O29" i="10"/>
  <c r="O89" i="10"/>
  <c r="L23" i="10"/>
  <c r="L88" i="10"/>
  <c r="J123" i="10"/>
  <c r="J124" i="10"/>
  <c r="J125" i="10"/>
  <c r="Q48" i="10"/>
  <c r="W104" i="5" s="1"/>
  <c r="P114" i="10"/>
  <c r="P121" i="10" s="1"/>
  <c r="Z19" i="14"/>
  <c r="T65" i="5"/>
  <c r="T22" i="6" s="1"/>
  <c r="U63" i="5"/>
  <c r="U62" i="5"/>
  <c r="U61" i="5"/>
  <c r="U60" i="5"/>
  <c r="V172" i="3"/>
  <c r="V104" i="3"/>
  <c r="V180" i="3"/>
  <c r="V114" i="3"/>
  <c r="V164" i="3"/>
  <c r="V94" i="3"/>
  <c r="AI234" i="3"/>
  <c r="S71" i="5"/>
  <c r="AB231" i="3"/>
  <c r="K126" i="6"/>
  <c r="AH67" i="2" s="1"/>
  <c r="AC232" i="3"/>
  <c r="R181" i="3"/>
  <c r="R96" i="5" s="1"/>
  <c r="R103" i="5" s="1"/>
  <c r="R114" i="5" s="1"/>
  <c r="AA233" i="3"/>
  <c r="R89" i="5"/>
  <c r="T40" i="3"/>
  <c r="U37" i="3"/>
  <c r="S46" i="5"/>
  <c r="S48" i="5" s="1"/>
  <c r="U31" i="3"/>
  <c r="W66" i="3"/>
  <c r="V54" i="5"/>
  <c r="T46" i="3"/>
  <c r="S49" i="3"/>
  <c r="U9" i="6"/>
  <c r="AB183" i="5"/>
  <c r="AB30" i="6" s="1"/>
  <c r="G33" i="6"/>
  <c r="H33" i="6"/>
  <c r="G32" i="6"/>
  <c r="H32" i="6"/>
  <c r="G31" i="6"/>
  <c r="H31" i="6"/>
  <c r="G30" i="6"/>
  <c r="H30" i="6"/>
  <c r="T165" i="3"/>
  <c r="T173" i="3" s="1"/>
  <c r="T202" i="3" s="1"/>
  <c r="T209" i="3" s="1"/>
  <c r="T215" i="3" s="1"/>
  <c r="AW200" i="3"/>
  <c r="AW206" i="3" s="1"/>
  <c r="AW212" i="3" s="1"/>
  <c r="AY62" i="3"/>
  <c r="AY51" i="3" s="1"/>
  <c r="V68" i="3"/>
  <c r="V55" i="5" s="1"/>
  <c r="U149" i="5"/>
  <c r="U156" i="5" s="1"/>
  <c r="U163" i="5" s="1"/>
  <c r="U170" i="5" s="1"/>
  <c r="Y63" i="3"/>
  <c r="Y57" i="3" s="1"/>
  <c r="V69" i="3"/>
  <c r="V56" i="5" s="1"/>
  <c r="T84" i="3"/>
  <c r="T194" i="3" s="1"/>
  <c r="T149" i="5" s="1"/>
  <c r="T156" i="5" s="1"/>
  <c r="T163" i="5" s="1"/>
  <c r="T170" i="5" s="1"/>
  <c r="V42" i="5"/>
  <c r="V70" i="3"/>
  <c r="V57" i="5" s="1"/>
  <c r="AL62" i="3"/>
  <c r="AL51" i="3" s="1"/>
  <c r="Z62" i="3"/>
  <c r="Z51" i="3" s="1"/>
  <c r="AA51" i="3" s="1"/>
  <c r="BK63" i="3"/>
  <c r="BL62" i="3"/>
  <c r="AX63" i="3"/>
  <c r="AX57" i="3" s="1"/>
  <c r="U74" i="5"/>
  <c r="AZ61" i="3"/>
  <c r="AZ42" i="3" s="1"/>
  <c r="BM61" i="3"/>
  <c r="V47" i="5"/>
  <c r="V71" i="3"/>
  <c r="V58" i="5" s="1"/>
  <c r="AK63" i="3"/>
  <c r="AK57" i="3" s="1"/>
  <c r="AW74" i="5"/>
  <c r="Z190" i="3"/>
  <c r="Z214" i="3" s="1"/>
  <c r="AV84" i="3"/>
  <c r="AV194" i="3" s="1"/>
  <c r="AV200" i="3" s="1"/>
  <c r="AV206" i="3" s="1"/>
  <c r="AV212" i="3" s="1"/>
  <c r="AC48" i="3"/>
  <c r="AD30" i="3"/>
  <c r="AB39" i="3"/>
  <c r="BK200" i="3"/>
  <c r="BK206" i="3" s="1"/>
  <c r="BK212" i="3" s="1"/>
  <c r="BK149" i="5"/>
  <c r="BK156" i="5" s="1"/>
  <c r="BK163" i="5" s="1"/>
  <c r="BK170" i="5" s="1"/>
  <c r="AI200" i="3"/>
  <c r="AI206" i="3" s="1"/>
  <c r="AI212" i="3" s="1"/>
  <c r="AI149" i="5"/>
  <c r="AI156" i="5" s="1"/>
  <c r="AI163" i="5" s="1"/>
  <c r="AI170" i="5" s="1"/>
  <c r="X203" i="3"/>
  <c r="X151" i="5"/>
  <c r="N166" i="5"/>
  <c r="AH84" i="3"/>
  <c r="AH194" i="3" s="1"/>
  <c r="P159" i="5"/>
  <c r="M173" i="5"/>
  <c r="T139" i="5"/>
  <c r="T171" i="5" s="1"/>
  <c r="T213" i="3"/>
  <c r="Q197" i="3"/>
  <c r="Q152" i="5" s="1"/>
  <c r="AI74" i="5"/>
  <c r="Y131" i="5"/>
  <c r="Y165" i="5" s="1"/>
  <c r="Y208" i="3"/>
  <c r="U121" i="5"/>
  <c r="U157" i="5" s="1"/>
  <c r="U201" i="3"/>
  <c r="T130" i="5"/>
  <c r="T164" i="5" s="1"/>
  <c r="U112" i="5"/>
  <c r="U195" i="3"/>
  <c r="U150" i="5" s="1"/>
  <c r="BK74" i="5"/>
  <c r="BJ84" i="3"/>
  <c r="BJ194" i="3" s="1"/>
  <c r="Y113" i="5"/>
  <c r="Y196" i="3"/>
  <c r="BM121" i="3"/>
  <c r="BM100" i="5" s="1"/>
  <c r="BM93" i="5"/>
  <c r="BN121" i="3"/>
  <c r="BN100" i="5" s="1"/>
  <c r="BN93" i="5"/>
  <c r="V101" i="3"/>
  <c r="V79" i="5"/>
  <c r="Z182" i="3"/>
  <c r="AL121" i="3"/>
  <c r="AL100" i="5" s="1"/>
  <c r="AL93" i="5"/>
  <c r="S75" i="5"/>
  <c r="BK101" i="3"/>
  <c r="BK79" i="5"/>
  <c r="R189" i="3"/>
  <c r="AY111" i="3"/>
  <c r="AY86" i="5"/>
  <c r="BL111" i="3"/>
  <c r="BL86" i="5"/>
  <c r="U188" i="3"/>
  <c r="U101" i="5"/>
  <c r="W111" i="3"/>
  <c r="W86" i="5"/>
  <c r="Q123" i="5"/>
  <c r="AX101" i="3"/>
  <c r="AX79" i="5"/>
  <c r="AJ101" i="3"/>
  <c r="AJ79" i="5"/>
  <c r="V170" i="3"/>
  <c r="V111" i="5"/>
  <c r="AZ121" i="3"/>
  <c r="AZ100" i="5" s="1"/>
  <c r="AZ93" i="5"/>
  <c r="AK111" i="3"/>
  <c r="AK86" i="5"/>
  <c r="S181" i="3"/>
  <c r="S89" i="5"/>
  <c r="X121" i="3"/>
  <c r="X100" i="5" s="1"/>
  <c r="X93" i="5"/>
  <c r="BI75" i="3"/>
  <c r="BJ76" i="3"/>
  <c r="BJ69" i="5" s="1"/>
  <c r="AV75" i="3"/>
  <c r="AW76" i="3"/>
  <c r="AW69" i="5" s="1"/>
  <c r="U94" i="5"/>
  <c r="U207" i="3"/>
  <c r="U87" i="5"/>
  <c r="AA174" i="3"/>
  <c r="AA122" i="5" s="1"/>
  <c r="AA158" i="5" s="1"/>
  <c r="Z166" i="3"/>
  <c r="S115" i="3"/>
  <c r="S125" i="3" s="1"/>
  <c r="U80" i="5"/>
  <c r="V162" i="3"/>
  <c r="V171" i="3" s="1"/>
  <c r="BI89" i="3"/>
  <c r="BJ100" i="3"/>
  <c r="BJ110" i="3" s="1"/>
  <c r="BJ120" i="3" s="1"/>
  <c r="BJ90" i="3"/>
  <c r="BJ91" i="3"/>
  <c r="AX102" i="3"/>
  <c r="AX112" i="3" s="1"/>
  <c r="AX122" i="3" s="1"/>
  <c r="AX92" i="3"/>
  <c r="AX103" i="3" s="1"/>
  <c r="AX113" i="3" s="1"/>
  <c r="AX123" i="3" s="1"/>
  <c r="BK92" i="3"/>
  <c r="BK103" i="3" s="1"/>
  <c r="BK113" i="3" s="1"/>
  <c r="BK123" i="3" s="1"/>
  <c r="BK102" i="3"/>
  <c r="BK112" i="3" s="1"/>
  <c r="BK122" i="3" s="1"/>
  <c r="AV89" i="3"/>
  <c r="AW91" i="3"/>
  <c r="AW90" i="3"/>
  <c r="AW100" i="3"/>
  <c r="AW110" i="3" s="1"/>
  <c r="AW120" i="3" s="1"/>
  <c r="U91" i="3"/>
  <c r="U100" i="3"/>
  <c r="U110" i="3" s="1"/>
  <c r="U120" i="3" s="1"/>
  <c r="U90" i="3"/>
  <c r="AH89" i="3"/>
  <c r="AI91" i="3"/>
  <c r="AI100" i="3"/>
  <c r="AI110" i="3" s="1"/>
  <c r="AI120" i="3" s="1"/>
  <c r="AI90" i="3"/>
  <c r="V102" i="3"/>
  <c r="V112" i="3" s="1"/>
  <c r="V122" i="3" s="1"/>
  <c r="V92" i="3"/>
  <c r="V103" i="3" s="1"/>
  <c r="V113" i="3" s="1"/>
  <c r="V123" i="3" s="1"/>
  <c r="AJ92" i="3"/>
  <c r="AJ103" i="3" s="1"/>
  <c r="AJ113" i="3" s="1"/>
  <c r="AJ123" i="3" s="1"/>
  <c r="AJ102" i="3"/>
  <c r="AJ112" i="3" s="1"/>
  <c r="AJ122" i="3" s="1"/>
  <c r="T76" i="3"/>
  <c r="T69" i="5" s="1"/>
  <c r="U75" i="3"/>
  <c r="AG75" i="3"/>
  <c r="AF76" i="3"/>
  <c r="AF69" i="5" s="1"/>
  <c r="U6" i="3"/>
  <c r="U165" i="3" s="1"/>
  <c r="T95" i="3"/>
  <c r="T105" i="3" s="1"/>
  <c r="V22" i="3"/>
  <c r="V20" i="5"/>
  <c r="W21" i="3"/>
  <c r="W124" i="3" s="1"/>
  <c r="W18" i="3"/>
  <c r="V17" i="5"/>
  <c r="V18" i="5"/>
  <c r="W19" i="3"/>
  <c r="T85" i="3"/>
  <c r="T81" i="3"/>
  <c r="V19" i="5"/>
  <c r="W20" i="3"/>
  <c r="S90" i="10" l="1"/>
  <c r="R16" i="10"/>
  <c r="R113" i="10" s="1"/>
  <c r="R120" i="10" s="1"/>
  <c r="Q41" i="10"/>
  <c r="R38" i="10" s="1"/>
  <c r="R91" i="10" s="1"/>
  <c r="X139" i="14"/>
  <c r="W141" i="14"/>
  <c r="W85" i="14" s="1"/>
  <c r="AZ32" i="5"/>
  <c r="BA33" i="3"/>
  <c r="BA32" i="5" s="1"/>
  <c r="AZ37" i="5"/>
  <c r="BA42" i="3"/>
  <c r="BA37" i="5" s="1"/>
  <c r="AM32" i="5"/>
  <c r="AN33" i="3"/>
  <c r="AN32" i="5" s="1"/>
  <c r="Z32" i="5"/>
  <c r="AA33" i="3"/>
  <c r="AA32" i="5" s="1"/>
  <c r="T32" i="10"/>
  <c r="T90" i="10" s="1"/>
  <c r="U90" i="10" s="1"/>
  <c r="J126" i="10"/>
  <c r="L24" i="14" s="1"/>
  <c r="L65" i="14" s="1"/>
  <c r="L14" i="10"/>
  <c r="M20" i="10"/>
  <c r="R83" i="5"/>
  <c r="L49" i="10"/>
  <c r="K115" i="10"/>
  <c r="P26" i="10"/>
  <c r="O15" i="10"/>
  <c r="AA19" i="14"/>
  <c r="T47" i="10"/>
  <c r="Z97" i="5" s="1"/>
  <c r="U65" i="5"/>
  <c r="U22" i="6" s="1"/>
  <c r="V63" i="5"/>
  <c r="V62" i="5"/>
  <c r="V61" i="5"/>
  <c r="V60" i="5"/>
  <c r="W180" i="3"/>
  <c r="W114" i="3"/>
  <c r="W104" i="3"/>
  <c r="W172" i="3"/>
  <c r="W164" i="3"/>
  <c r="W94" i="3"/>
  <c r="AJ234" i="3"/>
  <c r="Z140" i="5"/>
  <c r="Z172" i="5" s="1"/>
  <c r="AC231" i="3"/>
  <c r="AD232" i="3"/>
  <c r="T71" i="5"/>
  <c r="AB233" i="3"/>
  <c r="X66" i="3"/>
  <c r="W54" i="5"/>
  <c r="V31" i="3"/>
  <c r="V37" i="3"/>
  <c r="U40" i="3"/>
  <c r="U46" i="3"/>
  <c r="T49" i="3"/>
  <c r="T46" i="5"/>
  <c r="T48" i="5" s="1"/>
  <c r="V9" i="6"/>
  <c r="AC183" i="5"/>
  <c r="AC30" i="6" s="1"/>
  <c r="T82" i="5"/>
  <c r="T200" i="3"/>
  <c r="T206" i="3" s="1"/>
  <c r="T212" i="3" s="1"/>
  <c r="S84" i="3"/>
  <c r="S194" i="3" s="1"/>
  <c r="S200" i="3" s="1"/>
  <c r="S206" i="3" s="1"/>
  <c r="S212" i="3" s="1"/>
  <c r="Z63" i="3"/>
  <c r="Z57" i="3" s="1"/>
  <c r="AA57" i="3" s="1"/>
  <c r="W47" i="5"/>
  <c r="W71" i="3"/>
  <c r="W58" i="5" s="1"/>
  <c r="AL63" i="3"/>
  <c r="AL57" i="3" s="1"/>
  <c r="W68" i="3"/>
  <c r="W55" i="5" s="1"/>
  <c r="AY63" i="3"/>
  <c r="AY57" i="3" s="1"/>
  <c r="BL63" i="3"/>
  <c r="AM62" i="3"/>
  <c r="AM51" i="3" s="1"/>
  <c r="AN51" i="3" s="1"/>
  <c r="W42" i="5"/>
  <c r="W70" i="3"/>
  <c r="W57" i="5" s="1"/>
  <c r="W69" i="3"/>
  <c r="W56" i="5" s="1"/>
  <c r="T74" i="5"/>
  <c r="BM62" i="3"/>
  <c r="AZ62" i="3"/>
  <c r="AZ51" i="3" s="1"/>
  <c r="BA51" i="3" s="1"/>
  <c r="AU84" i="3"/>
  <c r="AU194" i="3" s="1"/>
  <c r="AU200" i="3" s="1"/>
  <c r="AU206" i="3" s="1"/>
  <c r="AU212" i="3" s="1"/>
  <c r="AA190" i="3"/>
  <c r="AA140" i="5" s="1"/>
  <c r="AA172" i="5" s="1"/>
  <c r="AV74" i="5"/>
  <c r="AV149" i="5"/>
  <c r="AV156" i="5" s="1"/>
  <c r="AV163" i="5" s="1"/>
  <c r="AV170" i="5" s="1"/>
  <c r="BI84" i="3"/>
  <c r="BI194" i="3" s="1"/>
  <c r="BI200" i="3" s="1"/>
  <c r="BI206" i="3" s="1"/>
  <c r="BI212" i="3" s="1"/>
  <c r="AH74" i="5"/>
  <c r="AD48" i="3"/>
  <c r="AC39" i="3"/>
  <c r="AE30" i="3"/>
  <c r="N173" i="5"/>
  <c r="AG84" i="3"/>
  <c r="AG194" i="3" s="1"/>
  <c r="U139" i="5"/>
  <c r="U171" i="5" s="1"/>
  <c r="U213" i="3"/>
  <c r="AH200" i="3"/>
  <c r="AH206" i="3" s="1"/>
  <c r="AH212" i="3" s="1"/>
  <c r="AH149" i="5"/>
  <c r="AH156" i="5" s="1"/>
  <c r="AH163" i="5" s="1"/>
  <c r="AH170" i="5" s="1"/>
  <c r="Y203" i="3"/>
  <c r="Y151" i="5"/>
  <c r="Q159" i="5"/>
  <c r="P166" i="5"/>
  <c r="BJ200" i="3"/>
  <c r="BJ206" i="3" s="1"/>
  <c r="BJ212" i="3" s="1"/>
  <c r="BJ149" i="5"/>
  <c r="BJ156" i="5" s="1"/>
  <c r="BJ163" i="5" s="1"/>
  <c r="BJ170" i="5" s="1"/>
  <c r="R197" i="3"/>
  <c r="R152" i="5" s="1"/>
  <c r="Z131" i="5"/>
  <c r="Z165" i="5" s="1"/>
  <c r="Z208" i="3"/>
  <c r="V121" i="5"/>
  <c r="V157" i="5" s="1"/>
  <c r="V201" i="3"/>
  <c r="U130" i="5"/>
  <c r="U164" i="5" s="1"/>
  <c r="V112" i="5"/>
  <c r="V195" i="3"/>
  <c r="V150" i="5" s="1"/>
  <c r="Z113" i="5"/>
  <c r="Z196" i="3"/>
  <c r="V179" i="3"/>
  <c r="BJ74" i="5"/>
  <c r="AW101" i="3"/>
  <c r="AW79" i="5"/>
  <c r="BJ101" i="3"/>
  <c r="BJ79" i="5"/>
  <c r="AY121" i="3"/>
  <c r="AY100" i="5" s="1"/>
  <c r="AY93" i="5"/>
  <c r="BK111" i="3"/>
  <c r="BK86" i="5"/>
  <c r="T75" i="5"/>
  <c r="V188" i="3"/>
  <c r="V101" i="5"/>
  <c r="AK121" i="3"/>
  <c r="AK100" i="5" s="1"/>
  <c r="AK93" i="5"/>
  <c r="AX111" i="3"/>
  <c r="AX86" i="5"/>
  <c r="U173" i="3"/>
  <c r="U202" i="3" s="1"/>
  <c r="U209" i="3" s="1"/>
  <c r="U215" i="3" s="1"/>
  <c r="U82" i="5"/>
  <c r="W121" i="3"/>
  <c r="W100" i="5" s="1"/>
  <c r="W93" i="5"/>
  <c r="BL121" i="3"/>
  <c r="BL100" i="5" s="1"/>
  <c r="BL93" i="5"/>
  <c r="T181" i="3"/>
  <c r="T89" i="5"/>
  <c r="AA182" i="3"/>
  <c r="R123" i="5"/>
  <c r="V111" i="3"/>
  <c r="V86" i="5"/>
  <c r="U170" i="3"/>
  <c r="U111" i="5"/>
  <c r="V178" i="3"/>
  <c r="V120" i="5"/>
  <c r="AI101" i="3"/>
  <c r="AI79" i="5"/>
  <c r="U101" i="3"/>
  <c r="U79" i="5"/>
  <c r="S189" i="3"/>
  <c r="S96" i="5"/>
  <c r="S103" i="5" s="1"/>
  <c r="S114" i="5" s="1"/>
  <c r="AJ111" i="3"/>
  <c r="AJ86" i="5"/>
  <c r="Q132" i="5"/>
  <c r="AU75" i="3"/>
  <c r="AV76" i="3"/>
  <c r="AV69" i="5" s="1"/>
  <c r="BH75" i="3"/>
  <c r="BI76" i="3"/>
  <c r="BI69" i="5" s="1"/>
  <c r="V94" i="5"/>
  <c r="V207" i="3"/>
  <c r="V87" i="5"/>
  <c r="AB174" i="3"/>
  <c r="AB122" i="5" s="1"/>
  <c r="AB158" i="5" s="1"/>
  <c r="AA166" i="3"/>
  <c r="T115" i="3"/>
  <c r="T125" i="3" s="1"/>
  <c r="U162" i="3"/>
  <c r="U171" i="3" s="1"/>
  <c r="V80" i="5"/>
  <c r="T100" i="3"/>
  <c r="T110" i="3" s="1"/>
  <c r="T120" i="3" s="1"/>
  <c r="T90" i="3"/>
  <c r="T91" i="3"/>
  <c r="AG89" i="3"/>
  <c r="AH90" i="3"/>
  <c r="AH100" i="3"/>
  <c r="AH110" i="3" s="1"/>
  <c r="AH120" i="3" s="1"/>
  <c r="AH91" i="3"/>
  <c r="U102" i="3"/>
  <c r="U112" i="3" s="1"/>
  <c r="U122" i="3" s="1"/>
  <c r="U92" i="3"/>
  <c r="U103" i="3" s="1"/>
  <c r="U113" i="3" s="1"/>
  <c r="U123" i="3" s="1"/>
  <c r="AU89" i="3"/>
  <c r="AV91" i="3"/>
  <c r="AV100" i="3"/>
  <c r="AV110" i="3" s="1"/>
  <c r="AV120" i="3" s="1"/>
  <c r="AV90" i="3"/>
  <c r="BH89" i="3"/>
  <c r="BI90" i="3"/>
  <c r="BI91" i="3"/>
  <c r="BI100" i="3"/>
  <c r="BI110" i="3" s="1"/>
  <c r="BI120" i="3" s="1"/>
  <c r="BJ92" i="3"/>
  <c r="BJ103" i="3" s="1"/>
  <c r="BJ113" i="3" s="1"/>
  <c r="BJ123" i="3" s="1"/>
  <c r="BJ102" i="3"/>
  <c r="BJ112" i="3" s="1"/>
  <c r="BJ122" i="3" s="1"/>
  <c r="AI102" i="3"/>
  <c r="AI112" i="3" s="1"/>
  <c r="AI122" i="3" s="1"/>
  <c r="AI92" i="3"/>
  <c r="AI103" i="3" s="1"/>
  <c r="AI113" i="3" s="1"/>
  <c r="AI123" i="3" s="1"/>
  <c r="AW92" i="3"/>
  <c r="AW103" i="3" s="1"/>
  <c r="AW113" i="3" s="1"/>
  <c r="AW123" i="3" s="1"/>
  <c r="AW102" i="3"/>
  <c r="AW112" i="3" s="1"/>
  <c r="AW122" i="3" s="1"/>
  <c r="U76" i="3"/>
  <c r="U69" i="5" s="1"/>
  <c r="V75" i="3"/>
  <c r="AH75" i="3"/>
  <c r="AG76" i="3"/>
  <c r="AG69" i="5" s="1"/>
  <c r="V6" i="3"/>
  <c r="V165" i="3" s="1"/>
  <c r="U95" i="3"/>
  <c r="U105" i="3" s="1"/>
  <c r="W22" i="3"/>
  <c r="X18" i="3"/>
  <c r="W17" i="5"/>
  <c r="W19" i="5"/>
  <c r="X20" i="3"/>
  <c r="W18" i="5"/>
  <c r="X19" i="3"/>
  <c r="U81" i="3"/>
  <c r="U85" i="3"/>
  <c r="X21" i="3"/>
  <c r="X124" i="3" s="1"/>
  <c r="W20" i="5"/>
  <c r="T35" i="10" l="1"/>
  <c r="V32" i="10" s="1"/>
  <c r="V90" i="10" s="1"/>
  <c r="Q17" i="10"/>
  <c r="R48" i="10" s="1"/>
  <c r="X104" i="5" s="1"/>
  <c r="R41" i="10"/>
  <c r="S38" i="10" s="1"/>
  <c r="S41" i="10" s="1"/>
  <c r="S17" i="10" s="1"/>
  <c r="S47" i="10"/>
  <c r="Y97" i="5" s="1"/>
  <c r="Y139" i="14"/>
  <c r="X141" i="14"/>
  <c r="X85" i="14" s="1"/>
  <c r="K123" i="10"/>
  <c r="K124" i="10"/>
  <c r="K125" i="10"/>
  <c r="M23" i="10"/>
  <c r="M88" i="10"/>
  <c r="O112" i="10"/>
  <c r="O119" i="10" s="1"/>
  <c r="P46" i="10"/>
  <c r="L111" i="10"/>
  <c r="L118" i="10" s="1"/>
  <c r="M45" i="10"/>
  <c r="S83" i="5" s="1"/>
  <c r="P29" i="10"/>
  <c r="P89" i="10"/>
  <c r="AB19" i="14"/>
  <c r="W162" i="3"/>
  <c r="W171" i="3" s="1"/>
  <c r="W179" i="3" s="1"/>
  <c r="W187" i="3" s="1"/>
  <c r="W170" i="3"/>
  <c r="W111" i="5"/>
  <c r="V65" i="5"/>
  <c r="V22" i="6" s="1"/>
  <c r="W61" i="5"/>
  <c r="W63" i="5"/>
  <c r="W62" i="5"/>
  <c r="W60" i="5"/>
  <c r="X180" i="3"/>
  <c r="X114" i="3"/>
  <c r="X172" i="3"/>
  <c r="X104" i="3"/>
  <c r="X164" i="3"/>
  <c r="AK234" i="3"/>
  <c r="U71" i="5"/>
  <c r="AE232" i="3"/>
  <c r="AD231" i="3"/>
  <c r="AC233" i="3"/>
  <c r="W37" i="3"/>
  <c r="V40" i="3"/>
  <c r="Y66" i="3"/>
  <c r="Z66" i="3" s="1"/>
  <c r="X54" i="5"/>
  <c r="U46" i="5"/>
  <c r="U48" i="5" s="1"/>
  <c r="U49" i="3"/>
  <c r="V46" i="3"/>
  <c r="W31" i="3"/>
  <c r="W9" i="6"/>
  <c r="AD183" i="5"/>
  <c r="AD30" i="6" s="1"/>
  <c r="R84" i="3"/>
  <c r="R194" i="3" s="1"/>
  <c r="R149" i="5" s="1"/>
  <c r="R156" i="5" s="1"/>
  <c r="R163" i="5" s="1"/>
  <c r="R170" i="5" s="1"/>
  <c r="S149" i="5"/>
  <c r="S156" i="5" s="1"/>
  <c r="S163" i="5" s="1"/>
  <c r="S170" i="5" s="1"/>
  <c r="S74" i="5"/>
  <c r="S76" i="5" s="1"/>
  <c r="T76" i="5"/>
  <c r="X68" i="3"/>
  <c r="X55" i="5" s="1"/>
  <c r="X47" i="5"/>
  <c r="X71" i="3"/>
  <c r="X58" i="5" s="1"/>
  <c r="AZ63" i="3"/>
  <c r="AZ57" i="3" s="1"/>
  <c r="BA57" i="3" s="1"/>
  <c r="AM63" i="3"/>
  <c r="AM57" i="3" s="1"/>
  <c r="AN57" i="3" s="1"/>
  <c r="X42" i="5"/>
  <c r="X70" i="3"/>
  <c r="X57" i="5" s="1"/>
  <c r="AU149" i="5"/>
  <c r="AU156" i="5" s="1"/>
  <c r="AU163" i="5" s="1"/>
  <c r="AU170" i="5" s="1"/>
  <c r="X69" i="3"/>
  <c r="X56" i="5" s="1"/>
  <c r="AU74" i="5"/>
  <c r="BM63" i="3"/>
  <c r="AT84" i="3"/>
  <c r="AT194" i="3" s="1"/>
  <c r="AT200" i="3" s="1"/>
  <c r="AT206" i="3" s="1"/>
  <c r="AT212" i="3" s="1"/>
  <c r="AA214" i="3"/>
  <c r="AB190" i="3"/>
  <c r="AB140" i="5" s="1"/>
  <c r="AB172" i="5" s="1"/>
  <c r="BH84" i="3"/>
  <c r="BH194" i="3" s="1"/>
  <c r="BH200" i="3" s="1"/>
  <c r="BH206" i="3" s="1"/>
  <c r="BH212" i="3" s="1"/>
  <c r="AF84" i="3"/>
  <c r="AF194" i="3" s="1"/>
  <c r="AF200" i="3" s="1"/>
  <c r="AF206" i="3" s="1"/>
  <c r="AF212" i="3" s="1"/>
  <c r="BI149" i="5"/>
  <c r="BI156" i="5" s="1"/>
  <c r="BI163" i="5" s="1"/>
  <c r="BI170" i="5" s="1"/>
  <c r="BI74" i="5"/>
  <c r="AE48" i="3"/>
  <c r="AF30" i="3"/>
  <c r="AD39" i="3"/>
  <c r="AG74" i="5"/>
  <c r="Z203" i="3"/>
  <c r="Z151" i="5"/>
  <c r="V139" i="5"/>
  <c r="V171" i="5" s="1"/>
  <c r="V213" i="3"/>
  <c r="R159" i="5"/>
  <c r="P173" i="5"/>
  <c r="Q166" i="5"/>
  <c r="AG200" i="3"/>
  <c r="AG206" i="3" s="1"/>
  <c r="AG212" i="3" s="1"/>
  <c r="AG149" i="5"/>
  <c r="AG156" i="5" s="1"/>
  <c r="AG163" i="5" s="1"/>
  <c r="AG170" i="5" s="1"/>
  <c r="S197" i="3"/>
  <c r="S152" i="5" s="1"/>
  <c r="AA131" i="5"/>
  <c r="AA165" i="5" s="1"/>
  <c r="AA208" i="3"/>
  <c r="W121" i="5"/>
  <c r="W157" i="5" s="1"/>
  <c r="W201" i="3"/>
  <c r="V187" i="3"/>
  <c r="V130" i="5"/>
  <c r="V164" i="5" s="1"/>
  <c r="AA113" i="5"/>
  <c r="AA196" i="3"/>
  <c r="W112" i="5"/>
  <c r="W195" i="3"/>
  <c r="W150" i="5" s="1"/>
  <c r="U179" i="3"/>
  <c r="AJ121" i="3"/>
  <c r="AJ100" i="5" s="1"/>
  <c r="AJ93" i="5"/>
  <c r="V121" i="3"/>
  <c r="V100" i="5" s="1"/>
  <c r="V93" i="5"/>
  <c r="BK121" i="3"/>
  <c r="BK100" i="5" s="1"/>
  <c r="BK93" i="5"/>
  <c r="U75" i="5"/>
  <c r="U76" i="5" s="1"/>
  <c r="S123" i="5"/>
  <c r="T189" i="3"/>
  <c r="T96" i="5"/>
  <c r="T103" i="5" s="1"/>
  <c r="T114" i="5" s="1"/>
  <c r="AX121" i="3"/>
  <c r="AX100" i="5" s="1"/>
  <c r="AX93" i="5"/>
  <c r="BJ111" i="3"/>
  <c r="BJ86" i="5"/>
  <c r="V173" i="3"/>
  <c r="V202" i="3" s="1"/>
  <c r="V209" i="3" s="1"/>
  <c r="V215" i="3" s="1"/>
  <c r="V82" i="5"/>
  <c r="T170" i="3"/>
  <c r="T111" i="5"/>
  <c r="U111" i="3"/>
  <c r="U86" i="5"/>
  <c r="U178" i="3"/>
  <c r="U120" i="5"/>
  <c r="U181" i="3"/>
  <c r="U89" i="5"/>
  <c r="Q141" i="5"/>
  <c r="AI111" i="3"/>
  <c r="AI86" i="5"/>
  <c r="R132" i="5"/>
  <c r="R141" i="5" s="1"/>
  <c r="AV101" i="3"/>
  <c r="AV79" i="5"/>
  <c r="AH101" i="3"/>
  <c r="AH79" i="5"/>
  <c r="T101" i="3"/>
  <c r="T79" i="5"/>
  <c r="W188" i="3"/>
  <c r="W101" i="5"/>
  <c r="BI101" i="3"/>
  <c r="BI79" i="5"/>
  <c r="V186" i="3"/>
  <c r="V138" i="5" s="1"/>
  <c r="V129" i="5"/>
  <c r="AB182" i="3"/>
  <c r="AW111" i="3"/>
  <c r="AW86" i="5"/>
  <c r="BH76" i="3"/>
  <c r="BH69" i="5" s="1"/>
  <c r="BG75" i="3"/>
  <c r="AU76" i="3"/>
  <c r="AU69" i="5" s="1"/>
  <c r="AT75" i="3"/>
  <c r="W94" i="5"/>
  <c r="W207" i="3"/>
  <c r="AC174" i="3"/>
  <c r="AC122" i="5" s="1"/>
  <c r="AC158" i="5" s="1"/>
  <c r="W87" i="5"/>
  <c r="AB166" i="3"/>
  <c r="U115" i="3"/>
  <c r="U125" i="3" s="1"/>
  <c r="W80" i="5"/>
  <c r="T162" i="3"/>
  <c r="T171" i="3" s="1"/>
  <c r="AV92" i="3"/>
  <c r="AV103" i="3" s="1"/>
  <c r="AV113" i="3" s="1"/>
  <c r="AV123" i="3" s="1"/>
  <c r="AV102" i="3"/>
  <c r="AV112" i="3" s="1"/>
  <c r="AV122" i="3" s="1"/>
  <c r="AH92" i="3"/>
  <c r="AH103" i="3" s="1"/>
  <c r="AH113" i="3" s="1"/>
  <c r="AH123" i="3" s="1"/>
  <c r="AH102" i="3"/>
  <c r="AH112" i="3" s="1"/>
  <c r="AH122" i="3" s="1"/>
  <c r="S100" i="3"/>
  <c r="S110" i="3" s="1"/>
  <c r="S120" i="3" s="1"/>
  <c r="S91" i="3"/>
  <c r="S90" i="3"/>
  <c r="BG89" i="3"/>
  <c r="BH100" i="3"/>
  <c r="BH110" i="3" s="1"/>
  <c r="BH120" i="3" s="1"/>
  <c r="BH91" i="3"/>
  <c r="BH90" i="3"/>
  <c r="AT89" i="3"/>
  <c r="AU91" i="3"/>
  <c r="AU100" i="3"/>
  <c r="AU110" i="3" s="1"/>
  <c r="AU120" i="3" s="1"/>
  <c r="AU90" i="3"/>
  <c r="T92" i="3"/>
  <c r="T103" i="3" s="1"/>
  <c r="T113" i="3" s="1"/>
  <c r="T123" i="3" s="1"/>
  <c r="T102" i="3"/>
  <c r="T112" i="3" s="1"/>
  <c r="T122" i="3" s="1"/>
  <c r="BI102" i="3"/>
  <c r="BI112" i="3" s="1"/>
  <c r="BI122" i="3" s="1"/>
  <c r="BI92" i="3"/>
  <c r="BI103" i="3" s="1"/>
  <c r="BI113" i="3" s="1"/>
  <c r="BI123" i="3" s="1"/>
  <c r="AF89" i="3"/>
  <c r="AG100" i="3"/>
  <c r="AG110" i="3" s="1"/>
  <c r="AG120" i="3" s="1"/>
  <c r="AG91" i="3"/>
  <c r="AG90" i="3"/>
  <c r="V76" i="3"/>
  <c r="V69" i="5" s="1"/>
  <c r="W75" i="3"/>
  <c r="AI75" i="3"/>
  <c r="AH76" i="3"/>
  <c r="AH69" i="5" s="1"/>
  <c r="W6" i="3"/>
  <c r="W165" i="3" s="1"/>
  <c r="V95" i="3"/>
  <c r="V105" i="3" s="1"/>
  <c r="X22" i="3"/>
  <c r="X20" i="5"/>
  <c r="Y21" i="3"/>
  <c r="Y124" i="3" s="1"/>
  <c r="X19" i="5"/>
  <c r="Y20" i="3"/>
  <c r="X18" i="5"/>
  <c r="Y19" i="3"/>
  <c r="Y18" i="3"/>
  <c r="X17" i="5"/>
  <c r="V85" i="3"/>
  <c r="V81" i="3"/>
  <c r="V35" i="10" l="1"/>
  <c r="W32" i="10" s="1"/>
  <c r="W35" i="10" s="1"/>
  <c r="W16" i="10" s="1"/>
  <c r="W113" i="10" s="1"/>
  <c r="W120" i="10" s="1"/>
  <c r="T16" i="10"/>
  <c r="T113" i="10" s="1"/>
  <c r="U113" i="10" s="1"/>
  <c r="Q114" i="10"/>
  <c r="Q121" i="10" s="1"/>
  <c r="S91" i="10"/>
  <c r="R17" i="10"/>
  <c r="U47" i="10"/>
  <c r="AA97" i="5" s="1"/>
  <c r="T38" i="10"/>
  <c r="T41" i="10" s="1"/>
  <c r="V38" i="10" s="1"/>
  <c r="Z139" i="14"/>
  <c r="Y141" i="14"/>
  <c r="Y85" i="14" s="1"/>
  <c r="L115" i="10"/>
  <c r="N20" i="10"/>
  <c r="M14" i="10"/>
  <c r="V90" i="5"/>
  <c r="Q26" i="10"/>
  <c r="P15" i="10"/>
  <c r="T48" i="10"/>
  <c r="Z104" i="5" s="1"/>
  <c r="S114" i="10"/>
  <c r="S121" i="10" s="1"/>
  <c r="AC19" i="14"/>
  <c r="V71" i="5"/>
  <c r="X162" i="3"/>
  <c r="X171" i="3" s="1"/>
  <c r="X179" i="3" s="1"/>
  <c r="X187" i="3" s="1"/>
  <c r="X170" i="3"/>
  <c r="X111" i="5"/>
  <c r="W178" i="3"/>
  <c r="W120" i="5"/>
  <c r="W65" i="5"/>
  <c r="W22" i="6" s="1"/>
  <c r="X63" i="5"/>
  <c r="X62" i="5"/>
  <c r="X61" i="5"/>
  <c r="X60" i="5"/>
  <c r="Q84" i="3"/>
  <c r="Q194" i="3" s="1"/>
  <c r="Q200" i="3" s="1"/>
  <c r="Q206" i="3" s="1"/>
  <c r="Q212" i="3" s="1"/>
  <c r="R200" i="3"/>
  <c r="R206" i="3" s="1"/>
  <c r="R212" i="3" s="1"/>
  <c r="Y172" i="3"/>
  <c r="Y104" i="3"/>
  <c r="Y180" i="3"/>
  <c r="Y114" i="3"/>
  <c r="Y94" i="3"/>
  <c r="Y164" i="3"/>
  <c r="AL234" i="3"/>
  <c r="AE231" i="3"/>
  <c r="AF232" i="3"/>
  <c r="AD233" i="3"/>
  <c r="V46" i="5"/>
  <c r="V48" i="5" s="1"/>
  <c r="Y54" i="5"/>
  <c r="X31" i="3"/>
  <c r="W46" i="3"/>
  <c r="V49" i="3"/>
  <c r="W40" i="3"/>
  <c r="X37" i="3"/>
  <c r="X9" i="6"/>
  <c r="AE183" i="5"/>
  <c r="AE30" i="6" s="1"/>
  <c r="AT74" i="5"/>
  <c r="R74" i="5"/>
  <c r="R76" i="5" s="1"/>
  <c r="Y68" i="3"/>
  <c r="Y55" i="5" s="1"/>
  <c r="Y47" i="5"/>
  <c r="Y71" i="3"/>
  <c r="Y58" i="5" s="1"/>
  <c r="Y69" i="3"/>
  <c r="Y56" i="5" s="1"/>
  <c r="Y42" i="5"/>
  <c r="Y70" i="3"/>
  <c r="Y57" i="5" s="1"/>
  <c r="AC190" i="3"/>
  <c r="AC140" i="5" s="1"/>
  <c r="AC172" i="5" s="1"/>
  <c r="AS84" i="3"/>
  <c r="AS194" i="3" s="1"/>
  <c r="AS200" i="3" s="1"/>
  <c r="AS206" i="3" s="1"/>
  <c r="AS212" i="3" s="1"/>
  <c r="AT149" i="5"/>
  <c r="AT156" i="5" s="1"/>
  <c r="AT163" i="5" s="1"/>
  <c r="AT170" i="5" s="1"/>
  <c r="AB214" i="3"/>
  <c r="BG84" i="3"/>
  <c r="BG194" i="3" s="1"/>
  <c r="BG200" i="3" s="1"/>
  <c r="BG206" i="3" s="1"/>
  <c r="BG212" i="3" s="1"/>
  <c r="AF74" i="5"/>
  <c r="AF149" i="5"/>
  <c r="AF156" i="5" s="1"/>
  <c r="AF163" i="5" s="1"/>
  <c r="AF170" i="5" s="1"/>
  <c r="AE84" i="3"/>
  <c r="AE194" i="3" s="1"/>
  <c r="AE200" i="3" s="1"/>
  <c r="AE206" i="3" s="1"/>
  <c r="AE212" i="3" s="1"/>
  <c r="BH149" i="5"/>
  <c r="BH156" i="5" s="1"/>
  <c r="BH163" i="5" s="1"/>
  <c r="BH170" i="5" s="1"/>
  <c r="BH74" i="5"/>
  <c r="AF48" i="3"/>
  <c r="AE39" i="3"/>
  <c r="AG30" i="3"/>
  <c r="S159" i="5"/>
  <c r="R166" i="5"/>
  <c r="Q173" i="5"/>
  <c r="AA203" i="3"/>
  <c r="AA151" i="5"/>
  <c r="W139" i="5"/>
  <c r="W171" i="5" s="1"/>
  <c r="W213" i="3"/>
  <c r="T197" i="3"/>
  <c r="T152" i="5" s="1"/>
  <c r="AB131" i="5"/>
  <c r="AB165" i="5" s="1"/>
  <c r="AB208" i="3"/>
  <c r="W130" i="5"/>
  <c r="W164" i="5" s="1"/>
  <c r="U187" i="3"/>
  <c r="X121" i="5"/>
  <c r="X157" i="5" s="1"/>
  <c r="X201" i="3"/>
  <c r="AB113" i="5"/>
  <c r="AB196" i="3"/>
  <c r="T179" i="3"/>
  <c r="X112" i="5"/>
  <c r="X195" i="3"/>
  <c r="X150" i="5" s="1"/>
  <c r="W173" i="3"/>
  <c r="W202" i="3" s="1"/>
  <c r="W209" i="3" s="1"/>
  <c r="W215" i="3" s="1"/>
  <c r="W82" i="5"/>
  <c r="BI111" i="3"/>
  <c r="BI86" i="5"/>
  <c r="BJ121" i="3"/>
  <c r="BJ100" i="5" s="1"/>
  <c r="BJ93" i="5"/>
  <c r="BH101" i="3"/>
  <c r="BH79" i="5"/>
  <c r="S101" i="3"/>
  <c r="S79" i="5"/>
  <c r="T111" i="3"/>
  <c r="T86" i="5"/>
  <c r="T123" i="5"/>
  <c r="T117" i="5"/>
  <c r="X188" i="3"/>
  <c r="X101" i="5"/>
  <c r="U189" i="3"/>
  <c r="U96" i="5"/>
  <c r="U103" i="5" s="1"/>
  <c r="U114" i="5" s="1"/>
  <c r="T178" i="3"/>
  <c r="T120" i="5"/>
  <c r="V181" i="3"/>
  <c r="V89" i="5"/>
  <c r="V75" i="5"/>
  <c r="V76" i="5" s="1"/>
  <c r="S132" i="5"/>
  <c r="AG101" i="3"/>
  <c r="AG79" i="5"/>
  <c r="AU101" i="3"/>
  <c r="AU79" i="5"/>
  <c r="AV111" i="3"/>
  <c r="AV86" i="5"/>
  <c r="U121" i="3"/>
  <c r="U100" i="5" s="1"/>
  <c r="U93" i="5"/>
  <c r="S170" i="3"/>
  <c r="S111" i="5"/>
  <c r="S117" i="5" s="1"/>
  <c r="AW121" i="3"/>
  <c r="AW100" i="5" s="1"/>
  <c r="AW93" i="5"/>
  <c r="AC182" i="3"/>
  <c r="AH111" i="3"/>
  <c r="AH86" i="5"/>
  <c r="AI121" i="3"/>
  <c r="AI100" i="5" s="1"/>
  <c r="AI93" i="5"/>
  <c r="U186" i="3"/>
  <c r="U138" i="5" s="1"/>
  <c r="U129" i="5"/>
  <c r="BF75" i="3"/>
  <c r="BG76" i="3"/>
  <c r="BG69" i="5" s="1"/>
  <c r="AS75" i="3"/>
  <c r="AT76" i="3"/>
  <c r="AT69" i="5" s="1"/>
  <c r="X94" i="5"/>
  <c r="X207" i="3"/>
  <c r="X87" i="5"/>
  <c r="AD174" i="3"/>
  <c r="AD122" i="5" s="1"/>
  <c r="AD158" i="5" s="1"/>
  <c r="V115" i="3"/>
  <c r="V125" i="3" s="1"/>
  <c r="AC166" i="3"/>
  <c r="S162" i="3"/>
  <c r="S171" i="3" s="1"/>
  <c r="AU102" i="3"/>
  <c r="AU112" i="3" s="1"/>
  <c r="AU122" i="3" s="1"/>
  <c r="AU92" i="3"/>
  <c r="AU103" i="3" s="1"/>
  <c r="AU113" i="3" s="1"/>
  <c r="AU123" i="3" s="1"/>
  <c r="BF89" i="3"/>
  <c r="BG91" i="3"/>
  <c r="BG100" i="3"/>
  <c r="BG110" i="3" s="1"/>
  <c r="BG120" i="3" s="1"/>
  <c r="BG90" i="3"/>
  <c r="AE89" i="3"/>
  <c r="AF91" i="3"/>
  <c r="AF90" i="3"/>
  <c r="AF100" i="3"/>
  <c r="AF110" i="3" s="1"/>
  <c r="AF120" i="3" s="1"/>
  <c r="AS89" i="3"/>
  <c r="AT91" i="3"/>
  <c r="AT100" i="3"/>
  <c r="AT110" i="3" s="1"/>
  <c r="AT120" i="3" s="1"/>
  <c r="AT90" i="3"/>
  <c r="R91" i="3"/>
  <c r="R100" i="3"/>
  <c r="R110" i="3" s="1"/>
  <c r="R120" i="3" s="1"/>
  <c r="R90" i="3"/>
  <c r="AG102" i="3"/>
  <c r="AG112" i="3" s="1"/>
  <c r="AG122" i="3" s="1"/>
  <c r="AG92" i="3"/>
  <c r="AG103" i="3" s="1"/>
  <c r="AG113" i="3" s="1"/>
  <c r="AG123" i="3" s="1"/>
  <c r="BH102" i="3"/>
  <c r="BH112" i="3" s="1"/>
  <c r="BH122" i="3" s="1"/>
  <c r="BH92" i="3"/>
  <c r="BH103" i="3" s="1"/>
  <c r="BH113" i="3" s="1"/>
  <c r="BH123" i="3" s="1"/>
  <c r="S102" i="3"/>
  <c r="S112" i="3" s="1"/>
  <c r="S122" i="3" s="1"/>
  <c r="S92" i="3"/>
  <c r="S103" i="3" s="1"/>
  <c r="S113" i="3" s="1"/>
  <c r="S123" i="3" s="1"/>
  <c r="AJ75" i="3"/>
  <c r="AI76" i="3"/>
  <c r="AI69" i="5" s="1"/>
  <c r="W76" i="3"/>
  <c r="W69" i="5" s="1"/>
  <c r="X75" i="3"/>
  <c r="X6" i="3"/>
  <c r="X165" i="3" s="1"/>
  <c r="W95" i="3"/>
  <c r="W105" i="3" s="1"/>
  <c r="X80" i="5"/>
  <c r="Y22" i="3"/>
  <c r="W85" i="3"/>
  <c r="W81" i="3"/>
  <c r="Y20" i="5"/>
  <c r="Z21" i="3"/>
  <c r="Y18" i="5"/>
  <c r="Z19" i="3"/>
  <c r="Z20" i="3"/>
  <c r="Y19" i="5"/>
  <c r="Z18" i="3"/>
  <c r="Y17" i="5"/>
  <c r="V16" i="10" l="1"/>
  <c r="V113" i="10" s="1"/>
  <c r="V120" i="10" s="1"/>
  <c r="W90" i="10"/>
  <c r="T120" i="10"/>
  <c r="T91" i="10"/>
  <c r="U91" i="10" s="1"/>
  <c r="S48" i="10"/>
  <c r="Y104" i="5" s="1"/>
  <c r="R114" i="10"/>
  <c r="R121" i="10" s="1"/>
  <c r="X32" i="10"/>
  <c r="X90" i="10" s="1"/>
  <c r="AA139" i="14"/>
  <c r="Z141" i="14"/>
  <c r="Z85" i="14" s="1"/>
  <c r="V41" i="10"/>
  <c r="W38" i="10" s="1"/>
  <c r="V91" i="10"/>
  <c r="T17" i="10"/>
  <c r="T114" i="10" s="1"/>
  <c r="P112" i="10"/>
  <c r="P119" i="10" s="1"/>
  <c r="Q46" i="10"/>
  <c r="M111" i="10"/>
  <c r="M118" i="10" s="1"/>
  <c r="N45" i="10"/>
  <c r="Q29" i="10"/>
  <c r="Q89" i="10"/>
  <c r="N23" i="10"/>
  <c r="N88" i="10"/>
  <c r="L123" i="10"/>
  <c r="L124" i="10"/>
  <c r="L125" i="10"/>
  <c r="AD19" i="14"/>
  <c r="W186" i="3"/>
  <c r="W138" i="5" s="1"/>
  <c r="W129" i="5"/>
  <c r="Y170" i="3"/>
  <c r="Y111" i="5"/>
  <c r="Y162" i="3"/>
  <c r="Y171" i="3" s="1"/>
  <c r="Y179" i="3" s="1"/>
  <c r="Y187" i="3" s="1"/>
  <c r="X120" i="5"/>
  <c r="X178" i="3"/>
  <c r="Q74" i="5"/>
  <c r="Q76" i="5" s="1"/>
  <c r="X65" i="5"/>
  <c r="X22" i="6" s="1"/>
  <c r="Y63" i="5"/>
  <c r="Y62" i="5"/>
  <c r="Y61" i="5"/>
  <c r="Y60" i="5"/>
  <c r="Q149" i="5"/>
  <c r="Q156" i="5" s="1"/>
  <c r="Z180" i="3"/>
  <c r="Z114" i="3"/>
  <c r="AB20" i="3"/>
  <c r="Z164" i="3"/>
  <c r="AB18" i="3"/>
  <c r="Z94" i="3"/>
  <c r="AB19" i="3"/>
  <c r="Z172" i="3"/>
  <c r="Z104" i="3"/>
  <c r="AB21" i="3"/>
  <c r="Z124" i="3"/>
  <c r="AM234" i="3"/>
  <c r="AD190" i="3"/>
  <c r="AD140" i="5" s="1"/>
  <c r="AD172" i="5" s="1"/>
  <c r="AG232" i="3"/>
  <c r="W71" i="5"/>
  <c r="AF231" i="3"/>
  <c r="AE233" i="3"/>
  <c r="X46" i="3"/>
  <c r="W49" i="3"/>
  <c r="AA66" i="3"/>
  <c r="D57" i="10" s="1"/>
  <c r="Z54" i="5"/>
  <c r="Y37" i="3"/>
  <c r="X40" i="3"/>
  <c r="W46" i="5"/>
  <c r="W48" i="5" s="1"/>
  <c r="Y31" i="3"/>
  <c r="Y9" i="6"/>
  <c r="AF183" i="5"/>
  <c r="AF30" i="6" s="1"/>
  <c r="AS149" i="5"/>
  <c r="AS156" i="5" s="1"/>
  <c r="AS163" i="5" s="1"/>
  <c r="AS170" i="5" s="1"/>
  <c r="AR84" i="3"/>
  <c r="AR194" i="3" s="1"/>
  <c r="AR200" i="3" s="1"/>
  <c r="AR206" i="3" s="1"/>
  <c r="AR212" i="3" s="1"/>
  <c r="Z68" i="3"/>
  <c r="Z55" i="5" s="1"/>
  <c r="Z42" i="5"/>
  <c r="Z70" i="3"/>
  <c r="Z57" i="5" s="1"/>
  <c r="AD84" i="3"/>
  <c r="AD194" i="3" s="1"/>
  <c r="AD149" i="5" s="1"/>
  <c r="AD156" i="5" s="1"/>
  <c r="AD163" i="5" s="1"/>
  <c r="AD170" i="5" s="1"/>
  <c r="AC214" i="3"/>
  <c r="Z69" i="3"/>
  <c r="Z56" i="5" s="1"/>
  <c r="Z47" i="5"/>
  <c r="Z48" i="5" s="1"/>
  <c r="Z71" i="3"/>
  <c r="Z58" i="5" s="1"/>
  <c r="BG74" i="5"/>
  <c r="BF84" i="3"/>
  <c r="BF194" i="3" s="1"/>
  <c r="BF149" i="5" s="1"/>
  <c r="BF156" i="5" s="1"/>
  <c r="BF163" i="5" s="1"/>
  <c r="BF170" i="5" s="1"/>
  <c r="BG149" i="5"/>
  <c r="BG156" i="5" s="1"/>
  <c r="BG163" i="5" s="1"/>
  <c r="BG170" i="5" s="1"/>
  <c r="AS74" i="5"/>
  <c r="AE149" i="5"/>
  <c r="AE156" i="5" s="1"/>
  <c r="AE163" i="5" s="1"/>
  <c r="AE170" i="5" s="1"/>
  <c r="AE74" i="5"/>
  <c r="AG48" i="3"/>
  <c r="AH30" i="3"/>
  <c r="AF39" i="3"/>
  <c r="S166" i="5"/>
  <c r="T159" i="5"/>
  <c r="P200" i="3"/>
  <c r="P206" i="3" s="1"/>
  <c r="P212" i="3" s="1"/>
  <c r="P149" i="5"/>
  <c r="X139" i="5"/>
  <c r="X171" i="5" s="1"/>
  <c r="X213" i="3"/>
  <c r="R173" i="5"/>
  <c r="R176" i="5" s="1"/>
  <c r="AB203" i="3"/>
  <c r="AB151" i="5"/>
  <c r="AC131" i="5"/>
  <c r="AC165" i="5" s="1"/>
  <c r="AC208" i="3"/>
  <c r="U197" i="3"/>
  <c r="U152" i="5" s="1"/>
  <c r="Y121" i="5"/>
  <c r="Y157" i="5" s="1"/>
  <c r="Y201" i="3"/>
  <c r="T187" i="3"/>
  <c r="X130" i="5"/>
  <c r="X164" i="5" s="1"/>
  <c r="Y112" i="5"/>
  <c r="Y195" i="3"/>
  <c r="Y150" i="5" s="1"/>
  <c r="S179" i="3"/>
  <c r="AC113" i="5"/>
  <c r="AC196" i="3"/>
  <c r="AV121" i="3"/>
  <c r="AV100" i="5" s="1"/>
  <c r="AV93" i="5"/>
  <c r="AG111" i="3"/>
  <c r="AG86" i="5"/>
  <c r="Y188" i="3"/>
  <c r="Y101" i="5"/>
  <c r="T186" i="3"/>
  <c r="T138" i="5" s="1"/>
  <c r="T129" i="5"/>
  <c r="S111" i="3"/>
  <c r="S86" i="5"/>
  <c r="W75" i="5"/>
  <c r="W76" i="5" s="1"/>
  <c r="AT101" i="3"/>
  <c r="AT79" i="5"/>
  <c r="BG101" i="3"/>
  <c r="BG79" i="5"/>
  <c r="R170" i="3"/>
  <c r="R111" i="5"/>
  <c r="R117" i="5" s="1"/>
  <c r="AD182" i="3"/>
  <c r="AU111" i="3"/>
  <c r="AU86" i="5"/>
  <c r="S141" i="5"/>
  <c r="U123" i="5"/>
  <c r="U117" i="5"/>
  <c r="T132" i="5"/>
  <c r="T126" i="5"/>
  <c r="X173" i="3"/>
  <c r="X202" i="3" s="1"/>
  <c r="X209" i="3" s="1"/>
  <c r="X215" i="3" s="1"/>
  <c r="X82" i="5"/>
  <c r="R101" i="3"/>
  <c r="R79" i="5"/>
  <c r="AF101" i="3"/>
  <c r="AF79" i="5"/>
  <c r="AH121" i="3"/>
  <c r="AH100" i="5" s="1"/>
  <c r="AH93" i="5"/>
  <c r="S178" i="3"/>
  <c r="S120" i="5"/>
  <c r="S126" i="5" s="1"/>
  <c r="V189" i="3"/>
  <c r="V96" i="5"/>
  <c r="V103" i="5" s="1"/>
  <c r="V114" i="5" s="1"/>
  <c r="T121" i="3"/>
  <c r="T100" i="5" s="1"/>
  <c r="T93" i="5"/>
  <c r="BH111" i="3"/>
  <c r="BH86" i="5"/>
  <c r="BI121" i="3"/>
  <c r="BI100" i="5" s="1"/>
  <c r="BI93" i="5"/>
  <c r="W181" i="3"/>
  <c r="W89" i="5"/>
  <c r="P74" i="5"/>
  <c r="P76" i="5" s="1"/>
  <c r="BF76" i="3"/>
  <c r="BF69" i="5" s="1"/>
  <c r="BE75" i="3"/>
  <c r="AR75" i="3"/>
  <c r="AS76" i="3"/>
  <c r="AS69" i="5" s="1"/>
  <c r="Y94" i="5"/>
  <c r="Y207" i="3"/>
  <c r="AE174" i="3"/>
  <c r="AE122" i="5" s="1"/>
  <c r="AE158" i="5" s="1"/>
  <c r="Y87" i="5"/>
  <c r="W115" i="3"/>
  <c r="W125" i="3" s="1"/>
  <c r="AD166" i="3"/>
  <c r="R162" i="3"/>
  <c r="R171" i="3" s="1"/>
  <c r="AT102" i="3"/>
  <c r="AT112" i="3" s="1"/>
  <c r="AT122" i="3" s="1"/>
  <c r="AT92" i="3"/>
  <c r="AT103" i="3" s="1"/>
  <c r="AT113" i="3" s="1"/>
  <c r="AT123" i="3" s="1"/>
  <c r="AF92" i="3"/>
  <c r="AF103" i="3" s="1"/>
  <c r="AF113" i="3" s="1"/>
  <c r="AF123" i="3" s="1"/>
  <c r="AF102" i="3"/>
  <c r="AF112" i="3" s="1"/>
  <c r="AF122" i="3" s="1"/>
  <c r="BG102" i="3"/>
  <c r="BG112" i="3" s="1"/>
  <c r="BG122" i="3" s="1"/>
  <c r="BG92" i="3"/>
  <c r="BG103" i="3" s="1"/>
  <c r="BG113" i="3" s="1"/>
  <c r="BG123" i="3" s="1"/>
  <c r="R92" i="3"/>
  <c r="R103" i="3" s="1"/>
  <c r="R113" i="3" s="1"/>
  <c r="R123" i="3" s="1"/>
  <c r="R102" i="3"/>
  <c r="R112" i="3" s="1"/>
  <c r="R122" i="3" s="1"/>
  <c r="AR89" i="3"/>
  <c r="AS91" i="3"/>
  <c r="AS90" i="3"/>
  <c r="AS100" i="3"/>
  <c r="AS110" i="3" s="1"/>
  <c r="AS120" i="3" s="1"/>
  <c r="AD89" i="3"/>
  <c r="AE91" i="3"/>
  <c r="AE90" i="3"/>
  <c r="AE100" i="3"/>
  <c r="AE110" i="3" s="1"/>
  <c r="AE120" i="3" s="1"/>
  <c r="BE89" i="3"/>
  <c r="BF91" i="3"/>
  <c r="BF90" i="3"/>
  <c r="BF100" i="3"/>
  <c r="BF110" i="3" s="1"/>
  <c r="BF120" i="3" s="1"/>
  <c r="Q91" i="3"/>
  <c r="Q90" i="3"/>
  <c r="Y75" i="3"/>
  <c r="X76" i="3"/>
  <c r="X69" i="5" s="1"/>
  <c r="AK75" i="3"/>
  <c r="AJ76" i="3"/>
  <c r="AJ69" i="5" s="1"/>
  <c r="Y6" i="3"/>
  <c r="Y165" i="3" s="1"/>
  <c r="X95" i="3"/>
  <c r="X105" i="3" s="1"/>
  <c r="Y80" i="5"/>
  <c r="Z22" i="3"/>
  <c r="X85" i="3"/>
  <c r="Z17" i="5"/>
  <c r="Z19" i="5"/>
  <c r="Z18" i="5"/>
  <c r="Z20" i="5"/>
  <c r="V17" i="10" l="1"/>
  <c r="V114" i="10" s="1"/>
  <c r="V121" i="10" s="1"/>
  <c r="U48" i="10"/>
  <c r="AA104" i="5" s="1"/>
  <c r="X35" i="10"/>
  <c r="T121" i="10"/>
  <c r="U121" i="10" s="1"/>
  <c r="D70" i="10" s="1"/>
  <c r="U114" i="10"/>
  <c r="AA141" i="14"/>
  <c r="AA85" i="14" s="1"/>
  <c r="AB139" i="14"/>
  <c r="T83" i="5"/>
  <c r="W41" i="10"/>
  <c r="X38" i="10" s="1"/>
  <c r="W91" i="10"/>
  <c r="O20" i="10"/>
  <c r="N14" i="10"/>
  <c r="M115" i="10"/>
  <c r="D64" i="10"/>
  <c r="W90" i="5"/>
  <c r="R26" i="10"/>
  <c r="Q15" i="10"/>
  <c r="AE19" i="14"/>
  <c r="AD214" i="3"/>
  <c r="AE190" i="3"/>
  <c r="X186" i="3"/>
  <c r="X138" i="5" s="1"/>
  <c r="X129" i="5"/>
  <c r="Y178" i="3"/>
  <c r="Y120" i="5"/>
  <c r="Z170" i="3"/>
  <c r="Z162" i="3"/>
  <c r="Z171" i="3" s="1"/>
  <c r="Z179" i="3" s="1"/>
  <c r="Z187" i="3" s="1"/>
  <c r="Z111" i="5"/>
  <c r="Y65" i="5"/>
  <c r="Y22" i="6" s="1"/>
  <c r="Z63" i="5"/>
  <c r="Z62" i="5"/>
  <c r="Z61" i="5"/>
  <c r="Z60" i="5"/>
  <c r="X71" i="5"/>
  <c r="AB104" i="3"/>
  <c r="AB172" i="3"/>
  <c r="AC19" i="3"/>
  <c r="AC20" i="3"/>
  <c r="AB180" i="3"/>
  <c r="AB114" i="3"/>
  <c r="AC22" i="3"/>
  <c r="AB22" i="3"/>
  <c r="AC21" i="3"/>
  <c r="AB124" i="3"/>
  <c r="AB94" i="3"/>
  <c r="AC18" i="3"/>
  <c r="AB164" i="3"/>
  <c r="AN234" i="3"/>
  <c r="AG231" i="3"/>
  <c r="AH232" i="3"/>
  <c r="AF233" i="3"/>
  <c r="AD200" i="3"/>
  <c r="AD206" i="3" s="1"/>
  <c r="AD212" i="3" s="1"/>
  <c r="AB66" i="3"/>
  <c r="AA54" i="5"/>
  <c r="Z31" i="3"/>
  <c r="Z37" i="3"/>
  <c r="Y40" i="3"/>
  <c r="Y46" i="3"/>
  <c r="X49" i="3"/>
  <c r="X46" i="5"/>
  <c r="X48" i="5" s="1"/>
  <c r="Z9" i="6"/>
  <c r="AG183" i="5"/>
  <c r="AG30" i="6" s="1"/>
  <c r="BF200" i="3"/>
  <c r="BF206" i="3" s="1"/>
  <c r="BF212" i="3" s="1"/>
  <c r="AC84" i="3"/>
  <c r="AC194" i="3" s="1"/>
  <c r="AC200" i="3" s="1"/>
  <c r="AC206" i="3" s="1"/>
  <c r="AC212" i="3" s="1"/>
  <c r="AR74" i="5"/>
  <c r="AQ84" i="3"/>
  <c r="AQ194" i="3" s="1"/>
  <c r="AQ149" i="5" s="1"/>
  <c r="AQ156" i="5" s="1"/>
  <c r="AQ163" i="5" s="1"/>
  <c r="AQ170" i="5" s="1"/>
  <c r="AR149" i="5"/>
  <c r="AR156" i="5" s="1"/>
  <c r="AR163" i="5" s="1"/>
  <c r="AR170" i="5" s="1"/>
  <c r="AD74" i="5"/>
  <c r="BF74" i="5"/>
  <c r="BE84" i="3"/>
  <c r="BE194" i="3" s="1"/>
  <c r="BE200" i="3" s="1"/>
  <c r="BE206" i="3" s="1"/>
  <c r="BE212" i="3" s="1"/>
  <c r="AH48" i="3"/>
  <c r="AG39" i="3"/>
  <c r="AI30" i="3"/>
  <c r="AC203" i="3"/>
  <c r="AC151" i="5"/>
  <c r="Q163" i="5"/>
  <c r="AE140" i="5"/>
  <c r="AE172" i="5" s="1"/>
  <c r="AE214" i="3"/>
  <c r="Y139" i="5"/>
  <c r="Y171" i="5" s="1"/>
  <c r="Y213" i="3"/>
  <c r="P156" i="5"/>
  <c r="C39" i="7"/>
  <c r="D39" i="7" s="1"/>
  <c r="U159" i="5"/>
  <c r="U166" i="5" s="1"/>
  <c r="U173" i="5" s="1"/>
  <c r="T166" i="5"/>
  <c r="S173" i="5"/>
  <c r="AD131" i="5"/>
  <c r="AD165" i="5" s="1"/>
  <c r="AD208" i="3"/>
  <c r="V197" i="3"/>
  <c r="V152" i="5" s="1"/>
  <c r="Z121" i="5"/>
  <c r="Z157" i="5" s="1"/>
  <c r="Z201" i="3"/>
  <c r="S187" i="3"/>
  <c r="Y130" i="5"/>
  <c r="Y164" i="5" s="1"/>
  <c r="R179" i="3"/>
  <c r="Z112" i="5"/>
  <c r="Z195" i="3"/>
  <c r="Z150" i="5" s="1"/>
  <c r="AD113" i="5"/>
  <c r="AD196" i="3"/>
  <c r="Z188" i="3"/>
  <c r="Z101" i="5"/>
  <c r="AE182" i="3"/>
  <c r="BG111" i="3"/>
  <c r="BG86" i="5"/>
  <c r="S121" i="3"/>
  <c r="S100" i="5" s="1"/>
  <c r="S93" i="5"/>
  <c r="X181" i="3"/>
  <c r="X89" i="5"/>
  <c r="Q101" i="3"/>
  <c r="Q79" i="5"/>
  <c r="BF101" i="3"/>
  <c r="BF79" i="5"/>
  <c r="AE101" i="3"/>
  <c r="AE79" i="5"/>
  <c r="AS101" i="3"/>
  <c r="AS79" i="5"/>
  <c r="BH121" i="3"/>
  <c r="BH100" i="5" s="1"/>
  <c r="BH93" i="5"/>
  <c r="V123" i="5"/>
  <c r="V117" i="5"/>
  <c r="R178" i="3"/>
  <c r="R120" i="5"/>
  <c r="R126" i="5" s="1"/>
  <c r="AT111" i="3"/>
  <c r="AT86" i="5"/>
  <c r="Y173" i="3"/>
  <c r="Y202" i="3" s="1"/>
  <c r="Y209" i="3" s="1"/>
  <c r="Y215" i="3" s="1"/>
  <c r="Y82" i="5"/>
  <c r="O74" i="5"/>
  <c r="W189" i="3"/>
  <c r="W96" i="5"/>
  <c r="W103" i="5" s="1"/>
  <c r="W114" i="5" s="1"/>
  <c r="AF111" i="3"/>
  <c r="AF86" i="5"/>
  <c r="T141" i="5"/>
  <c r="T144" i="5" s="1"/>
  <c r="T135" i="5"/>
  <c r="U132" i="5"/>
  <c r="U126" i="5"/>
  <c r="AU121" i="3"/>
  <c r="AU100" i="5" s="1"/>
  <c r="AU93" i="5"/>
  <c r="AG121" i="3"/>
  <c r="AG100" i="5" s="1"/>
  <c r="AG93" i="5"/>
  <c r="X75" i="5"/>
  <c r="X76" i="5" s="1"/>
  <c r="Q170" i="3"/>
  <c r="Q111" i="5"/>
  <c r="Q117" i="5" s="1"/>
  <c r="S186" i="3"/>
  <c r="S138" i="5" s="1"/>
  <c r="S144" i="5" s="1"/>
  <c r="S129" i="5"/>
  <c r="S135" i="5" s="1"/>
  <c r="R111" i="3"/>
  <c r="R86" i="5"/>
  <c r="BE76" i="3"/>
  <c r="BE69" i="5" s="1"/>
  <c r="BD75" i="3"/>
  <c r="AQ75" i="3"/>
  <c r="AR76" i="3"/>
  <c r="AR69" i="5" s="1"/>
  <c r="Z94" i="5"/>
  <c r="Z207" i="3"/>
  <c r="Z87" i="5"/>
  <c r="AF174" i="3"/>
  <c r="AF122" i="5" s="1"/>
  <c r="AF158" i="5" s="1"/>
  <c r="AE166" i="3"/>
  <c r="X115" i="3"/>
  <c r="X125" i="3" s="1"/>
  <c r="Q162" i="3"/>
  <c r="Q171" i="3" s="1"/>
  <c r="Z80" i="5"/>
  <c r="Q102" i="3"/>
  <c r="Q112" i="3" s="1"/>
  <c r="Q122" i="3" s="1"/>
  <c r="Q92" i="3"/>
  <c r="Q103" i="3" s="1"/>
  <c r="Q113" i="3" s="1"/>
  <c r="Q123" i="3" s="1"/>
  <c r="BF92" i="3"/>
  <c r="BF103" i="3" s="1"/>
  <c r="BF113" i="3" s="1"/>
  <c r="BF123" i="3" s="1"/>
  <c r="BF102" i="3"/>
  <c r="BF112" i="3" s="1"/>
  <c r="BF122" i="3" s="1"/>
  <c r="AE92" i="3"/>
  <c r="AE103" i="3" s="1"/>
  <c r="AE113" i="3" s="1"/>
  <c r="AE123" i="3" s="1"/>
  <c r="AE102" i="3"/>
  <c r="AE112" i="3" s="1"/>
  <c r="AE122" i="3" s="1"/>
  <c r="AS92" i="3"/>
  <c r="AS103" i="3" s="1"/>
  <c r="AS113" i="3" s="1"/>
  <c r="AS123" i="3" s="1"/>
  <c r="AS102" i="3"/>
  <c r="AS112" i="3" s="1"/>
  <c r="AS122" i="3" s="1"/>
  <c r="P90" i="3"/>
  <c r="P91" i="3"/>
  <c r="P110" i="3"/>
  <c r="P120" i="3" s="1"/>
  <c r="BD89" i="3"/>
  <c r="BE90" i="3"/>
  <c r="BE91" i="3"/>
  <c r="BE100" i="3"/>
  <c r="BE110" i="3" s="1"/>
  <c r="BE120" i="3" s="1"/>
  <c r="AC89" i="3"/>
  <c r="AD90" i="3"/>
  <c r="AD100" i="3"/>
  <c r="AD110" i="3" s="1"/>
  <c r="AD120" i="3" s="1"/>
  <c r="AD91" i="3"/>
  <c r="AQ89" i="3"/>
  <c r="AR100" i="3"/>
  <c r="AR110" i="3" s="1"/>
  <c r="AR120" i="3" s="1"/>
  <c r="AR91" i="3"/>
  <c r="AR90" i="3"/>
  <c r="Z75" i="3"/>
  <c r="Y76" i="3"/>
  <c r="Y69" i="5" s="1"/>
  <c r="AL75" i="3"/>
  <c r="AK76" i="3"/>
  <c r="AK69" i="5" s="1"/>
  <c r="Z6" i="3"/>
  <c r="O219" i="3" s="1"/>
  <c r="M219" i="3" s="1"/>
  <c r="L219" i="3" s="1"/>
  <c r="K219" i="3" s="1"/>
  <c r="J219" i="3" s="1"/>
  <c r="N219" i="3" s="1"/>
  <c r="Y95" i="3"/>
  <c r="Y105" i="3" s="1"/>
  <c r="Y85" i="3"/>
  <c r="Y81" i="3"/>
  <c r="X16" i="10" l="1"/>
  <c r="X113" i="10" s="1"/>
  <c r="X120" i="10" s="1"/>
  <c r="Y32" i="10"/>
  <c r="AC139" i="14"/>
  <c r="AB141" i="14"/>
  <c r="AB85" i="14" s="1"/>
  <c r="W17" i="10"/>
  <c r="W114" i="10" s="1"/>
  <c r="W121" i="10" s="1"/>
  <c r="R29" i="10"/>
  <c r="R89" i="10"/>
  <c r="O23" i="10"/>
  <c r="O88" i="10"/>
  <c r="M123" i="10"/>
  <c r="M124" i="10"/>
  <c r="M125" i="10"/>
  <c r="X41" i="10"/>
  <c r="Y38" i="10" s="1"/>
  <c r="X91" i="10"/>
  <c r="R46" i="10"/>
  <c r="Q112" i="10"/>
  <c r="Q119" i="10" s="1"/>
  <c r="N111" i="10"/>
  <c r="N118" i="10" s="1"/>
  <c r="O45" i="10"/>
  <c r="AF19" i="14"/>
  <c r="AF190" i="3"/>
  <c r="AF214" i="3" s="1"/>
  <c r="Y129" i="5"/>
  <c r="Y186" i="3"/>
  <c r="Y138" i="5" s="1"/>
  <c r="Z178" i="3"/>
  <c r="Z120" i="5"/>
  <c r="Z65" i="5"/>
  <c r="Z22" i="6" s="1"/>
  <c r="Y71" i="5"/>
  <c r="AC172" i="3"/>
  <c r="AC104" i="3"/>
  <c r="AC114" i="3"/>
  <c r="AC180" i="3"/>
  <c r="AC94" i="3"/>
  <c r="AC164" i="3"/>
  <c r="AO234" i="3"/>
  <c r="AI232" i="3"/>
  <c r="AH231" i="3"/>
  <c r="AG233" i="3"/>
  <c r="Y46" i="5"/>
  <c r="Y48" i="5" s="1"/>
  <c r="Y49" i="3"/>
  <c r="Z46" i="3"/>
  <c r="AA31" i="3"/>
  <c r="AA32" i="3" s="1"/>
  <c r="U79" i="10" s="1"/>
  <c r="AA37" i="3"/>
  <c r="Z40" i="3"/>
  <c r="AC66" i="3"/>
  <c r="AB54" i="5"/>
  <c r="S146" i="5"/>
  <c r="AH183" i="5"/>
  <c r="AH30" i="6" s="1"/>
  <c r="T146" i="5"/>
  <c r="AC149" i="5"/>
  <c r="AC156" i="5" s="1"/>
  <c r="AC163" i="5" s="1"/>
  <c r="AC170" i="5" s="1"/>
  <c r="AC74" i="5"/>
  <c r="AB84" i="3"/>
  <c r="AQ200" i="3"/>
  <c r="AQ206" i="3" s="1"/>
  <c r="AQ212" i="3" s="1"/>
  <c r="AP84" i="3"/>
  <c r="AP194" i="3" s="1"/>
  <c r="AP149" i="5" s="1"/>
  <c r="AP156" i="5" s="1"/>
  <c r="AP163" i="5" s="1"/>
  <c r="AP170" i="5" s="1"/>
  <c r="AQ74" i="5"/>
  <c r="BE149" i="5"/>
  <c r="BE156" i="5" s="1"/>
  <c r="BE163" i="5" s="1"/>
  <c r="BE170" i="5" s="1"/>
  <c r="Z165" i="3"/>
  <c r="Z82" i="5" s="1"/>
  <c r="O220" i="3"/>
  <c r="M220" i="3" s="1"/>
  <c r="L220" i="3" s="1"/>
  <c r="K220" i="3" s="1"/>
  <c r="J220" i="3" s="1"/>
  <c r="N220" i="3" s="1"/>
  <c r="N185" i="5" s="1"/>
  <c r="N32" i="6" s="1"/>
  <c r="O221" i="3"/>
  <c r="M221" i="3" s="1"/>
  <c r="L221" i="3" s="1"/>
  <c r="K221" i="3" s="1"/>
  <c r="J221" i="3" s="1"/>
  <c r="N221" i="3" s="1"/>
  <c r="N186" i="5" s="1"/>
  <c r="N33" i="6" s="1"/>
  <c r="BE74" i="5"/>
  <c r="BD84" i="3"/>
  <c r="BD194" i="3" s="1"/>
  <c r="BD200" i="3" s="1"/>
  <c r="BD206" i="3" s="1"/>
  <c r="BD212" i="3" s="1"/>
  <c r="AI48" i="3"/>
  <c r="AH39" i="3"/>
  <c r="AJ30" i="3"/>
  <c r="V159" i="5"/>
  <c r="T173" i="5"/>
  <c r="AP200" i="3"/>
  <c r="AP206" i="3" s="1"/>
  <c r="AP212" i="3" s="1"/>
  <c r="O206" i="3"/>
  <c r="O212" i="3" s="1"/>
  <c r="O149" i="5"/>
  <c r="Z139" i="5"/>
  <c r="Z171" i="5" s="1"/>
  <c r="Z213" i="3"/>
  <c r="P163" i="5"/>
  <c r="C50" i="7"/>
  <c r="D50" i="7" s="1"/>
  <c r="AD203" i="3"/>
  <c r="AD151" i="5"/>
  <c r="Q170" i="5"/>
  <c r="AF140" i="5"/>
  <c r="AF172" i="5" s="1"/>
  <c r="S176" i="5"/>
  <c r="AE131" i="5"/>
  <c r="AE165" i="5" s="1"/>
  <c r="AE208" i="3"/>
  <c r="W197" i="3"/>
  <c r="W152" i="5" s="1"/>
  <c r="R187" i="3"/>
  <c r="Z130" i="5"/>
  <c r="Z164" i="5" s="1"/>
  <c r="Q179" i="3"/>
  <c r="AE113" i="5"/>
  <c r="AE196" i="3"/>
  <c r="S106" i="5"/>
  <c r="BE101" i="3"/>
  <c r="BE79" i="5"/>
  <c r="Q178" i="3"/>
  <c r="Q120" i="5"/>
  <c r="Q126" i="5" s="1"/>
  <c r="W123" i="5"/>
  <c r="W117" i="5"/>
  <c r="R186" i="3"/>
  <c r="R138" i="5" s="1"/>
  <c r="R144" i="5" s="1"/>
  <c r="R129" i="5"/>
  <c r="R135" i="5" s="1"/>
  <c r="AS111" i="3"/>
  <c r="AS86" i="5"/>
  <c r="BF111" i="3"/>
  <c r="BF86" i="5"/>
  <c r="X189" i="3"/>
  <c r="X96" i="5"/>
  <c r="X103" i="5" s="1"/>
  <c r="X114" i="5" s="1"/>
  <c r="BG121" i="3"/>
  <c r="BG100" i="5" s="1"/>
  <c r="BG93" i="5"/>
  <c r="AD101" i="3"/>
  <c r="AD79" i="5"/>
  <c r="P101" i="3"/>
  <c r="P79" i="5"/>
  <c r="C37" i="7" s="1"/>
  <c r="D37" i="7" s="1"/>
  <c r="P111" i="5"/>
  <c r="P117" i="5" s="1"/>
  <c r="C38" i="7" s="1"/>
  <c r="D38" i="7" s="1"/>
  <c r="R121" i="3"/>
  <c r="R100" i="5" s="1"/>
  <c r="R93" i="5"/>
  <c r="U141" i="5"/>
  <c r="U144" i="5" s="1"/>
  <c r="U135" i="5"/>
  <c r="AF121" i="3"/>
  <c r="AF100" i="5" s="1"/>
  <c r="AF93" i="5"/>
  <c r="Y181" i="3"/>
  <c r="Y89" i="5"/>
  <c r="AT121" i="3"/>
  <c r="AT100" i="5" s="1"/>
  <c r="AT93" i="5"/>
  <c r="V132" i="5"/>
  <c r="V126" i="5"/>
  <c r="AE111" i="3"/>
  <c r="AE86" i="5"/>
  <c r="Q111" i="3"/>
  <c r="Q86" i="5"/>
  <c r="AF182" i="3"/>
  <c r="AR101" i="3"/>
  <c r="AR79" i="5"/>
  <c r="Y75" i="5"/>
  <c r="Y76" i="5" s="1"/>
  <c r="Z76" i="3"/>
  <c r="Z69" i="5" s="1"/>
  <c r="AP75" i="3"/>
  <c r="AQ76" i="3"/>
  <c r="AQ69" i="5" s="1"/>
  <c r="BC75" i="3"/>
  <c r="BD76" i="3"/>
  <c r="BD69" i="5" s="1"/>
  <c r="AG190" i="3"/>
  <c r="AG174" i="3"/>
  <c r="AG122" i="5" s="1"/>
  <c r="AG158" i="5" s="1"/>
  <c r="AF166" i="3"/>
  <c r="Y115" i="3"/>
  <c r="Y125" i="3" s="1"/>
  <c r="P162" i="3"/>
  <c r="P171" i="3" s="1"/>
  <c r="AP89" i="3"/>
  <c r="AQ90" i="3"/>
  <c r="AQ100" i="3"/>
  <c r="AQ110" i="3" s="1"/>
  <c r="AQ120" i="3" s="1"/>
  <c r="AQ91" i="3"/>
  <c r="AB89" i="3"/>
  <c r="AC90" i="3"/>
  <c r="AC100" i="3"/>
  <c r="AC110" i="3" s="1"/>
  <c r="AC120" i="3" s="1"/>
  <c r="AC91" i="3"/>
  <c r="BC89" i="3"/>
  <c r="BD90" i="3"/>
  <c r="BD100" i="3"/>
  <c r="BD110" i="3" s="1"/>
  <c r="BD120" i="3" s="1"/>
  <c r="BD91" i="3"/>
  <c r="AD102" i="3"/>
  <c r="AD112" i="3" s="1"/>
  <c r="AD122" i="3" s="1"/>
  <c r="AD92" i="3"/>
  <c r="AD103" i="3" s="1"/>
  <c r="AD113" i="3" s="1"/>
  <c r="AD123" i="3" s="1"/>
  <c r="AR102" i="3"/>
  <c r="AR112" i="3" s="1"/>
  <c r="AR122" i="3" s="1"/>
  <c r="AR92" i="3"/>
  <c r="AR103" i="3" s="1"/>
  <c r="AR113" i="3" s="1"/>
  <c r="AR123" i="3" s="1"/>
  <c r="BE102" i="3"/>
  <c r="BE112" i="3" s="1"/>
  <c r="BE122" i="3" s="1"/>
  <c r="BE92" i="3"/>
  <c r="BE103" i="3" s="1"/>
  <c r="BE113" i="3" s="1"/>
  <c r="BE123" i="3" s="1"/>
  <c r="O91" i="3"/>
  <c r="O110" i="3"/>
  <c r="O120" i="3" s="1"/>
  <c r="O90" i="3"/>
  <c r="P92" i="3"/>
  <c r="P103" i="3" s="1"/>
  <c r="P113" i="3" s="1"/>
  <c r="P123" i="3" s="1"/>
  <c r="P102" i="3"/>
  <c r="P112" i="3" s="1"/>
  <c r="P122" i="3" s="1"/>
  <c r="AM75" i="3"/>
  <c r="AL76" i="3"/>
  <c r="AL69" i="5" s="1"/>
  <c r="AB6" i="3"/>
  <c r="Z95" i="3"/>
  <c r="Z85" i="3"/>
  <c r="Z81" i="3"/>
  <c r="X17" i="10" l="1"/>
  <c r="X114" i="10" s="1"/>
  <c r="X121" i="10" s="1"/>
  <c r="Y35" i="10"/>
  <c r="Y90" i="10"/>
  <c r="AC141" i="14"/>
  <c r="AC85" i="14" s="1"/>
  <c r="AD139" i="14"/>
  <c r="Y41" i="10"/>
  <c r="Y17" i="10" s="1"/>
  <c r="Y114" i="10" s="1"/>
  <c r="Y121" i="10" s="1"/>
  <c r="Y91" i="10"/>
  <c r="U83" i="5"/>
  <c r="U106" i="5" s="1"/>
  <c r="N115" i="10"/>
  <c r="P20" i="10"/>
  <c r="O14" i="10"/>
  <c r="X90" i="5"/>
  <c r="S26" i="10"/>
  <c r="R15" i="10"/>
  <c r="AG19" i="14"/>
  <c r="AB194" i="3"/>
  <c r="AB200" i="3" s="1"/>
  <c r="AB206" i="3" s="1"/>
  <c r="AB212" i="3" s="1"/>
  <c r="V44" i="10"/>
  <c r="Z38" i="10"/>
  <c r="Z186" i="3"/>
  <c r="Z138" i="5" s="1"/>
  <c r="Z129" i="5"/>
  <c r="M186" i="5"/>
  <c r="M33" i="6" s="1"/>
  <c r="M185" i="5"/>
  <c r="M32" i="6" s="1"/>
  <c r="AP234" i="3"/>
  <c r="AB74" i="5"/>
  <c r="AI231" i="3"/>
  <c r="AP74" i="5"/>
  <c r="AO84" i="3"/>
  <c r="AJ232" i="3"/>
  <c r="AH233" i="3"/>
  <c r="AD66" i="3"/>
  <c r="AC54" i="5"/>
  <c r="AA46" i="3"/>
  <c r="Z49" i="3"/>
  <c r="AB37" i="3"/>
  <c r="AA40" i="3"/>
  <c r="AA41" i="3" s="1"/>
  <c r="Z46" i="5"/>
  <c r="AA31" i="5"/>
  <c r="Z32" i="3"/>
  <c r="AC28" i="3"/>
  <c r="AB31" i="3"/>
  <c r="U146" i="5"/>
  <c r="AI183" i="5"/>
  <c r="AI30" i="6" s="1"/>
  <c r="R146" i="5"/>
  <c r="BC84" i="3"/>
  <c r="BC194" i="3" s="1"/>
  <c r="BC200" i="3" s="1"/>
  <c r="BC206" i="3" s="1"/>
  <c r="BC212" i="3" s="1"/>
  <c r="AA165" i="3"/>
  <c r="AA173" i="3" s="1"/>
  <c r="AA202" i="3" s="1"/>
  <c r="AA209" i="3" s="1"/>
  <c r="AA215" i="3" s="1"/>
  <c r="P221" i="3"/>
  <c r="O186" i="5"/>
  <c r="O33" i="6" s="1"/>
  <c r="P219" i="3"/>
  <c r="O184" i="5"/>
  <c r="O31" i="6" s="1"/>
  <c r="P220" i="3"/>
  <c r="O185" i="5"/>
  <c r="O32" i="6" s="1"/>
  <c r="BD74" i="5"/>
  <c r="BD149" i="5"/>
  <c r="BD156" i="5" s="1"/>
  <c r="BD163" i="5" s="1"/>
  <c r="BD170" i="5" s="1"/>
  <c r="Z173" i="3"/>
  <c r="Z202" i="3" s="1"/>
  <c r="Z209" i="3" s="1"/>
  <c r="Z215" i="3" s="1"/>
  <c r="AB165" i="3"/>
  <c r="AB82" i="5" s="1"/>
  <c r="AJ48" i="3"/>
  <c r="AK30" i="3"/>
  <c r="AI39" i="3"/>
  <c r="U176" i="5"/>
  <c r="Q176" i="5"/>
  <c r="AB149" i="5"/>
  <c r="AB156" i="5" s="1"/>
  <c r="AB163" i="5" s="1"/>
  <c r="AB170" i="5" s="1"/>
  <c r="S178" i="5"/>
  <c r="P170" i="5"/>
  <c r="C72" i="7" s="1"/>
  <c r="D72" i="7" s="1"/>
  <c r="C61" i="7"/>
  <c r="D61" i="7" s="1"/>
  <c r="O156" i="5"/>
  <c r="AG140" i="5"/>
  <c r="AG172" i="5" s="1"/>
  <c r="AG214" i="3"/>
  <c r="W159" i="5"/>
  <c r="V166" i="5"/>
  <c r="AE203" i="3"/>
  <c r="AE151" i="5"/>
  <c r="T176" i="5"/>
  <c r="Z71" i="5"/>
  <c r="X197" i="3"/>
  <c r="X152" i="5" s="1"/>
  <c r="AF131" i="5"/>
  <c r="AF165" i="5" s="1"/>
  <c r="AF208" i="3"/>
  <c r="R106" i="5"/>
  <c r="Q187" i="3"/>
  <c r="AF113" i="5"/>
  <c r="AF196" i="3"/>
  <c r="P179" i="3"/>
  <c r="Y189" i="3"/>
  <c r="Y96" i="5"/>
  <c r="Y103" i="5" s="1"/>
  <c r="Y114" i="5" s="1"/>
  <c r="P111" i="3"/>
  <c r="P86" i="5"/>
  <c r="C48" i="7" s="1"/>
  <c r="D48" i="7" s="1"/>
  <c r="BD101" i="3"/>
  <c r="BD79" i="5"/>
  <c r="AC101" i="3"/>
  <c r="AC79" i="5"/>
  <c r="BF121" i="3"/>
  <c r="BF100" i="5" s="1"/>
  <c r="BF93" i="5"/>
  <c r="W132" i="5"/>
  <c r="W126" i="5"/>
  <c r="Z75" i="5"/>
  <c r="Z76" i="5" s="1"/>
  <c r="O101" i="3"/>
  <c r="O79" i="5"/>
  <c r="AC170" i="3"/>
  <c r="AC111" i="5"/>
  <c r="AG182" i="3"/>
  <c r="Q121" i="3"/>
  <c r="Q100" i="5" s="1"/>
  <c r="Q93" i="5"/>
  <c r="AD111" i="3"/>
  <c r="AD86" i="5"/>
  <c r="X123" i="5"/>
  <c r="X117" i="5"/>
  <c r="AE121" i="3"/>
  <c r="AE100" i="5" s="1"/>
  <c r="AE93" i="5"/>
  <c r="V141" i="5"/>
  <c r="V144" i="5" s="1"/>
  <c r="V135" i="5"/>
  <c r="P120" i="5"/>
  <c r="P126" i="5" s="1"/>
  <c r="C49" i="7" s="1"/>
  <c r="D49" i="7" s="1"/>
  <c r="AQ101" i="3"/>
  <c r="AQ79" i="5"/>
  <c r="AR111" i="3"/>
  <c r="AR86" i="5"/>
  <c r="AS121" i="3"/>
  <c r="AS100" i="5" s="1"/>
  <c r="AS93" i="5"/>
  <c r="Q186" i="3"/>
  <c r="Q138" i="5" s="1"/>
  <c r="Q144" i="5" s="1"/>
  <c r="Q129" i="5"/>
  <c r="Q135" i="5" s="1"/>
  <c r="BE111" i="3"/>
  <c r="BE86" i="5"/>
  <c r="AM76" i="3"/>
  <c r="AM69" i="5" s="1"/>
  <c r="AP76" i="3"/>
  <c r="AP69" i="5" s="1"/>
  <c r="AO75" i="3"/>
  <c r="BB75" i="3"/>
  <c r="BC76" i="3"/>
  <c r="BC69" i="5" s="1"/>
  <c r="AH190" i="3"/>
  <c r="AH174" i="3"/>
  <c r="AH122" i="5" s="1"/>
  <c r="AH158" i="5" s="1"/>
  <c r="AG166" i="3"/>
  <c r="AB111" i="5"/>
  <c r="AC162" i="3"/>
  <c r="AC171" i="3" s="1"/>
  <c r="BB89" i="3"/>
  <c r="BC100" i="3"/>
  <c r="BC110" i="3" s="1"/>
  <c r="BC120" i="3" s="1"/>
  <c r="BC90" i="3"/>
  <c r="BC91" i="3"/>
  <c r="AB91" i="3"/>
  <c r="AB100" i="3"/>
  <c r="AB110" i="3" s="1"/>
  <c r="AB120" i="3" s="1"/>
  <c r="AB90" i="3"/>
  <c r="AO89" i="3"/>
  <c r="AP100" i="3"/>
  <c r="AP110" i="3" s="1"/>
  <c r="AP120" i="3" s="1"/>
  <c r="AP90" i="3"/>
  <c r="AP91" i="3"/>
  <c r="BD102" i="3"/>
  <c r="BD112" i="3" s="1"/>
  <c r="BD122" i="3" s="1"/>
  <c r="BD92" i="3"/>
  <c r="BD103" i="3" s="1"/>
  <c r="BD113" i="3" s="1"/>
  <c r="BD123" i="3" s="1"/>
  <c r="AC92" i="3"/>
  <c r="AC103" i="3" s="1"/>
  <c r="AC113" i="3" s="1"/>
  <c r="AC123" i="3" s="1"/>
  <c r="AC102" i="3"/>
  <c r="AC112" i="3" s="1"/>
  <c r="AC122" i="3" s="1"/>
  <c r="AQ102" i="3"/>
  <c r="AQ112" i="3" s="1"/>
  <c r="AQ122" i="3" s="1"/>
  <c r="AQ92" i="3"/>
  <c r="AQ103" i="3" s="1"/>
  <c r="AQ113" i="3" s="1"/>
  <c r="AQ123" i="3" s="1"/>
  <c r="O92" i="3"/>
  <c r="O103" i="3" s="1"/>
  <c r="O113" i="3" s="1"/>
  <c r="O123" i="3" s="1"/>
  <c r="O102" i="3"/>
  <c r="O112" i="3" s="1"/>
  <c r="O122" i="3" s="1"/>
  <c r="AA95" i="3"/>
  <c r="AA105" i="3" s="1"/>
  <c r="Z105" i="3"/>
  <c r="AC6" i="3"/>
  <c r="AC165" i="3" s="1"/>
  <c r="AB95" i="3"/>
  <c r="AB105" i="3" s="1"/>
  <c r="Z32" i="10" l="1"/>
  <c r="Y16" i="10"/>
  <c r="Y113" i="10" s="1"/>
  <c r="Y120" i="10" s="1"/>
  <c r="AD141" i="14"/>
  <c r="AD85" i="14" s="1"/>
  <c r="AE139" i="14"/>
  <c r="T79" i="10"/>
  <c r="U80" i="10"/>
  <c r="Z41" i="10"/>
  <c r="Z17" i="10" s="1"/>
  <c r="Z114" i="10" s="1"/>
  <c r="Z121" i="10" s="1"/>
  <c r="Z91" i="10"/>
  <c r="R112" i="10"/>
  <c r="R119" i="10" s="1"/>
  <c r="S46" i="10"/>
  <c r="O111" i="10"/>
  <c r="O118" i="10" s="1"/>
  <c r="P45" i="10"/>
  <c r="S29" i="10"/>
  <c r="S89" i="10"/>
  <c r="P23" i="10"/>
  <c r="P88" i="10"/>
  <c r="N123" i="10"/>
  <c r="N124" i="10"/>
  <c r="N125" i="10"/>
  <c r="AH19" i="14"/>
  <c r="BB84" i="3"/>
  <c r="BB194" i="3" s="1"/>
  <c r="AO74" i="5"/>
  <c r="AI44" i="10"/>
  <c r="AJ44" i="10" s="1"/>
  <c r="AK44" i="10" s="1"/>
  <c r="AL44" i="10" s="1"/>
  <c r="AM44" i="10" s="1"/>
  <c r="AN44" i="10" s="1"/>
  <c r="AO44" i="10" s="1"/>
  <c r="AP44" i="10" s="1"/>
  <c r="AQ44" i="10" s="1"/>
  <c r="AR44" i="10" s="1"/>
  <c r="AS44" i="10" s="1"/>
  <c r="AT44" i="10" s="1"/>
  <c r="W44" i="10"/>
  <c r="V47" i="10"/>
  <c r="AB97" i="5" s="1"/>
  <c r="V48" i="10"/>
  <c r="AB104" i="5" s="1"/>
  <c r="C45" i="7"/>
  <c r="L186" i="5"/>
  <c r="L33" i="6" s="1"/>
  <c r="L185" i="5"/>
  <c r="L32" i="6" s="1"/>
  <c r="AO194" i="3"/>
  <c r="AO200" i="3" s="1"/>
  <c r="AO206" i="3" s="1"/>
  <c r="AO212" i="3" s="1"/>
  <c r="AQ234" i="3"/>
  <c r="AK232" i="3"/>
  <c r="AJ231" i="3"/>
  <c r="AI233" i="3"/>
  <c r="S23" i="6"/>
  <c r="Z18" i="2" s="1"/>
  <c r="AD28" i="3"/>
  <c r="AC31" i="3"/>
  <c r="AB46" i="3"/>
  <c r="AA49" i="3"/>
  <c r="AA50" i="3" s="1"/>
  <c r="Y32" i="3"/>
  <c r="S79" i="10" s="1"/>
  <c r="Z31" i="5"/>
  <c r="Z33" i="5" s="1"/>
  <c r="Z41" i="3"/>
  <c r="T80" i="10" s="1"/>
  <c r="AA36" i="5"/>
  <c r="AB40" i="3"/>
  <c r="AC37" i="3"/>
  <c r="AE66" i="3"/>
  <c r="AD54" i="5"/>
  <c r="AB55" i="3"/>
  <c r="AJ183" i="5"/>
  <c r="AJ30" i="6" s="1"/>
  <c r="Q146" i="5"/>
  <c r="V146" i="5"/>
  <c r="BC149" i="5"/>
  <c r="BC156" i="5" s="1"/>
  <c r="BC163" i="5" s="1"/>
  <c r="BC170" i="5" s="1"/>
  <c r="BC74" i="5"/>
  <c r="AA82" i="5"/>
  <c r="Z89" i="5"/>
  <c r="Z181" i="3"/>
  <c r="Z96" i="5" s="1"/>
  <c r="Z103" i="5" s="1"/>
  <c r="Z114" i="5" s="1"/>
  <c r="Q220" i="3"/>
  <c r="P185" i="5"/>
  <c r="P32" i="6" s="1"/>
  <c r="Q221" i="3"/>
  <c r="P186" i="5"/>
  <c r="P33" i="6" s="1"/>
  <c r="AB173" i="3"/>
  <c r="AB202" i="3" s="1"/>
  <c r="AB209" i="3" s="1"/>
  <c r="AB215" i="3" s="1"/>
  <c r="Q219" i="3"/>
  <c r="P184" i="5"/>
  <c r="P31" i="6" s="1"/>
  <c r="AK48" i="3"/>
  <c r="AJ39" i="3"/>
  <c r="AL30" i="3"/>
  <c r="AF203" i="3"/>
  <c r="AF151" i="5"/>
  <c r="U178" i="5"/>
  <c r="O163" i="5"/>
  <c r="W166" i="5"/>
  <c r="AH140" i="5"/>
  <c r="AH172" i="5" s="1"/>
  <c r="AH214" i="3"/>
  <c r="X159" i="5"/>
  <c r="V173" i="5"/>
  <c r="P176" i="5"/>
  <c r="R178" i="5"/>
  <c r="Y197" i="3"/>
  <c r="Y152" i="5" s="1"/>
  <c r="AG131" i="5"/>
  <c r="AG165" i="5" s="1"/>
  <c r="AG208" i="3"/>
  <c r="P187" i="3"/>
  <c r="AG113" i="5"/>
  <c r="AG196" i="3"/>
  <c r="AC179" i="3"/>
  <c r="O111" i="3"/>
  <c r="O86" i="5"/>
  <c r="BC101" i="3"/>
  <c r="BC79" i="5"/>
  <c r="BE121" i="3"/>
  <c r="BE100" i="5" s="1"/>
  <c r="BE93" i="5"/>
  <c r="AC173" i="3"/>
  <c r="AC202" i="3" s="1"/>
  <c r="AC209" i="3" s="1"/>
  <c r="AC215" i="3" s="1"/>
  <c r="AC82" i="5"/>
  <c r="AP101" i="3"/>
  <c r="AP79" i="5"/>
  <c r="AR121" i="3"/>
  <c r="AR100" i="5" s="1"/>
  <c r="AR93" i="5"/>
  <c r="P186" i="3"/>
  <c r="P138" i="5" s="1"/>
  <c r="P144" i="5" s="1"/>
  <c r="C71" i="7" s="1"/>
  <c r="D71" i="7" s="1"/>
  <c r="P129" i="5"/>
  <c r="P135" i="5" s="1"/>
  <c r="C60" i="7" s="1"/>
  <c r="D60" i="7" s="1"/>
  <c r="X132" i="5"/>
  <c r="X126" i="5"/>
  <c r="Q106" i="5"/>
  <c r="AC178" i="3"/>
  <c r="AC120" i="5"/>
  <c r="W141" i="5"/>
  <c r="W135" i="5"/>
  <c r="Y123" i="5"/>
  <c r="Y117" i="5"/>
  <c r="AQ111" i="3"/>
  <c r="AQ86" i="5"/>
  <c r="AD121" i="3"/>
  <c r="AD100" i="5" s="1"/>
  <c r="AD93" i="5"/>
  <c r="AA181" i="3"/>
  <c r="AA89" i="5"/>
  <c r="AB101" i="3"/>
  <c r="AB79" i="5"/>
  <c r="AH182" i="3"/>
  <c r="BD111" i="3"/>
  <c r="BD86" i="5"/>
  <c r="P121" i="3"/>
  <c r="P100" i="5" s="1"/>
  <c r="C70" i="7" s="1"/>
  <c r="D70" i="7" s="1"/>
  <c r="P93" i="5"/>
  <c r="C59" i="7" s="1"/>
  <c r="D59" i="7" s="1"/>
  <c r="AC111" i="3"/>
  <c r="AC86" i="5"/>
  <c r="AO76" i="3"/>
  <c r="AO69" i="5" s="1"/>
  <c r="BB76" i="3"/>
  <c r="BB69" i="5" s="1"/>
  <c r="AI190" i="3"/>
  <c r="AI174" i="3"/>
  <c r="AI122" i="5" s="1"/>
  <c r="AI158" i="5" s="1"/>
  <c r="AB162" i="3"/>
  <c r="AB171" i="3" s="1"/>
  <c r="AB170" i="3"/>
  <c r="Z115" i="3"/>
  <c r="Z125" i="3" s="1"/>
  <c r="AA115" i="3"/>
  <c r="AA125" i="3" s="1"/>
  <c r="AH166" i="3"/>
  <c r="AB115" i="3"/>
  <c r="AB125" i="3" s="1"/>
  <c r="AB92" i="3"/>
  <c r="AB103" i="3" s="1"/>
  <c r="AB113" i="3" s="1"/>
  <c r="AB123" i="3" s="1"/>
  <c r="AB102" i="3"/>
  <c r="AB112" i="3" s="1"/>
  <c r="AB122" i="3" s="1"/>
  <c r="BB90" i="3"/>
  <c r="BB100" i="3"/>
  <c r="BB110" i="3" s="1"/>
  <c r="BB120" i="3" s="1"/>
  <c r="BB91" i="3"/>
  <c r="AO100" i="3"/>
  <c r="AO110" i="3" s="1"/>
  <c r="AO120" i="3" s="1"/>
  <c r="AO90" i="3"/>
  <c r="AO91" i="3"/>
  <c r="BC92" i="3"/>
  <c r="BC103" i="3" s="1"/>
  <c r="BC113" i="3" s="1"/>
  <c r="BC123" i="3" s="1"/>
  <c r="BC102" i="3"/>
  <c r="BC112" i="3" s="1"/>
  <c r="BC122" i="3" s="1"/>
  <c r="AP92" i="3"/>
  <c r="AP103" i="3" s="1"/>
  <c r="AP113" i="3" s="1"/>
  <c r="AP123" i="3" s="1"/>
  <c r="AP102" i="3"/>
  <c r="AP112" i="3" s="1"/>
  <c r="AP122" i="3" s="1"/>
  <c r="AD6" i="3"/>
  <c r="AC95" i="3"/>
  <c r="AC105" i="3" s="1"/>
  <c r="Z35" i="10" l="1"/>
  <c r="Z90" i="10"/>
  <c r="AA38" i="10"/>
  <c r="AA91" i="10" s="1"/>
  <c r="AF139" i="14"/>
  <c r="AE141" i="14"/>
  <c r="AE85" i="14" s="1"/>
  <c r="U81" i="10"/>
  <c r="Q20" i="10"/>
  <c r="P14" i="10"/>
  <c r="Y90" i="5"/>
  <c r="T26" i="10"/>
  <c r="S15" i="10"/>
  <c r="V83" i="5"/>
  <c r="O115" i="10"/>
  <c r="AI19" i="14"/>
  <c r="Z48" i="2"/>
  <c r="BB74" i="5"/>
  <c r="X44" i="10"/>
  <c r="W47" i="10"/>
  <c r="AC97" i="5" s="1"/>
  <c r="W48" i="10"/>
  <c r="AC104" i="5" s="1"/>
  <c r="K186" i="5"/>
  <c r="K33" i="6" s="1"/>
  <c r="K185" i="5"/>
  <c r="K32" i="6" s="1"/>
  <c r="AO149" i="5"/>
  <c r="AO156" i="5" s="1"/>
  <c r="AO163" i="5" s="1"/>
  <c r="AO170" i="5" s="1"/>
  <c r="AR234" i="3"/>
  <c r="AK231" i="3"/>
  <c r="AL232" i="3"/>
  <c r="AB89" i="5"/>
  <c r="AJ233" i="3"/>
  <c r="U23" i="6"/>
  <c r="AB18" i="2" s="1"/>
  <c r="R23" i="6"/>
  <c r="Y18" i="2" s="1"/>
  <c r="AD37" i="3"/>
  <c r="AC40" i="3"/>
  <c r="X32" i="3"/>
  <c r="R79" i="10" s="1"/>
  <c r="Y31" i="5"/>
  <c r="Y33" i="5" s="1"/>
  <c r="Z50" i="3"/>
  <c r="T81" i="10" s="1"/>
  <c r="U120" i="10" s="1"/>
  <c r="D69" i="10" s="1"/>
  <c r="AA41" i="5"/>
  <c r="AB46" i="5"/>
  <c r="AC55" i="3"/>
  <c r="AE54" i="5"/>
  <c r="AF66" i="3"/>
  <c r="Y41" i="3"/>
  <c r="S80" i="10" s="1"/>
  <c r="Z36" i="5"/>
  <c r="Z38" i="5" s="1"/>
  <c r="AC46" i="3"/>
  <c r="AB49" i="3"/>
  <c r="AE28" i="3"/>
  <c r="AD31" i="3"/>
  <c r="Z189" i="3"/>
  <c r="Z197" i="3" s="1"/>
  <c r="Z152" i="5" s="1"/>
  <c r="AK183" i="5"/>
  <c r="AK30" i="6" s="1"/>
  <c r="P146" i="5"/>
  <c r="P178" i="5" s="1"/>
  <c r="AB181" i="3"/>
  <c r="AB189" i="3" s="1"/>
  <c r="R219" i="3"/>
  <c r="Q184" i="5"/>
  <c r="Q31" i="6" s="1"/>
  <c r="R221" i="3"/>
  <c r="Q186" i="5"/>
  <c r="Q33" i="6" s="1"/>
  <c r="R220" i="3"/>
  <c r="Q185" i="5"/>
  <c r="Q32" i="6" s="1"/>
  <c r="AD165" i="3"/>
  <c r="AD173" i="3" s="1"/>
  <c r="AD202" i="3" s="1"/>
  <c r="AD209" i="3" s="1"/>
  <c r="AD215" i="3" s="1"/>
  <c r="AL48" i="3"/>
  <c r="AM30" i="3"/>
  <c r="AK39" i="3"/>
  <c r="AG203" i="3"/>
  <c r="AG151" i="5"/>
  <c r="AI140" i="5"/>
  <c r="AI172" i="5" s="1"/>
  <c r="AI214" i="3"/>
  <c r="BB200" i="3"/>
  <c r="BB206" i="3" s="1"/>
  <c r="BB212" i="3" s="1"/>
  <c r="BB149" i="5"/>
  <c r="BB156" i="5" s="1"/>
  <c r="BB163" i="5" s="1"/>
  <c r="BB170" i="5" s="1"/>
  <c r="O170" i="5"/>
  <c r="W173" i="5"/>
  <c r="Y159" i="5"/>
  <c r="X166" i="5"/>
  <c r="Q178" i="5"/>
  <c r="W144" i="5"/>
  <c r="W146" i="5" s="1"/>
  <c r="AH131" i="5"/>
  <c r="AH165" i="5" s="1"/>
  <c r="AH208" i="3"/>
  <c r="AC187" i="3"/>
  <c r="AH113" i="5"/>
  <c r="AH196" i="3"/>
  <c r="AB179" i="3"/>
  <c r="Z123" i="5"/>
  <c r="Z117" i="5"/>
  <c r="AP111" i="3"/>
  <c r="AP86" i="5"/>
  <c r="AI182" i="3"/>
  <c r="AB111" i="3"/>
  <c r="AB86" i="5"/>
  <c r="AC186" i="3"/>
  <c r="AC138" i="5" s="1"/>
  <c r="AC129" i="5"/>
  <c r="BC111" i="3"/>
  <c r="BC86" i="5"/>
  <c r="BD121" i="3"/>
  <c r="BD100" i="5" s="1"/>
  <c r="BD93" i="5"/>
  <c r="X141" i="5"/>
  <c r="X144" i="5" s="1"/>
  <c r="X135" i="5"/>
  <c r="AC181" i="3"/>
  <c r="AC89" i="5"/>
  <c r="AO101" i="3"/>
  <c r="AO79" i="5"/>
  <c r="BB101" i="3"/>
  <c r="BB79" i="5"/>
  <c r="AB178" i="3"/>
  <c r="AB120" i="5"/>
  <c r="AC121" i="3"/>
  <c r="AC100" i="5" s="1"/>
  <c r="AC93" i="5"/>
  <c r="AA189" i="3"/>
  <c r="AA96" i="5"/>
  <c r="AA103" i="5" s="1"/>
  <c r="AA114" i="5" s="1"/>
  <c r="AQ121" i="3"/>
  <c r="AQ100" i="5" s="1"/>
  <c r="AQ93" i="5"/>
  <c r="Y132" i="5"/>
  <c r="Y126" i="5"/>
  <c r="O121" i="3"/>
  <c r="O100" i="5" s="1"/>
  <c r="O93" i="5"/>
  <c r="AJ190" i="3"/>
  <c r="AJ174" i="3"/>
  <c r="AJ122" i="5" s="1"/>
  <c r="AJ158" i="5" s="1"/>
  <c r="AI166" i="3"/>
  <c r="AC115" i="3"/>
  <c r="AC125" i="3" s="1"/>
  <c r="BB92" i="3"/>
  <c r="BB103" i="3" s="1"/>
  <c r="BB113" i="3" s="1"/>
  <c r="BB123" i="3" s="1"/>
  <c r="BB102" i="3"/>
  <c r="BB112" i="3" s="1"/>
  <c r="BB122" i="3" s="1"/>
  <c r="AO102" i="3"/>
  <c r="AO112" i="3" s="1"/>
  <c r="AO122" i="3" s="1"/>
  <c r="AO92" i="3"/>
  <c r="AO103" i="3" s="1"/>
  <c r="AO113" i="3" s="1"/>
  <c r="AO123" i="3" s="1"/>
  <c r="AE6" i="3"/>
  <c r="AE165" i="3" s="1"/>
  <c r="AD95" i="3"/>
  <c r="AD105" i="3" s="1"/>
  <c r="AA41" i="10" l="1"/>
  <c r="AA17" i="10" s="1"/>
  <c r="AA114" i="10" s="1"/>
  <c r="AA121" i="10" s="1"/>
  <c r="AA32" i="10"/>
  <c r="Z16" i="10"/>
  <c r="Z113" i="10" s="1"/>
  <c r="Z120" i="10" s="1"/>
  <c r="AG139" i="14"/>
  <c r="AF141" i="14"/>
  <c r="AF85" i="14" s="1"/>
  <c r="AB38" i="10"/>
  <c r="AB41" i="10" s="1"/>
  <c r="AB17" i="10" s="1"/>
  <c r="AB114" i="10" s="1"/>
  <c r="AB121" i="10" s="1"/>
  <c r="P111" i="10"/>
  <c r="P118" i="10" s="1"/>
  <c r="Q45" i="10"/>
  <c r="O125" i="10"/>
  <c r="O123" i="10"/>
  <c r="O124" i="10"/>
  <c r="S112" i="10"/>
  <c r="S119" i="10" s="1"/>
  <c r="T46" i="10"/>
  <c r="Q23" i="10"/>
  <c r="Q88" i="10"/>
  <c r="T29" i="10"/>
  <c r="T89" i="10"/>
  <c r="U89" i="10" s="1"/>
  <c r="AJ19" i="14"/>
  <c r="Y48" i="2"/>
  <c r="AB48" i="2"/>
  <c r="Y44" i="10"/>
  <c r="X47" i="10"/>
  <c r="AD97" i="5" s="1"/>
  <c r="X48" i="10"/>
  <c r="AD104" i="5" s="1"/>
  <c r="I221" i="3"/>
  <c r="H221" i="3" s="1"/>
  <c r="G221" i="3" s="1"/>
  <c r="J186" i="5"/>
  <c r="J33" i="6" s="1"/>
  <c r="I220" i="3"/>
  <c r="H220" i="3" s="1"/>
  <c r="G220" i="3" s="1"/>
  <c r="J185" i="5"/>
  <c r="J32" i="6" s="1"/>
  <c r="V176" i="5"/>
  <c r="AS234" i="3"/>
  <c r="AM232" i="3"/>
  <c r="AL231" i="3"/>
  <c r="AK233" i="3"/>
  <c r="Q23" i="6"/>
  <c r="X18" i="2" s="1"/>
  <c r="X48" i="2" s="1"/>
  <c r="AE31" i="3"/>
  <c r="AF28" i="3"/>
  <c r="X41" i="3"/>
  <c r="R80" i="10" s="1"/>
  <c r="Y36" i="5"/>
  <c r="Y38" i="5" s="1"/>
  <c r="AF54" i="5"/>
  <c r="AG66" i="3"/>
  <c r="AE37" i="3"/>
  <c r="AD40" i="3"/>
  <c r="AD46" i="3"/>
  <c r="AC49" i="3"/>
  <c r="Z41" i="5"/>
  <c r="Z43" i="5" s="1"/>
  <c r="Y50" i="3"/>
  <c r="S81" i="10" s="1"/>
  <c r="W32" i="3"/>
  <c r="Q79" i="10" s="1"/>
  <c r="X31" i="5"/>
  <c r="X33" i="5" s="1"/>
  <c r="AC46" i="5"/>
  <c r="AD55" i="3"/>
  <c r="X146" i="5"/>
  <c r="AL183" i="5"/>
  <c r="AL30" i="6" s="1"/>
  <c r="AB96" i="5"/>
  <c r="AB103" i="5" s="1"/>
  <c r="AB114" i="5" s="1"/>
  <c r="AB123" i="5" s="1"/>
  <c r="AD82" i="5"/>
  <c r="S221" i="3"/>
  <c r="R186" i="5"/>
  <c r="R33" i="6" s="1"/>
  <c r="S219" i="3"/>
  <c r="R184" i="5"/>
  <c r="R31" i="6" s="1"/>
  <c r="S220" i="3"/>
  <c r="R185" i="5"/>
  <c r="R32" i="6" s="1"/>
  <c r="AM48" i="3"/>
  <c r="AL39" i="3"/>
  <c r="AN30" i="3"/>
  <c r="AH203" i="3"/>
  <c r="AH151" i="5"/>
  <c r="Z159" i="5"/>
  <c r="X173" i="5"/>
  <c r="W176" i="5"/>
  <c r="AJ140" i="5"/>
  <c r="AJ172" i="5" s="1"/>
  <c r="AJ214" i="3"/>
  <c r="Y166" i="5"/>
  <c r="AI131" i="5"/>
  <c r="AI165" i="5" s="1"/>
  <c r="AI208" i="3"/>
  <c r="AB197" i="3"/>
  <c r="AB152" i="5" s="1"/>
  <c r="AB159" i="5" s="1"/>
  <c r="AB166" i="5" s="1"/>
  <c r="AB173" i="5" s="1"/>
  <c r="AA197" i="3"/>
  <c r="AA152" i="5" s="1"/>
  <c r="AA159" i="5" s="1"/>
  <c r="AA166" i="5" s="1"/>
  <c r="AA173" i="5" s="1"/>
  <c r="AB187" i="3"/>
  <c r="AI113" i="5"/>
  <c r="AI196" i="3"/>
  <c r="AA123" i="5"/>
  <c r="AB186" i="3"/>
  <c r="AB138" i="5" s="1"/>
  <c r="AB129" i="5"/>
  <c r="AO111" i="3"/>
  <c r="AO86" i="5"/>
  <c r="BC121" i="3"/>
  <c r="BC100" i="5" s="1"/>
  <c r="BC93" i="5"/>
  <c r="Z132" i="5"/>
  <c r="Z126" i="5"/>
  <c r="BB111" i="3"/>
  <c r="BB86" i="5"/>
  <c r="AD181" i="3"/>
  <c r="AD89" i="5"/>
  <c r="AB121" i="3"/>
  <c r="AB100" i="5" s="1"/>
  <c r="AB93" i="5"/>
  <c r="AP121" i="3"/>
  <c r="AP100" i="5" s="1"/>
  <c r="AP93" i="5"/>
  <c r="AE173" i="3"/>
  <c r="AE202" i="3" s="1"/>
  <c r="AE209" i="3" s="1"/>
  <c r="AE215" i="3" s="1"/>
  <c r="AE82" i="5"/>
  <c r="AC189" i="3"/>
  <c r="AC96" i="5"/>
  <c r="AC103" i="5" s="1"/>
  <c r="AC114" i="5" s="1"/>
  <c r="Y141" i="5"/>
  <c r="Y144" i="5" s="1"/>
  <c r="Y135" i="5"/>
  <c r="AJ182" i="3"/>
  <c r="AK190" i="3"/>
  <c r="AK174" i="3"/>
  <c r="AK122" i="5" s="1"/>
  <c r="AK158" i="5" s="1"/>
  <c r="AJ166" i="3"/>
  <c r="AD115" i="3"/>
  <c r="AD125" i="3" s="1"/>
  <c r="AF6" i="3"/>
  <c r="AF165" i="3" s="1"/>
  <c r="AE95" i="3"/>
  <c r="AE105" i="3" s="1"/>
  <c r="AB91" i="10" l="1"/>
  <c r="AA90" i="10"/>
  <c r="AA35" i="10"/>
  <c r="AG141" i="14"/>
  <c r="AG85" i="14" s="1"/>
  <c r="AH139" i="14"/>
  <c r="AC38" i="10"/>
  <c r="AC41" i="10" s="1"/>
  <c r="AC17" i="10" s="1"/>
  <c r="AC114" i="10" s="1"/>
  <c r="AC121" i="10" s="1"/>
  <c r="R20" i="10"/>
  <c r="Q14" i="10"/>
  <c r="Z90" i="5"/>
  <c r="U46" i="10"/>
  <c r="AA90" i="5" s="1"/>
  <c r="W83" i="5"/>
  <c r="W106" i="5" s="1"/>
  <c r="W178" i="5" s="1"/>
  <c r="V26" i="10"/>
  <c r="T15" i="10"/>
  <c r="D62" i="10" s="1"/>
  <c r="P115" i="10"/>
  <c r="AK19" i="14"/>
  <c r="Z44" i="10"/>
  <c r="Y47" i="10"/>
  <c r="AE97" i="5" s="1"/>
  <c r="Y48" i="10"/>
  <c r="AE104" i="5" s="1"/>
  <c r="AT234" i="3"/>
  <c r="AM231" i="3"/>
  <c r="AN232" i="3"/>
  <c r="AL233" i="3"/>
  <c r="L154" i="6"/>
  <c r="L104" i="6" s="1"/>
  <c r="P23" i="6"/>
  <c r="AD46" i="5"/>
  <c r="AE55" i="3"/>
  <c r="W31" i="5"/>
  <c r="W33" i="5" s="1"/>
  <c r="V32" i="3"/>
  <c r="P79" i="10" s="1"/>
  <c r="AE46" i="3"/>
  <c r="AD49" i="3"/>
  <c r="X50" i="3"/>
  <c r="R81" i="10" s="1"/>
  <c r="Y41" i="5"/>
  <c r="Y43" i="5" s="1"/>
  <c r="W41" i="3"/>
  <c r="Q80" i="10" s="1"/>
  <c r="X36" i="5"/>
  <c r="X38" i="5" s="1"/>
  <c r="Z50" i="5"/>
  <c r="Z21" i="6" s="1"/>
  <c r="AG16" i="2" s="1"/>
  <c r="AG46" i="2" s="1"/>
  <c r="AH66" i="3"/>
  <c r="AG54" i="5"/>
  <c r="AG28" i="3"/>
  <c r="AF31" i="3"/>
  <c r="AE40" i="3"/>
  <c r="AF37" i="3"/>
  <c r="Y146" i="5"/>
  <c r="AM183" i="5"/>
  <c r="AM30" i="6" s="1"/>
  <c r="T220" i="3"/>
  <c r="S185" i="5"/>
  <c r="S32" i="6" s="1"/>
  <c r="T221" i="3"/>
  <c r="S186" i="5"/>
  <c r="S33" i="6" s="1"/>
  <c r="T219" i="3"/>
  <c r="S184" i="5"/>
  <c r="S31" i="6" s="1"/>
  <c r="AN48" i="3"/>
  <c r="AO30" i="3"/>
  <c r="AM39" i="3"/>
  <c r="Z166" i="5"/>
  <c r="AI203" i="3"/>
  <c r="AI151" i="5"/>
  <c r="AK140" i="5"/>
  <c r="AK172" i="5" s="1"/>
  <c r="AK214" i="3"/>
  <c r="Y173" i="5"/>
  <c r="Y176" i="5" s="1"/>
  <c r="X176" i="5"/>
  <c r="AJ131" i="5"/>
  <c r="AJ165" i="5" s="1"/>
  <c r="AJ208" i="3"/>
  <c r="AC197" i="3"/>
  <c r="AC152" i="5" s="1"/>
  <c r="AC159" i="5" s="1"/>
  <c r="AC166" i="5" s="1"/>
  <c r="AC173" i="5" s="1"/>
  <c r="AJ113" i="5"/>
  <c r="AJ196" i="3"/>
  <c r="AB132" i="5"/>
  <c r="BB121" i="3"/>
  <c r="BB100" i="5" s="1"/>
  <c r="BB93" i="5"/>
  <c r="AO121" i="3"/>
  <c r="AO100" i="5" s="1"/>
  <c r="AO93" i="5"/>
  <c r="AA132" i="5"/>
  <c r="AF173" i="3"/>
  <c r="AF202" i="3" s="1"/>
  <c r="AF209" i="3" s="1"/>
  <c r="AF215" i="3" s="1"/>
  <c r="AF82" i="5"/>
  <c r="AC123" i="5"/>
  <c r="AK182" i="3"/>
  <c r="AE181" i="3"/>
  <c r="AE89" i="5"/>
  <c r="AD189" i="3"/>
  <c r="AD96" i="5"/>
  <c r="AD103" i="5" s="1"/>
  <c r="AD114" i="5" s="1"/>
  <c r="Z141" i="5"/>
  <c r="AL190" i="3"/>
  <c r="AL174" i="3"/>
  <c r="AL122" i="5" s="1"/>
  <c r="AL158" i="5" s="1"/>
  <c r="AE115" i="3"/>
  <c r="AE125" i="3" s="1"/>
  <c r="AK166" i="3"/>
  <c r="AG6" i="3"/>
  <c r="AF95" i="3"/>
  <c r="AF105" i="3" s="1"/>
  <c r="AC91" i="10" l="1"/>
  <c r="AB32" i="10"/>
  <c r="AA16" i="10"/>
  <c r="AA113" i="10" s="1"/>
  <c r="AA120" i="10" s="1"/>
  <c r="W18" i="2"/>
  <c r="W48" i="2" s="1"/>
  <c r="P24" i="6"/>
  <c r="AH141" i="14"/>
  <c r="AH85" i="14" s="1"/>
  <c r="AI139" i="14"/>
  <c r="AD38" i="10"/>
  <c r="AD41" i="10" s="1"/>
  <c r="W23" i="6"/>
  <c r="AD18" i="2" s="1"/>
  <c r="P124" i="10"/>
  <c r="P125" i="10"/>
  <c r="P123" i="10"/>
  <c r="T112" i="10"/>
  <c r="V46" i="10"/>
  <c r="AB90" i="5" s="1"/>
  <c r="Q111" i="10"/>
  <c r="Q118" i="10" s="1"/>
  <c r="R45" i="10"/>
  <c r="V29" i="10"/>
  <c r="V89" i="10"/>
  <c r="R23" i="10"/>
  <c r="R88" i="10"/>
  <c r="AL19" i="14"/>
  <c r="AA44" i="10"/>
  <c r="Z47" i="10"/>
  <c r="AF97" i="5" s="1"/>
  <c r="Z48" i="10"/>
  <c r="AF104" i="5" s="1"/>
  <c r="AU234" i="3"/>
  <c r="AO232" i="3"/>
  <c r="AN231" i="3"/>
  <c r="AM233" i="3"/>
  <c r="Z135" i="5"/>
  <c r="AH28" i="3"/>
  <c r="AG31" i="3"/>
  <c r="Y50" i="5"/>
  <c r="Y21" i="6" s="1"/>
  <c r="AF16" i="2" s="1"/>
  <c r="AF46" i="2" s="1"/>
  <c r="U32" i="3"/>
  <c r="O79" i="10" s="1"/>
  <c r="V31" i="5"/>
  <c r="V33" i="5" s="1"/>
  <c r="W50" i="3"/>
  <c r="Q81" i="10" s="1"/>
  <c r="X41" i="5"/>
  <c r="X43" i="5" s="1"/>
  <c r="AH54" i="5"/>
  <c r="AI66" i="3"/>
  <c r="AE46" i="5"/>
  <c r="AF55" i="3"/>
  <c r="AG37" i="3"/>
  <c r="AF40" i="3"/>
  <c r="V41" i="3"/>
  <c r="P80" i="10" s="1"/>
  <c r="W36" i="5"/>
  <c r="W38" i="5" s="1"/>
  <c r="AF46" i="3"/>
  <c r="AE49" i="3"/>
  <c r="AN183" i="5"/>
  <c r="AN30" i="6" s="1"/>
  <c r="U220" i="3"/>
  <c r="T185" i="5"/>
  <c r="T32" i="6" s="1"/>
  <c r="U219" i="3"/>
  <c r="T184" i="5"/>
  <c r="T31" i="6" s="1"/>
  <c r="U221" i="3"/>
  <c r="T186" i="5"/>
  <c r="T33" i="6" s="1"/>
  <c r="AG165" i="3"/>
  <c r="AG173" i="3" s="1"/>
  <c r="AG202" i="3" s="1"/>
  <c r="AG209" i="3" s="1"/>
  <c r="AG215" i="3" s="1"/>
  <c r="AO48" i="3"/>
  <c r="AN39" i="3"/>
  <c r="AP30" i="3"/>
  <c r="Z173" i="5"/>
  <c r="AJ203" i="3"/>
  <c r="AJ151" i="5"/>
  <c r="AL140" i="5"/>
  <c r="AL172" i="5" s="1"/>
  <c r="AL214" i="3"/>
  <c r="AD197" i="3"/>
  <c r="AD152" i="5" s="1"/>
  <c r="AK131" i="5"/>
  <c r="AK165" i="5" s="1"/>
  <c r="AK208" i="3"/>
  <c r="AK113" i="5"/>
  <c r="AK196" i="3"/>
  <c r="AF181" i="3"/>
  <c r="AF89" i="5"/>
  <c r="AA141" i="5"/>
  <c r="AL182" i="3"/>
  <c r="AC132" i="5"/>
  <c r="AE189" i="3"/>
  <c r="AE96" i="5"/>
  <c r="AE103" i="5" s="1"/>
  <c r="AE114" i="5" s="1"/>
  <c r="AD123" i="5"/>
  <c r="AB141" i="5"/>
  <c r="AM190" i="3"/>
  <c r="AM174" i="3"/>
  <c r="AM122" i="5" s="1"/>
  <c r="AM158" i="5" s="1"/>
  <c r="AL166" i="3"/>
  <c r="AF115" i="3"/>
  <c r="AF125" i="3" s="1"/>
  <c r="AH6" i="3"/>
  <c r="AH165" i="3" s="1"/>
  <c r="AG95" i="3"/>
  <c r="AG105" i="3" s="1"/>
  <c r="AB90" i="10" l="1"/>
  <c r="AB35" i="10"/>
  <c r="T119" i="10"/>
  <c r="U119" i="10" s="1"/>
  <c r="D68" i="10" s="1"/>
  <c r="U112" i="10"/>
  <c r="AI141" i="14"/>
  <c r="AI85" i="14" s="1"/>
  <c r="AJ139" i="14"/>
  <c r="AD91" i="10"/>
  <c r="AE38" i="10"/>
  <c r="AE41" i="10" s="1"/>
  <c r="AE17" i="10" s="1"/>
  <c r="AE114" i="10" s="1"/>
  <c r="AE121" i="10" s="1"/>
  <c r="AD17" i="10"/>
  <c r="AD114" i="10" s="1"/>
  <c r="AD121" i="10" s="1"/>
  <c r="AD48" i="2"/>
  <c r="W26" i="10"/>
  <c r="V15" i="10"/>
  <c r="X83" i="5"/>
  <c r="R14" i="10"/>
  <c r="S20" i="10"/>
  <c r="Q122" i="10"/>
  <c r="Q115" i="10"/>
  <c r="AM19" i="14"/>
  <c r="AB44" i="10"/>
  <c r="AA47" i="10"/>
  <c r="AG97" i="5" s="1"/>
  <c r="AA48" i="10"/>
  <c r="AG104" i="5" s="1"/>
  <c r="AV234" i="3"/>
  <c r="AO231" i="3"/>
  <c r="L126" i="6"/>
  <c r="AU67" i="2" s="1"/>
  <c r="AP232" i="3"/>
  <c r="AG82" i="5"/>
  <c r="AN233" i="3"/>
  <c r="Z144" i="5"/>
  <c r="Z146" i="5" s="1"/>
  <c r="V50" i="3"/>
  <c r="P81" i="10" s="1"/>
  <c r="P122" i="10" s="1"/>
  <c r="P126" i="10" s="1"/>
  <c r="R24" i="14" s="1"/>
  <c r="R65" i="14" s="1"/>
  <c r="W41" i="5"/>
  <c r="W43" i="5" s="1"/>
  <c r="V36" i="5"/>
  <c r="V38" i="5" s="1"/>
  <c r="U41" i="3"/>
  <c r="O80" i="10" s="1"/>
  <c r="AG46" i="3"/>
  <c r="AF49" i="3"/>
  <c r="AF46" i="5"/>
  <c r="AG55" i="3"/>
  <c r="AI54" i="5"/>
  <c r="AJ66" i="3"/>
  <c r="X50" i="5"/>
  <c r="X21" i="6" s="1"/>
  <c r="AE16" i="2" s="1"/>
  <c r="AE46" i="2" s="1"/>
  <c r="AH37" i="3"/>
  <c r="AG40" i="3"/>
  <c r="T32" i="3"/>
  <c r="N79" i="10" s="1"/>
  <c r="U31" i="5"/>
  <c r="U33" i="5" s="1"/>
  <c r="AI28" i="3"/>
  <c r="AH31" i="3"/>
  <c r="AO183" i="5"/>
  <c r="AO30" i="6" s="1"/>
  <c r="V219" i="3"/>
  <c r="U184" i="5"/>
  <c r="U31" i="6" s="1"/>
  <c r="V221" i="3"/>
  <c r="U186" i="5"/>
  <c r="U33" i="6" s="1"/>
  <c r="V220" i="3"/>
  <c r="U185" i="5"/>
  <c r="U32" i="6" s="1"/>
  <c r="AP48" i="3"/>
  <c r="AQ30" i="3"/>
  <c r="AO39" i="3"/>
  <c r="AM140" i="5"/>
  <c r="AM172" i="5" s="1"/>
  <c r="AM214" i="3"/>
  <c r="AD159" i="5"/>
  <c r="AK203" i="3"/>
  <c r="AK151" i="5"/>
  <c r="AL131" i="5"/>
  <c r="AL165" i="5" s="1"/>
  <c r="AL208" i="3"/>
  <c r="AE197" i="3"/>
  <c r="AE152" i="5" s="1"/>
  <c r="AE159" i="5" s="1"/>
  <c r="AE166" i="5" s="1"/>
  <c r="AE173" i="5" s="1"/>
  <c r="AL113" i="5"/>
  <c r="AL196" i="3"/>
  <c r="AE123" i="5"/>
  <c r="AF189" i="3"/>
  <c r="AF96" i="5"/>
  <c r="AF103" i="5" s="1"/>
  <c r="AF114" i="5" s="1"/>
  <c r="AG181" i="3"/>
  <c r="AG89" i="5"/>
  <c r="AM182" i="3"/>
  <c r="AH173" i="3"/>
  <c r="AH202" i="3" s="1"/>
  <c r="AH209" i="3" s="1"/>
  <c r="AH215" i="3" s="1"/>
  <c r="AH82" i="5"/>
  <c r="AD132" i="5"/>
  <c r="AC141" i="5"/>
  <c r="AN190" i="3"/>
  <c r="AN174" i="3"/>
  <c r="AN122" i="5" s="1"/>
  <c r="AN158" i="5" s="1"/>
  <c r="AG115" i="3"/>
  <c r="AG125" i="3" s="1"/>
  <c r="AM166" i="3"/>
  <c r="AI6" i="3"/>
  <c r="AI165" i="3" s="1"/>
  <c r="AH95" i="3"/>
  <c r="AH105" i="3" s="1"/>
  <c r="AC32" i="10" l="1"/>
  <c r="AB16" i="10"/>
  <c r="AB113" i="10" s="1"/>
  <c r="AB120" i="10" s="1"/>
  <c r="AE91" i="10"/>
  <c r="AK139" i="14"/>
  <c r="AJ141" i="14"/>
  <c r="AJ85" i="14" s="1"/>
  <c r="AF38" i="10"/>
  <c r="AF41" i="10" s="1"/>
  <c r="AG38" i="10" s="1"/>
  <c r="S23" i="10"/>
  <c r="S88" i="10"/>
  <c r="V112" i="10"/>
  <c r="V119" i="10" s="1"/>
  <c r="W46" i="10"/>
  <c r="AC90" i="5" s="1"/>
  <c r="R111" i="10"/>
  <c r="R118" i="10" s="1"/>
  <c r="S45" i="10"/>
  <c r="Y83" i="5" s="1"/>
  <c r="Y106" i="5" s="1"/>
  <c r="Y178" i="5" s="1"/>
  <c r="W29" i="10"/>
  <c r="W89" i="10"/>
  <c r="Q124" i="10"/>
  <c r="Q125" i="10"/>
  <c r="Q123" i="10"/>
  <c r="AN19" i="14"/>
  <c r="AC44" i="10"/>
  <c r="AB47" i="10"/>
  <c r="AB48" i="10"/>
  <c r="AH104" i="5" s="1"/>
  <c r="Z176" i="5"/>
  <c r="AW234" i="3"/>
  <c r="AQ232" i="3"/>
  <c r="AP231" i="3"/>
  <c r="AO233" i="3"/>
  <c r="AJ28" i="3"/>
  <c r="AI31" i="3"/>
  <c r="AI37" i="3"/>
  <c r="AH40" i="3"/>
  <c r="AH46" i="3"/>
  <c r="AG49" i="3"/>
  <c r="AG46" i="5"/>
  <c r="AH55" i="3"/>
  <c r="S32" i="3"/>
  <c r="M79" i="10" s="1"/>
  <c r="T31" i="5"/>
  <c r="T33" i="5" s="1"/>
  <c r="T41" i="3"/>
  <c r="N80" i="10" s="1"/>
  <c r="U36" i="5"/>
  <c r="U38" i="5" s="1"/>
  <c r="W50" i="5"/>
  <c r="AK66" i="3"/>
  <c r="AJ54" i="5"/>
  <c r="V41" i="5"/>
  <c r="V43" i="5" s="1"/>
  <c r="U50" i="3"/>
  <c r="O81" i="10" s="1"/>
  <c r="O122" i="10" s="1"/>
  <c r="O126" i="10" s="1"/>
  <c r="Q24" i="14" s="1"/>
  <c r="Q65" i="14" s="1"/>
  <c r="AP183" i="5"/>
  <c r="AP30" i="6" s="1"/>
  <c r="W221" i="3"/>
  <c r="V186" i="5"/>
  <c r="V33" i="6" s="1"/>
  <c r="W219" i="3"/>
  <c r="V184" i="5"/>
  <c r="V31" i="6" s="1"/>
  <c r="W220" i="3"/>
  <c r="V185" i="5"/>
  <c r="V32" i="6" s="1"/>
  <c r="AQ48" i="3"/>
  <c r="AP39" i="3"/>
  <c r="AR30" i="3"/>
  <c r="AD166" i="5"/>
  <c r="AN140" i="5"/>
  <c r="AN172" i="5" s="1"/>
  <c r="AN214" i="3"/>
  <c r="AL203" i="3"/>
  <c r="AL151" i="5"/>
  <c r="AM131" i="5"/>
  <c r="AM165" i="5" s="1"/>
  <c r="AM208" i="3"/>
  <c r="AF197" i="3"/>
  <c r="AF152" i="5" s="1"/>
  <c r="AF159" i="5" s="1"/>
  <c r="AF166" i="5" s="1"/>
  <c r="AF173" i="5" s="1"/>
  <c r="AM113" i="5"/>
  <c r="AM196" i="3"/>
  <c r="AH181" i="3"/>
  <c r="AH89" i="5"/>
  <c r="AG189" i="3"/>
  <c r="AG96" i="5"/>
  <c r="AG103" i="5" s="1"/>
  <c r="AG114" i="5" s="1"/>
  <c r="AF123" i="5"/>
  <c r="AI173" i="3"/>
  <c r="AI202" i="3" s="1"/>
  <c r="AI209" i="3" s="1"/>
  <c r="AI215" i="3" s="1"/>
  <c r="AI82" i="5"/>
  <c r="AD141" i="5"/>
  <c r="AN182" i="3"/>
  <c r="AE132" i="5"/>
  <c r="AO190" i="3"/>
  <c r="AO174" i="3"/>
  <c r="AO122" i="5" s="1"/>
  <c r="AO158" i="5" s="1"/>
  <c r="AN166" i="3"/>
  <c r="AH115" i="3"/>
  <c r="AH125" i="3" s="1"/>
  <c r="AJ6" i="3"/>
  <c r="AJ165" i="3" s="1"/>
  <c r="AI95" i="3"/>
  <c r="AI105" i="3" s="1"/>
  <c r="AF91" i="10" l="1"/>
  <c r="AC35" i="10"/>
  <c r="AC90" i="10"/>
  <c r="AK141" i="14"/>
  <c r="AK85" i="14" s="1"/>
  <c r="AL139" i="14"/>
  <c r="W21" i="6"/>
  <c r="AD16" i="2" s="1"/>
  <c r="W180" i="5"/>
  <c r="Q126" i="10"/>
  <c r="S24" i="14" s="1"/>
  <c r="S65" i="14" s="1"/>
  <c r="AF17" i="10"/>
  <c r="AF114" i="10" s="1"/>
  <c r="AF121" i="10" s="1"/>
  <c r="Y180" i="5"/>
  <c r="Y23" i="6"/>
  <c r="R122" i="10"/>
  <c r="R115" i="10"/>
  <c r="AG41" i="10"/>
  <c r="AI38" i="10" s="1"/>
  <c r="AG91" i="10"/>
  <c r="AH91" i="10" s="1"/>
  <c r="X26" i="10"/>
  <c r="W15" i="10"/>
  <c r="T20" i="10"/>
  <c r="S14" i="10"/>
  <c r="AO19" i="14"/>
  <c r="AH97" i="5"/>
  <c r="AD44" i="10"/>
  <c r="AC47" i="10"/>
  <c r="AI97" i="5" s="1"/>
  <c r="AC48" i="10"/>
  <c r="AI104" i="5" s="1"/>
  <c r="AX234" i="3"/>
  <c r="AQ231" i="3"/>
  <c r="AR232" i="3"/>
  <c r="AP233" i="3"/>
  <c r="AL66" i="3"/>
  <c r="AK54" i="5"/>
  <c r="T36" i="5"/>
  <c r="T38" i="5" s="1"/>
  <c r="S41" i="3"/>
  <c r="M80" i="10" s="1"/>
  <c r="R32" i="3"/>
  <c r="L79" i="10" s="1"/>
  <c r="S31" i="5"/>
  <c r="S33" i="5" s="1"/>
  <c r="U41" i="5"/>
  <c r="U43" i="5" s="1"/>
  <c r="T50" i="3"/>
  <c r="N81" i="10" s="1"/>
  <c r="N122" i="10" s="1"/>
  <c r="N126" i="10" s="1"/>
  <c r="P24" i="14" s="1"/>
  <c r="P65" i="14" s="1"/>
  <c r="AJ37" i="3"/>
  <c r="AI40" i="3"/>
  <c r="V50" i="5"/>
  <c r="V21" i="6" s="1"/>
  <c r="AC16" i="2" s="1"/>
  <c r="AC46" i="2" s="1"/>
  <c r="AH46" i="5"/>
  <c r="AI55" i="3"/>
  <c r="AI46" i="3"/>
  <c r="AH49" i="3"/>
  <c r="AK28" i="3"/>
  <c r="AJ31" i="3"/>
  <c r="AQ183" i="5"/>
  <c r="AQ30" i="6" s="1"/>
  <c r="X220" i="3"/>
  <c r="W185" i="5"/>
  <c r="W32" i="6" s="1"/>
  <c r="X221" i="3"/>
  <c r="W186" i="5"/>
  <c r="W33" i="6" s="1"/>
  <c r="X219" i="3"/>
  <c r="W184" i="5"/>
  <c r="W31" i="6" s="1"/>
  <c r="AR48" i="3"/>
  <c r="AS30" i="3"/>
  <c r="AQ39" i="3"/>
  <c r="AD173" i="5"/>
  <c r="AM203" i="3"/>
  <c r="AM151" i="5"/>
  <c r="AO140" i="5"/>
  <c r="AO172" i="5" s="1"/>
  <c r="AO214" i="3"/>
  <c r="AN131" i="5"/>
  <c r="AN165" i="5" s="1"/>
  <c r="AN208" i="3"/>
  <c r="AG197" i="3"/>
  <c r="AG152" i="5" s="1"/>
  <c r="AN113" i="5"/>
  <c r="AN196" i="3"/>
  <c r="AJ173" i="3"/>
  <c r="AJ202" i="3" s="1"/>
  <c r="AJ209" i="3" s="1"/>
  <c r="AJ215" i="3" s="1"/>
  <c r="AJ82" i="5"/>
  <c r="AG123" i="5"/>
  <c r="AO182" i="3"/>
  <c r="AI181" i="3"/>
  <c r="AI89" i="5"/>
  <c r="AE141" i="5"/>
  <c r="AF132" i="5"/>
  <c r="AH189" i="3"/>
  <c r="AH96" i="5"/>
  <c r="AH103" i="5" s="1"/>
  <c r="AH114" i="5" s="1"/>
  <c r="AP190" i="3"/>
  <c r="AP174" i="3"/>
  <c r="AP122" i="5" s="1"/>
  <c r="AP158" i="5" s="1"/>
  <c r="AI115" i="3"/>
  <c r="AI125" i="3" s="1"/>
  <c r="AO166" i="3"/>
  <c r="AK6" i="3"/>
  <c r="AK165" i="3" s="1"/>
  <c r="AJ95" i="3"/>
  <c r="AJ105" i="3" s="1"/>
  <c r="AC16" i="10" l="1"/>
  <c r="AC113" i="10" s="1"/>
  <c r="AC120" i="10" s="1"/>
  <c r="AD32" i="10"/>
  <c r="AL141" i="14"/>
  <c r="AL85" i="14" s="1"/>
  <c r="AM139" i="14"/>
  <c r="AD46" i="2"/>
  <c r="AD19" i="2"/>
  <c r="AG17" i="10"/>
  <c r="AG114" i="10" s="1"/>
  <c r="AI41" i="10"/>
  <c r="AJ38" i="10" s="1"/>
  <c r="AI91" i="10"/>
  <c r="S111" i="10"/>
  <c r="S118" i="10" s="1"/>
  <c r="T45" i="10"/>
  <c r="R124" i="10"/>
  <c r="R125" i="10"/>
  <c r="R123" i="10"/>
  <c r="T23" i="10"/>
  <c r="T88" i="10"/>
  <c r="U88" i="10" s="1"/>
  <c r="W112" i="10"/>
  <c r="W119" i="10" s="1"/>
  <c r="X46" i="10"/>
  <c r="AD90" i="5" s="1"/>
  <c r="AF18" i="2"/>
  <c r="Y24" i="6"/>
  <c r="X29" i="10"/>
  <c r="X89" i="10"/>
  <c r="AP19" i="14"/>
  <c r="AE44" i="10"/>
  <c r="AD47" i="10"/>
  <c r="AJ97" i="5" s="1"/>
  <c r="AD48" i="10"/>
  <c r="AJ104" i="5" s="1"/>
  <c r="AI48" i="10"/>
  <c r="AO104" i="5" s="1"/>
  <c r="E64" i="10"/>
  <c r="AY234" i="3"/>
  <c r="AS232" i="3"/>
  <c r="AR231" i="3"/>
  <c r="AQ233" i="3"/>
  <c r="W24" i="6"/>
  <c r="AL28" i="3"/>
  <c r="AK31" i="3"/>
  <c r="R41" i="3"/>
  <c r="L80" i="10" s="1"/>
  <c r="S36" i="5"/>
  <c r="S38" i="5" s="1"/>
  <c r="AK37" i="3"/>
  <c r="AJ40" i="3"/>
  <c r="AJ46" i="3"/>
  <c r="AI49" i="3"/>
  <c r="AI46" i="5"/>
  <c r="AJ55" i="3"/>
  <c r="S50" i="3"/>
  <c r="M81" i="10" s="1"/>
  <c r="M122" i="10" s="1"/>
  <c r="M126" i="10" s="1"/>
  <c r="O24" i="14" s="1"/>
  <c r="O65" i="14" s="1"/>
  <c r="T41" i="5"/>
  <c r="T43" i="5" s="1"/>
  <c r="U50" i="5"/>
  <c r="R31" i="5"/>
  <c r="R33" i="5" s="1"/>
  <c r="Q32" i="3"/>
  <c r="K79" i="10" s="1"/>
  <c r="AL54" i="5"/>
  <c r="AM66" i="3"/>
  <c r="AR183" i="5"/>
  <c r="AR30" i="6" s="1"/>
  <c r="Y220" i="3"/>
  <c r="X185" i="5"/>
  <c r="X32" i="6" s="1"/>
  <c r="Y219" i="3"/>
  <c r="X184" i="5"/>
  <c r="X31" i="6" s="1"/>
  <c r="Y221" i="3"/>
  <c r="X186" i="5"/>
  <c r="X33" i="6" s="1"/>
  <c r="AS48" i="3"/>
  <c r="AR39" i="3"/>
  <c r="AT30" i="3"/>
  <c r="AN203" i="3"/>
  <c r="AN151" i="5"/>
  <c r="AP140" i="5"/>
  <c r="AP172" i="5" s="1"/>
  <c r="AP214" i="3"/>
  <c r="AG159" i="5"/>
  <c r="AH197" i="3"/>
  <c r="AH152" i="5" s="1"/>
  <c r="AO131" i="5"/>
  <c r="AO165" i="5" s="1"/>
  <c r="AO208" i="3"/>
  <c r="AO113" i="5"/>
  <c r="AO196" i="3"/>
  <c r="AG132" i="5"/>
  <c r="AK173" i="3"/>
  <c r="AK202" i="3" s="1"/>
  <c r="AK209" i="3" s="1"/>
  <c r="AK215" i="3" s="1"/>
  <c r="AK82" i="5"/>
  <c r="AF141" i="5"/>
  <c r="AI189" i="3"/>
  <c r="AI96" i="5"/>
  <c r="AI103" i="5" s="1"/>
  <c r="AI114" i="5" s="1"/>
  <c r="AH123" i="5"/>
  <c r="AP182" i="3"/>
  <c r="AJ181" i="3"/>
  <c r="AJ89" i="5"/>
  <c r="AQ190" i="3"/>
  <c r="AQ174" i="3"/>
  <c r="AQ122" i="5" s="1"/>
  <c r="AQ158" i="5" s="1"/>
  <c r="AP166" i="3"/>
  <c r="AJ115" i="3"/>
  <c r="AJ125" i="3" s="1"/>
  <c r="AL6" i="3"/>
  <c r="AL165" i="3" s="1"/>
  <c r="AK95" i="3"/>
  <c r="AK105" i="3" s="1"/>
  <c r="AI17" i="10" l="1"/>
  <c r="AJ48" i="10" s="1"/>
  <c r="AP104" i="5" s="1"/>
  <c r="AD35" i="10"/>
  <c r="AD90" i="10"/>
  <c r="AG121" i="10"/>
  <c r="AH121" i="10" s="1"/>
  <c r="E70" i="10" s="1"/>
  <c r="AH114" i="10"/>
  <c r="AN139" i="14"/>
  <c r="AM141" i="14"/>
  <c r="AM85" i="14" s="1"/>
  <c r="U21" i="6"/>
  <c r="AB16" i="2" s="1"/>
  <c r="U180" i="5"/>
  <c r="R126" i="10"/>
  <c r="T24" i="14" s="1"/>
  <c r="T65" i="14" s="1"/>
  <c r="V20" i="10"/>
  <c r="T14" i="10"/>
  <c r="D61" i="10" s="1"/>
  <c r="Z83" i="5"/>
  <c r="U45" i="10"/>
  <c r="AA83" i="5" s="1"/>
  <c r="AA106" i="5" s="1"/>
  <c r="AJ41" i="10"/>
  <c r="AK38" i="10" s="1"/>
  <c r="AJ91" i="10"/>
  <c r="Y26" i="10"/>
  <c r="X15" i="10"/>
  <c r="S122" i="10"/>
  <c r="S115" i="10"/>
  <c r="AF48" i="2"/>
  <c r="AF19" i="2"/>
  <c r="AQ19" i="14"/>
  <c r="AF44" i="10"/>
  <c r="AE48" i="10"/>
  <c r="AZ234" i="3"/>
  <c r="AS231" i="3"/>
  <c r="AT232" i="3"/>
  <c r="AR233" i="3"/>
  <c r="AN66" i="3"/>
  <c r="E57" i="10" s="1"/>
  <c r="AM54" i="5"/>
  <c r="T50" i="5"/>
  <c r="T21" i="6" s="1"/>
  <c r="AA16" i="2" s="1"/>
  <c r="AA46" i="2" s="1"/>
  <c r="S41" i="5"/>
  <c r="S43" i="5" s="1"/>
  <c r="R50" i="3"/>
  <c r="L81" i="10" s="1"/>
  <c r="L122" i="10" s="1"/>
  <c r="L126" i="10" s="1"/>
  <c r="N24" i="14" s="1"/>
  <c r="N65" i="14" s="1"/>
  <c r="AK46" i="3"/>
  <c r="AJ49" i="3"/>
  <c r="R36" i="5"/>
  <c r="R38" i="5" s="1"/>
  <c r="Q41" i="3"/>
  <c r="K80" i="10" s="1"/>
  <c r="Q31" i="5"/>
  <c r="Q33" i="5" s="1"/>
  <c r="AJ46" i="5"/>
  <c r="AK55" i="3"/>
  <c r="AL37" i="3"/>
  <c r="AK40" i="3"/>
  <c r="AM28" i="3"/>
  <c r="AL31" i="3"/>
  <c r="AS183" i="5"/>
  <c r="AS30" i="6" s="1"/>
  <c r="Z219" i="3"/>
  <c r="Z184" i="5" s="1"/>
  <c r="Z31" i="6" s="1"/>
  <c r="Y184" i="5"/>
  <c r="Y31" i="6" s="1"/>
  <c r="Z221" i="3"/>
  <c r="Z186" i="5" s="1"/>
  <c r="Z33" i="6" s="1"/>
  <c r="Y186" i="5"/>
  <c r="Y33" i="6" s="1"/>
  <c r="Z220" i="3"/>
  <c r="Z185" i="5" s="1"/>
  <c r="Z32" i="6" s="1"/>
  <c r="Y185" i="5"/>
  <c r="Y32" i="6" s="1"/>
  <c r="AT48" i="3"/>
  <c r="AU30" i="3"/>
  <c r="AS39" i="3"/>
  <c r="AQ140" i="5"/>
  <c r="AQ172" i="5" s="1"/>
  <c r="AQ214" i="3"/>
  <c r="AG166" i="5"/>
  <c r="AO203" i="3"/>
  <c r="AO151" i="5"/>
  <c r="AH159" i="5"/>
  <c r="AP131" i="5"/>
  <c r="AP165" i="5" s="1"/>
  <c r="AP208" i="3"/>
  <c r="AI197" i="3"/>
  <c r="AI152" i="5" s="1"/>
  <c r="AP113" i="5"/>
  <c r="AP196" i="3"/>
  <c r="AL173" i="3"/>
  <c r="AL202" i="3" s="1"/>
  <c r="AL209" i="3" s="1"/>
  <c r="AL215" i="3" s="1"/>
  <c r="AL82" i="5"/>
  <c r="AQ182" i="3"/>
  <c r="AH132" i="5"/>
  <c r="AG141" i="5"/>
  <c r="AI123" i="5"/>
  <c r="AJ189" i="3"/>
  <c r="AJ96" i="5"/>
  <c r="AJ103" i="5" s="1"/>
  <c r="AJ114" i="5" s="1"/>
  <c r="AK181" i="3"/>
  <c r="AK89" i="5"/>
  <c r="AR190" i="3"/>
  <c r="AR174" i="3"/>
  <c r="AR122" i="5" s="1"/>
  <c r="AR158" i="5" s="1"/>
  <c r="AK115" i="3"/>
  <c r="AK125" i="3" s="1"/>
  <c r="AQ166" i="3"/>
  <c r="AM6" i="3"/>
  <c r="AL95" i="3"/>
  <c r="AL105" i="3" s="1"/>
  <c r="AI114" i="10" l="1"/>
  <c r="AI121" i="10" s="1"/>
  <c r="AD16" i="10"/>
  <c r="AE32" i="10"/>
  <c r="AO139" i="14"/>
  <c r="AN141" i="14"/>
  <c r="AN85" i="14" s="1"/>
  <c r="AB46" i="2"/>
  <c r="AB19" i="2"/>
  <c r="AJ17" i="10"/>
  <c r="AJ114" i="10" s="1"/>
  <c r="AJ121" i="10" s="1"/>
  <c r="S124" i="10"/>
  <c r="S125" i="10"/>
  <c r="S123" i="10"/>
  <c r="T111" i="10"/>
  <c r="V45" i="10"/>
  <c r="AB83" i="5" s="1"/>
  <c r="AK41" i="10"/>
  <c r="AL38" i="10" s="1"/>
  <c r="AK91" i="10"/>
  <c r="V23" i="10"/>
  <c r="V88" i="10"/>
  <c r="X112" i="10"/>
  <c r="X119" i="10" s="1"/>
  <c r="Y46" i="10"/>
  <c r="AE90" i="5" s="1"/>
  <c r="Y29" i="10"/>
  <c r="Y89" i="10"/>
  <c r="AR19" i="14"/>
  <c r="AK104" i="5"/>
  <c r="AG44" i="10"/>
  <c r="AF48" i="10"/>
  <c r="AL104" i="5" s="1"/>
  <c r="BA234" i="3"/>
  <c r="AU232" i="3"/>
  <c r="AT231" i="3"/>
  <c r="AS233" i="3"/>
  <c r="U24" i="6"/>
  <c r="S50" i="5"/>
  <c r="AM31" i="3"/>
  <c r="AN28" i="3"/>
  <c r="AK46" i="5"/>
  <c r="AL55" i="3"/>
  <c r="P31" i="5"/>
  <c r="P33" i="5" s="1"/>
  <c r="C32" i="7" s="1"/>
  <c r="AK49" i="3"/>
  <c r="AL46" i="3"/>
  <c r="AM37" i="3"/>
  <c r="AL40" i="3"/>
  <c r="Q36" i="5"/>
  <c r="Q38" i="5" s="1"/>
  <c r="Q50" i="3"/>
  <c r="K81" i="10" s="1"/>
  <c r="K122" i="10" s="1"/>
  <c r="K126" i="10" s="1"/>
  <c r="M24" i="14" s="1"/>
  <c r="M65" i="14" s="1"/>
  <c r="R41" i="5"/>
  <c r="R43" i="5" s="1"/>
  <c r="AO66" i="3"/>
  <c r="AN54" i="5"/>
  <c r="AT183" i="5"/>
  <c r="AT30" i="6" s="1"/>
  <c r="AM165" i="3"/>
  <c r="AM82" i="5" s="1"/>
  <c r="AB220" i="3"/>
  <c r="AB221" i="3"/>
  <c r="AB219" i="3"/>
  <c r="AU48" i="3"/>
  <c r="AT39" i="3"/>
  <c r="AV30" i="3"/>
  <c r="AG173" i="5"/>
  <c r="AI159" i="5"/>
  <c r="AH166" i="5"/>
  <c r="AH173" i="5" s="1"/>
  <c r="AR140" i="5"/>
  <c r="AR172" i="5" s="1"/>
  <c r="AR214" i="3"/>
  <c r="AP203" i="3"/>
  <c r="AP151" i="5"/>
  <c r="AJ197" i="3"/>
  <c r="AJ152" i="5" s="1"/>
  <c r="AQ131" i="5"/>
  <c r="AQ165" i="5" s="1"/>
  <c r="AQ208" i="3"/>
  <c r="AQ113" i="5"/>
  <c r="AQ196" i="3"/>
  <c r="AJ123" i="5"/>
  <c r="AH141" i="5"/>
  <c r="AK189" i="3"/>
  <c r="AK96" i="5"/>
  <c r="AK103" i="5" s="1"/>
  <c r="AK114" i="5" s="1"/>
  <c r="AI132" i="5"/>
  <c r="AR182" i="3"/>
  <c r="AL181" i="3"/>
  <c r="AL89" i="5"/>
  <c r="AS190" i="3"/>
  <c r="AS174" i="3"/>
  <c r="AS122" i="5" s="1"/>
  <c r="AS158" i="5" s="1"/>
  <c r="AL115" i="3"/>
  <c r="AL125" i="3" s="1"/>
  <c r="AR166" i="3"/>
  <c r="AO6" i="3"/>
  <c r="AM95" i="3"/>
  <c r="AK48" i="10" l="1"/>
  <c r="AQ104" i="5" s="1"/>
  <c r="AE35" i="10"/>
  <c r="AE90" i="10"/>
  <c r="AD113" i="10"/>
  <c r="AD120" i="10" s="1"/>
  <c r="AE47" i="10"/>
  <c r="AK97" i="5" s="1"/>
  <c r="T118" i="10"/>
  <c r="U111" i="10"/>
  <c r="U115" i="10" s="1"/>
  <c r="AO141" i="14"/>
  <c r="AO85" i="14" s="1"/>
  <c r="AP139" i="14"/>
  <c r="S21" i="6"/>
  <c r="Z16" i="2" s="1"/>
  <c r="S180" i="5"/>
  <c r="S126" i="10"/>
  <c r="U24" i="14" s="1"/>
  <c r="U65" i="14" s="1"/>
  <c r="AK17" i="10"/>
  <c r="AK114" i="10" s="1"/>
  <c r="AK121" i="10" s="1"/>
  <c r="AL41" i="10"/>
  <c r="AM38" i="10" s="1"/>
  <c r="AL91" i="10"/>
  <c r="Y15" i="10"/>
  <c r="Z26" i="10"/>
  <c r="T115" i="10"/>
  <c r="V14" i="10"/>
  <c r="W20" i="10"/>
  <c r="D65" i="10"/>
  <c r="AS19" i="14"/>
  <c r="AH44" i="10"/>
  <c r="AG48" i="10"/>
  <c r="AM104" i="5" s="1"/>
  <c r="BB234" i="3"/>
  <c r="AU231" i="3"/>
  <c r="AV232" i="3"/>
  <c r="AT233" i="3"/>
  <c r="AP66" i="3"/>
  <c r="AO54" i="5"/>
  <c r="P36" i="5"/>
  <c r="P38" i="5" s="1"/>
  <c r="O36" i="5"/>
  <c r="D32" i="7"/>
  <c r="R50" i="5"/>
  <c r="AM46" i="3"/>
  <c r="AL49" i="3"/>
  <c r="AL46" i="5"/>
  <c r="AM55" i="3"/>
  <c r="AN31" i="3"/>
  <c r="AN32" i="3" s="1"/>
  <c r="AO28" i="3"/>
  <c r="Q41" i="5"/>
  <c r="Q43" i="5" s="1"/>
  <c r="AN37" i="3"/>
  <c r="AM40" i="3"/>
  <c r="AU183" i="5"/>
  <c r="AU30" i="6" s="1"/>
  <c r="AN165" i="3"/>
  <c r="AC220" i="3"/>
  <c r="AB185" i="5"/>
  <c r="AB32" i="6" s="1"/>
  <c r="AM173" i="3"/>
  <c r="AM202" i="3" s="1"/>
  <c r="AM209" i="3" s="1"/>
  <c r="AM215" i="3" s="1"/>
  <c r="AC219" i="3"/>
  <c r="AB184" i="5"/>
  <c r="AB31" i="6" s="1"/>
  <c r="AC221" i="3"/>
  <c r="AB186" i="5"/>
  <c r="AB33" i="6" s="1"/>
  <c r="AO165" i="3"/>
  <c r="AO82" i="5" s="1"/>
  <c r="AV48" i="3"/>
  <c r="AW30" i="3"/>
  <c r="AU39" i="3"/>
  <c r="AJ159" i="5"/>
  <c r="AQ203" i="3"/>
  <c r="AQ151" i="5"/>
  <c r="AI166" i="5"/>
  <c r="AS140" i="5"/>
  <c r="AS172" i="5" s="1"/>
  <c r="AS214" i="3"/>
  <c r="AR131" i="5"/>
  <c r="AR165" i="5" s="1"/>
  <c r="AR208" i="3"/>
  <c r="AK197" i="3"/>
  <c r="AK152" i="5" s="1"/>
  <c r="AK159" i="5" s="1"/>
  <c r="AK166" i="5" s="1"/>
  <c r="AK173" i="5" s="1"/>
  <c r="AR113" i="5"/>
  <c r="AR196" i="3"/>
  <c r="AN173" i="3"/>
  <c r="AN202" i="3" s="1"/>
  <c r="AN209" i="3" s="1"/>
  <c r="AN215" i="3" s="1"/>
  <c r="AN82" i="5"/>
  <c r="AL189" i="3"/>
  <c r="AL96" i="5"/>
  <c r="AL103" i="5" s="1"/>
  <c r="AL114" i="5" s="1"/>
  <c r="AJ132" i="5"/>
  <c r="AO173" i="3"/>
  <c r="AO202" i="3" s="1"/>
  <c r="AO209" i="3" s="1"/>
  <c r="AO215" i="3" s="1"/>
  <c r="AI141" i="5"/>
  <c r="AS182" i="3"/>
  <c r="AK123" i="5"/>
  <c r="AT190" i="3"/>
  <c r="AT174" i="3"/>
  <c r="AT122" i="5" s="1"/>
  <c r="AT158" i="5" s="1"/>
  <c r="AS166" i="3"/>
  <c r="AN95" i="3"/>
  <c r="AN105" i="3" s="1"/>
  <c r="AM105" i="3"/>
  <c r="AP6" i="3"/>
  <c r="AP165" i="3" s="1"/>
  <c r="AO95" i="3"/>
  <c r="AO105" i="3" s="1"/>
  <c r="AL48" i="10" l="1"/>
  <c r="AR104" i="5" s="1"/>
  <c r="AF32" i="10"/>
  <c r="AE16" i="10"/>
  <c r="AP141" i="14"/>
  <c r="AP85" i="14" s="1"/>
  <c r="AQ139" i="14"/>
  <c r="AH79" i="10"/>
  <c r="R21" i="6"/>
  <c r="Y16" i="2" s="1"/>
  <c r="R180" i="5"/>
  <c r="Z46" i="2"/>
  <c r="Z19" i="2"/>
  <c r="AL17" i="10"/>
  <c r="AM48" i="10" s="1"/>
  <c r="AS104" i="5" s="1"/>
  <c r="AM41" i="10"/>
  <c r="AN38" i="10" s="1"/>
  <c r="AM91" i="10"/>
  <c r="T123" i="10"/>
  <c r="U123" i="10" s="1"/>
  <c r="T125" i="10"/>
  <c r="U125" i="10" s="1"/>
  <c r="T124" i="10"/>
  <c r="U124" i="10" s="1"/>
  <c r="W23" i="10"/>
  <c r="W88" i="10"/>
  <c r="U118" i="10"/>
  <c r="T122" i="10"/>
  <c r="V111" i="10"/>
  <c r="V118" i="10" s="1"/>
  <c r="W45" i="10"/>
  <c r="AC83" i="5" s="1"/>
  <c r="Z29" i="10"/>
  <c r="Z89" i="10"/>
  <c r="D74" i="10"/>
  <c r="D72" i="10"/>
  <c r="Y112" i="10"/>
  <c r="Y119" i="10" s="1"/>
  <c r="Z46" i="10"/>
  <c r="AF90" i="5" s="1"/>
  <c r="C43" i="7"/>
  <c r="D43" i="7" s="1"/>
  <c r="AT19" i="14"/>
  <c r="AH48" i="10"/>
  <c r="AN104" i="5" s="1"/>
  <c r="BC234" i="3"/>
  <c r="AW232" i="3"/>
  <c r="AV231" i="3"/>
  <c r="AU233" i="3"/>
  <c r="S24" i="6"/>
  <c r="AQ66" i="3"/>
  <c r="AP54" i="5"/>
  <c r="AN40" i="3"/>
  <c r="AN41" i="3" s="1"/>
  <c r="AO37" i="3"/>
  <c r="AP28" i="3"/>
  <c r="AO31" i="3"/>
  <c r="Q50" i="5"/>
  <c r="AM32" i="3"/>
  <c r="AG79" i="10" s="1"/>
  <c r="AN31" i="5"/>
  <c r="AM49" i="3"/>
  <c r="AN46" i="3"/>
  <c r="P41" i="5"/>
  <c r="P43" i="5" s="1"/>
  <c r="C54" i="7" s="1"/>
  <c r="O41" i="5"/>
  <c r="AM46" i="5"/>
  <c r="AN55" i="3"/>
  <c r="AV183" i="5"/>
  <c r="AV30" i="6" s="1"/>
  <c r="AM89" i="5"/>
  <c r="AD219" i="3"/>
  <c r="AC184" i="5"/>
  <c r="AC31" i="6" s="1"/>
  <c r="AM181" i="3"/>
  <c r="AM189" i="3" s="1"/>
  <c r="AD221" i="3"/>
  <c r="AC186" i="5"/>
  <c r="AC33" i="6" s="1"/>
  <c r="AD220" i="3"/>
  <c r="AC185" i="5"/>
  <c r="AC32" i="6" s="1"/>
  <c r="AW48" i="3"/>
  <c r="AV39" i="3"/>
  <c r="AX30" i="3"/>
  <c r="AR203" i="3"/>
  <c r="AR151" i="5"/>
  <c r="AT140" i="5"/>
  <c r="AT172" i="5" s="1"/>
  <c r="AT214" i="3"/>
  <c r="AI173" i="5"/>
  <c r="AJ166" i="5"/>
  <c r="AS131" i="5"/>
  <c r="AS165" i="5" s="1"/>
  <c r="AS208" i="3"/>
  <c r="AL197" i="3"/>
  <c r="AL152" i="5" s="1"/>
  <c r="AL159" i="5" s="1"/>
  <c r="AL166" i="5" s="1"/>
  <c r="AL173" i="5" s="1"/>
  <c r="AS113" i="5"/>
  <c r="AS196" i="3"/>
  <c r="AL123" i="5"/>
  <c r="AP173" i="3"/>
  <c r="AP202" i="3" s="1"/>
  <c r="AP209" i="3" s="1"/>
  <c r="AP215" i="3" s="1"/>
  <c r="AP82" i="5"/>
  <c r="AT182" i="3"/>
  <c r="AK132" i="5"/>
  <c r="AO181" i="3"/>
  <c r="AO89" i="5"/>
  <c r="AJ141" i="5"/>
  <c r="AN181" i="3"/>
  <c r="AN89" i="5"/>
  <c r="AU190" i="3"/>
  <c r="AU174" i="3"/>
  <c r="AU122" i="5" s="1"/>
  <c r="AU158" i="5" s="1"/>
  <c r="AM115" i="3"/>
  <c r="AM125" i="3" s="1"/>
  <c r="AT166" i="3"/>
  <c r="AO115" i="3"/>
  <c r="AO125" i="3" s="1"/>
  <c r="AN115" i="3"/>
  <c r="AN125" i="3" s="1"/>
  <c r="AQ6" i="3"/>
  <c r="AP95" i="3"/>
  <c r="AP105" i="3" s="1"/>
  <c r="AL114" i="10" l="1"/>
  <c r="AL121" i="10" s="1"/>
  <c r="AM17" i="10"/>
  <c r="AM114" i="10" s="1"/>
  <c r="AM121" i="10" s="1"/>
  <c r="AE113" i="10"/>
  <c r="AE120" i="10" s="1"/>
  <c r="AF47" i="10"/>
  <c r="AF35" i="10"/>
  <c r="AF90" i="10"/>
  <c r="AQ141" i="14"/>
  <c r="AQ85" i="14" s="1"/>
  <c r="AR139" i="14"/>
  <c r="AH80" i="10"/>
  <c r="U122" i="10"/>
  <c r="U126" i="10" s="1"/>
  <c r="D67" i="10"/>
  <c r="D71" i="10" s="1"/>
  <c r="D75" i="10" s="1"/>
  <c r="K136" i="6" s="1"/>
  <c r="Q21" i="6"/>
  <c r="X16" i="2" s="1"/>
  <c r="X46" i="2" s="1"/>
  <c r="Q180" i="5"/>
  <c r="Y46" i="2"/>
  <c r="Y19" i="2"/>
  <c r="V115" i="10"/>
  <c r="AN41" i="10"/>
  <c r="AN17" i="10" s="1"/>
  <c r="AN91" i="10"/>
  <c r="X20" i="10"/>
  <c r="W14" i="10"/>
  <c r="AA26" i="10"/>
  <c r="Z15" i="10"/>
  <c r="T126" i="10"/>
  <c r="V24" i="14" s="1"/>
  <c r="V65" i="14" s="1"/>
  <c r="AN48" i="10"/>
  <c r="AT104" i="5" s="1"/>
  <c r="BD234" i="3"/>
  <c r="AW231" i="3"/>
  <c r="AX232" i="3"/>
  <c r="AV233" i="3"/>
  <c r="R24" i="6"/>
  <c r="P50" i="5"/>
  <c r="AO55" i="3"/>
  <c r="AL32" i="3"/>
  <c r="AF79" i="10" s="1"/>
  <c r="AM31" i="5"/>
  <c r="AQ28" i="3"/>
  <c r="AP31" i="3"/>
  <c r="AR66" i="3"/>
  <c r="AQ54" i="5"/>
  <c r="AN49" i="3"/>
  <c r="AN50" i="3" s="1"/>
  <c r="AO46" i="3"/>
  <c r="AP37" i="3"/>
  <c r="AO40" i="3"/>
  <c r="AN36" i="5"/>
  <c r="AM41" i="3"/>
  <c r="AG80" i="10" s="1"/>
  <c r="AW183" i="5"/>
  <c r="AW30" i="6" s="1"/>
  <c r="AM96" i="5"/>
  <c r="AM103" i="5" s="1"/>
  <c r="AM114" i="5" s="1"/>
  <c r="AM123" i="5" s="1"/>
  <c r="AE219" i="3"/>
  <c r="AD184" i="5"/>
  <c r="AD31" i="6" s="1"/>
  <c r="AE220" i="3"/>
  <c r="AD185" i="5"/>
  <c r="AD32" i="6" s="1"/>
  <c r="AE221" i="3"/>
  <c r="AD186" i="5"/>
  <c r="AD33" i="6" s="1"/>
  <c r="AQ165" i="3"/>
  <c r="AQ82" i="5" s="1"/>
  <c r="AX48" i="3"/>
  <c r="AY30" i="3"/>
  <c r="AW39" i="3"/>
  <c r="AJ173" i="5"/>
  <c r="AS203" i="3"/>
  <c r="AS151" i="5"/>
  <c r="AU140" i="5"/>
  <c r="AU172" i="5" s="1"/>
  <c r="AU214" i="3"/>
  <c r="AM197" i="3"/>
  <c r="AM152" i="5" s="1"/>
  <c r="AT131" i="5"/>
  <c r="AT165" i="5" s="1"/>
  <c r="AT208" i="3"/>
  <c r="AT113" i="5"/>
  <c r="AT196" i="3"/>
  <c r="AL132" i="5"/>
  <c r="AK141" i="5"/>
  <c r="AU182" i="3"/>
  <c r="AP181" i="3"/>
  <c r="AP89" i="5"/>
  <c r="AN189" i="3"/>
  <c r="AN96" i="5"/>
  <c r="AN103" i="5" s="1"/>
  <c r="AN114" i="5" s="1"/>
  <c r="AO189" i="3"/>
  <c r="AO96" i="5"/>
  <c r="AO103" i="5" s="1"/>
  <c r="AO114" i="5" s="1"/>
  <c r="AV190" i="3"/>
  <c r="AV174" i="3"/>
  <c r="AV122" i="5" s="1"/>
  <c r="AV158" i="5" s="1"/>
  <c r="AP115" i="3"/>
  <c r="AP125" i="3" s="1"/>
  <c r="AU166" i="3"/>
  <c r="AR6" i="3"/>
  <c r="AQ95" i="3"/>
  <c r="AQ105" i="3" s="1"/>
  <c r="AO38" i="10" l="1"/>
  <c r="AG32" i="10"/>
  <c r="AF16" i="10"/>
  <c r="AL97" i="5"/>
  <c r="AS139" i="14"/>
  <c r="AR141" i="14"/>
  <c r="AR85" i="14" s="1"/>
  <c r="AH81" i="10"/>
  <c r="W111" i="10"/>
  <c r="W118" i="10" s="1"/>
  <c r="X45" i="10"/>
  <c r="V123" i="10"/>
  <c r="V124" i="10"/>
  <c r="V125" i="10"/>
  <c r="Z112" i="10"/>
  <c r="Z119" i="10" s="1"/>
  <c r="AA46" i="10"/>
  <c r="X23" i="10"/>
  <c r="X88" i="10"/>
  <c r="AA29" i="10"/>
  <c r="AA89" i="10"/>
  <c r="AO41" i="10"/>
  <c r="AP38" i="10" s="1"/>
  <c r="AO91" i="10"/>
  <c r="AO48" i="10"/>
  <c r="AU104" i="5" s="1"/>
  <c r="AN114" i="10"/>
  <c r="AN121" i="10" s="1"/>
  <c r="P21" i="6"/>
  <c r="W16" i="2" s="1"/>
  <c r="W46" i="2" s="1"/>
  <c r="P180" i="5"/>
  <c r="BE234" i="3"/>
  <c r="AY232" i="3"/>
  <c r="AX231" i="3"/>
  <c r="AW233" i="3"/>
  <c r="Q24" i="6"/>
  <c r="AL41" i="3"/>
  <c r="AF80" i="10" s="1"/>
  <c r="AM36" i="5"/>
  <c r="AP46" i="3"/>
  <c r="AO49" i="3"/>
  <c r="AM50" i="3"/>
  <c r="AG81" i="10" s="1"/>
  <c r="AN41" i="5"/>
  <c r="AR54" i="5"/>
  <c r="AS66" i="3"/>
  <c r="AK32" i="3"/>
  <c r="AE79" i="10" s="1"/>
  <c r="AL31" i="5"/>
  <c r="AO46" i="5"/>
  <c r="AP55" i="3"/>
  <c r="AQ37" i="3"/>
  <c r="AP40" i="3"/>
  <c r="AR28" i="3"/>
  <c r="AQ31" i="3"/>
  <c r="D54" i="7"/>
  <c r="AX183" i="5"/>
  <c r="AX30" i="6" s="1"/>
  <c r="AQ173" i="3"/>
  <c r="AQ202" i="3" s="1"/>
  <c r="AQ209" i="3" s="1"/>
  <c r="AQ215" i="3" s="1"/>
  <c r="AF221" i="3"/>
  <c r="AE186" i="5"/>
  <c r="AE33" i="6" s="1"/>
  <c r="AF220" i="3"/>
  <c r="AE185" i="5"/>
  <c r="AE32" i="6" s="1"/>
  <c r="AF219" i="3"/>
  <c r="AE184" i="5"/>
  <c r="AE31" i="6" s="1"/>
  <c r="AR165" i="3"/>
  <c r="AR82" i="5" s="1"/>
  <c r="AY48" i="3"/>
  <c r="AX39" i="3"/>
  <c r="AZ30" i="3"/>
  <c r="AM159" i="5"/>
  <c r="AT203" i="3"/>
  <c r="AT151" i="5"/>
  <c r="AV140" i="5"/>
  <c r="AV172" i="5" s="1"/>
  <c r="AV214" i="3"/>
  <c r="AN197" i="3"/>
  <c r="AN152" i="5" s="1"/>
  <c r="AO197" i="3"/>
  <c r="AO152" i="5" s="1"/>
  <c r="AU131" i="5"/>
  <c r="AU165" i="5" s="1"/>
  <c r="AU208" i="3"/>
  <c r="AU113" i="5"/>
  <c r="AU196" i="3"/>
  <c r="AV182" i="3"/>
  <c r="AN123" i="5"/>
  <c r="AP189" i="3"/>
  <c r="AP96" i="5"/>
  <c r="AP103" i="5" s="1"/>
  <c r="AP114" i="5" s="1"/>
  <c r="AM132" i="5"/>
  <c r="AO123" i="5"/>
  <c r="AL141" i="5"/>
  <c r="AW190" i="3"/>
  <c r="AW174" i="3"/>
  <c r="AW122" i="5" s="1"/>
  <c r="AW158" i="5" s="1"/>
  <c r="AQ115" i="3"/>
  <c r="AQ125" i="3" s="1"/>
  <c r="AV166" i="3"/>
  <c r="AS6" i="3"/>
  <c r="AS165" i="3" s="1"/>
  <c r="AR95" i="3"/>
  <c r="AR105" i="3" s="1"/>
  <c r="AF113" i="10" l="1"/>
  <c r="AF120" i="10" s="1"/>
  <c r="AG47" i="10"/>
  <c r="AG35" i="10"/>
  <c r="AG90" i="10"/>
  <c r="AH90" i="10" s="1"/>
  <c r="AS141" i="14"/>
  <c r="AS85" i="14" s="1"/>
  <c r="AT139" i="14"/>
  <c r="AT141" i="14" s="1"/>
  <c r="AT85" i="14" s="1"/>
  <c r="AP41" i="10"/>
  <c r="AP17" i="10" s="1"/>
  <c r="AP91" i="10"/>
  <c r="AA15" i="10"/>
  <c r="AB26" i="10"/>
  <c r="AG90" i="5"/>
  <c r="AO17" i="10"/>
  <c r="AP48" i="10" s="1"/>
  <c r="AV104" i="5" s="1"/>
  <c r="AD83" i="5"/>
  <c r="X14" i="10"/>
  <c r="Y20" i="10"/>
  <c r="W115" i="10"/>
  <c r="AR173" i="3"/>
  <c r="AR202" i="3" s="1"/>
  <c r="AR209" i="3" s="1"/>
  <c r="AR215" i="3" s="1"/>
  <c r="AQ89" i="5"/>
  <c r="AQ181" i="3"/>
  <c r="AQ189" i="3" s="1"/>
  <c r="BF234" i="3"/>
  <c r="AY231" i="3"/>
  <c r="AZ232" i="3"/>
  <c r="AX233" i="3"/>
  <c r="AK41" i="3"/>
  <c r="AE80" i="10" s="1"/>
  <c r="AL36" i="5"/>
  <c r="AQ40" i="3"/>
  <c r="AR37" i="3"/>
  <c r="AJ32" i="3"/>
  <c r="AD79" i="10" s="1"/>
  <c r="AK31" i="5"/>
  <c r="AL50" i="3"/>
  <c r="AF81" i="10" s="1"/>
  <c r="AM41" i="5"/>
  <c r="AP46" i="5"/>
  <c r="AQ55" i="3"/>
  <c r="AT66" i="3"/>
  <c r="AS54" i="5"/>
  <c r="AQ46" i="3"/>
  <c r="AP49" i="3"/>
  <c r="AR31" i="3"/>
  <c r="AS28" i="3"/>
  <c r="AY183" i="5"/>
  <c r="AY30" i="6" s="1"/>
  <c r="AG219" i="3"/>
  <c r="AF184" i="5"/>
  <c r="AF31" i="6" s="1"/>
  <c r="AG221" i="3"/>
  <c r="AF186" i="5"/>
  <c r="AF33" i="6" s="1"/>
  <c r="AG220" i="3"/>
  <c r="AF185" i="5"/>
  <c r="AF32" i="6" s="1"/>
  <c r="AZ48" i="3"/>
  <c r="AY39" i="3"/>
  <c r="BA30" i="3"/>
  <c r="AU203" i="3"/>
  <c r="AU151" i="5"/>
  <c r="AW140" i="5"/>
  <c r="AW172" i="5" s="1"/>
  <c r="AW214" i="3"/>
  <c r="AN159" i="5"/>
  <c r="AO159" i="5"/>
  <c r="AO166" i="5" s="1"/>
  <c r="AO173" i="5" s="1"/>
  <c r="AM166" i="5"/>
  <c r="AP197" i="3"/>
  <c r="AP152" i="5" s="1"/>
  <c r="AV131" i="5"/>
  <c r="AV165" i="5" s="1"/>
  <c r="AV208" i="3"/>
  <c r="AV113" i="5"/>
  <c r="AV196" i="3"/>
  <c r="AN132" i="5"/>
  <c r="AO132" i="5"/>
  <c r="AM141" i="5"/>
  <c r="AR181" i="3"/>
  <c r="AR89" i="5"/>
  <c r="AS173" i="3"/>
  <c r="AS202" i="3" s="1"/>
  <c r="AS209" i="3" s="1"/>
  <c r="AS215" i="3" s="1"/>
  <c r="AS82" i="5"/>
  <c r="AP123" i="5"/>
  <c r="AW182" i="3"/>
  <c r="AX190" i="3"/>
  <c r="AX174" i="3"/>
  <c r="AX122" i="5" s="1"/>
  <c r="AX158" i="5" s="1"/>
  <c r="AW166" i="3"/>
  <c r="AR115" i="3"/>
  <c r="AR125" i="3" s="1"/>
  <c r="AT6" i="3"/>
  <c r="AS95" i="3"/>
  <c r="AS105" i="3" s="1"/>
  <c r="AQ96" i="5" l="1"/>
  <c r="AQ103" i="5" s="1"/>
  <c r="AQ114" i="5" s="1"/>
  <c r="AQ38" i="10"/>
  <c r="AQ91" i="10" s="1"/>
  <c r="AM97" i="5"/>
  <c r="AH47" i="10"/>
  <c r="AN97" i="5" s="1"/>
  <c r="AI32" i="10"/>
  <c r="AG16" i="10"/>
  <c r="Y23" i="10"/>
  <c r="Y88" i="10"/>
  <c r="X111" i="10"/>
  <c r="X118" i="10" s="1"/>
  <c r="Y45" i="10"/>
  <c r="AB29" i="10"/>
  <c r="AB89" i="10"/>
  <c r="AO114" i="10"/>
  <c r="AO121" i="10" s="1"/>
  <c r="W124" i="10"/>
  <c r="W125" i="10"/>
  <c r="W123" i="10"/>
  <c r="AA112" i="10"/>
  <c r="AA119" i="10" s="1"/>
  <c r="AB46" i="10"/>
  <c r="AQ48" i="10"/>
  <c r="AW104" i="5" s="1"/>
  <c r="AP114" i="10"/>
  <c r="AP121" i="10" s="1"/>
  <c r="BG234" i="3"/>
  <c r="BA232" i="3"/>
  <c r="AZ231" i="3"/>
  <c r="AY233" i="3"/>
  <c r="BB152" i="6"/>
  <c r="M154" i="6"/>
  <c r="M104" i="6" s="1"/>
  <c r="BD109" i="6" s="1"/>
  <c r="AR46" i="3"/>
  <c r="AQ49" i="3"/>
  <c r="AJ31" i="5"/>
  <c r="AI32" i="3"/>
  <c r="AC79" i="10" s="1"/>
  <c r="AK36" i="5"/>
  <c r="AJ41" i="3"/>
  <c r="AD80" i="10" s="1"/>
  <c r="AT28" i="3"/>
  <c r="AS31" i="3"/>
  <c r="AS37" i="3"/>
  <c r="AR40" i="3"/>
  <c r="AU66" i="3"/>
  <c r="AT54" i="5"/>
  <c r="AK50" i="3"/>
  <c r="AE81" i="10" s="1"/>
  <c r="AL41" i="5"/>
  <c r="AQ46" i="5"/>
  <c r="AR55" i="3"/>
  <c r="AZ183" i="5"/>
  <c r="AZ30" i="6" s="1"/>
  <c r="AH221" i="3"/>
  <c r="AG186" i="5"/>
  <c r="AG33" i="6" s="1"/>
  <c r="AH219" i="3"/>
  <c r="AG184" i="5"/>
  <c r="AG31" i="6" s="1"/>
  <c r="AH220" i="3"/>
  <c r="AG185" i="5"/>
  <c r="AG32" i="6" s="1"/>
  <c r="AT165" i="3"/>
  <c r="AT173" i="3" s="1"/>
  <c r="AT202" i="3" s="1"/>
  <c r="AT209" i="3" s="1"/>
  <c r="AT215" i="3" s="1"/>
  <c r="BA48" i="3"/>
  <c r="AZ39" i="3"/>
  <c r="BB30" i="3"/>
  <c r="AX140" i="5"/>
  <c r="AX172" i="5" s="1"/>
  <c r="AX214" i="3"/>
  <c r="AV203" i="3"/>
  <c r="AV151" i="5"/>
  <c r="AP159" i="5"/>
  <c r="AM173" i="5"/>
  <c r="AN166" i="5"/>
  <c r="AN173" i="5" s="1"/>
  <c r="AW131" i="5"/>
  <c r="AW165" i="5" s="1"/>
  <c r="AW208" i="3"/>
  <c r="AQ197" i="3"/>
  <c r="AQ152" i="5" s="1"/>
  <c r="AW113" i="5"/>
  <c r="AW196" i="3"/>
  <c r="AS181" i="3"/>
  <c r="AS89" i="5"/>
  <c r="AR189" i="3"/>
  <c r="AR96" i="5"/>
  <c r="AR103" i="5" s="1"/>
  <c r="AR114" i="5" s="1"/>
  <c r="AQ123" i="5"/>
  <c r="AP132" i="5"/>
  <c r="AO141" i="5"/>
  <c r="AX182" i="3"/>
  <c r="AN141" i="5"/>
  <c r="AY190" i="3"/>
  <c r="AY174" i="3"/>
  <c r="AY122" i="5" s="1"/>
  <c r="AY158" i="5" s="1"/>
  <c r="AS115" i="3"/>
  <c r="AS125" i="3" s="1"/>
  <c r="AX166" i="3"/>
  <c r="AU6" i="3"/>
  <c r="AU165" i="3" s="1"/>
  <c r="AT95" i="3"/>
  <c r="AT105" i="3" s="1"/>
  <c r="AQ41" i="10" l="1"/>
  <c r="AR38" i="10" s="1"/>
  <c r="AR91" i="10" s="1"/>
  <c r="AI47" i="10"/>
  <c r="AO97" i="5" s="1"/>
  <c r="E63" i="10"/>
  <c r="AG113" i="10"/>
  <c r="AI35" i="10"/>
  <c r="AI90" i="10"/>
  <c r="AB15" i="10"/>
  <c r="AC26" i="10"/>
  <c r="AR41" i="10"/>
  <c r="AR17" i="10" s="1"/>
  <c r="AH90" i="5"/>
  <c r="AE83" i="5"/>
  <c r="X115" i="10"/>
  <c r="Z20" i="10"/>
  <c r="Y14" i="10"/>
  <c r="BH234" i="3"/>
  <c r="BA231" i="3"/>
  <c r="BB232" i="3"/>
  <c r="AZ233" i="3"/>
  <c r="BB154" i="6"/>
  <c r="BC152" i="6"/>
  <c r="AR46" i="5"/>
  <c r="AS55" i="3"/>
  <c r="AI31" i="5"/>
  <c r="AH32" i="3"/>
  <c r="AB79" i="10" s="1"/>
  <c r="AJ50" i="3"/>
  <c r="AD81" i="10" s="1"/>
  <c r="AK41" i="5"/>
  <c r="AT37" i="3"/>
  <c r="AS40" i="3"/>
  <c r="AT31" i="3"/>
  <c r="AU28" i="3"/>
  <c r="AJ36" i="5"/>
  <c r="AI41" i="3"/>
  <c r="AC80" i="10" s="1"/>
  <c r="AV66" i="3"/>
  <c r="AU54" i="5"/>
  <c r="AR49" i="3"/>
  <c r="AS46" i="3"/>
  <c r="BB218" i="3"/>
  <c r="BA183" i="5"/>
  <c r="BA30" i="6" s="1"/>
  <c r="AI220" i="3"/>
  <c r="AH185" i="5"/>
  <c r="AH32" i="6" s="1"/>
  <c r="AI219" i="3"/>
  <c r="AH184" i="5"/>
  <c r="AH31" i="6" s="1"/>
  <c r="AT82" i="5"/>
  <c r="AI221" i="3"/>
  <c r="AH186" i="5"/>
  <c r="AH33" i="6" s="1"/>
  <c r="BB48" i="3"/>
  <c r="BC30" i="3"/>
  <c r="BA39" i="3"/>
  <c r="AY140" i="5"/>
  <c r="AY172" i="5" s="1"/>
  <c r="AY214" i="3"/>
  <c r="AW203" i="3"/>
  <c r="AW151" i="5"/>
  <c r="AQ159" i="5"/>
  <c r="AP166" i="5"/>
  <c r="AP173" i="5" s="1"/>
  <c r="AX131" i="5"/>
  <c r="AX165" i="5" s="1"/>
  <c r="AX208" i="3"/>
  <c r="AR197" i="3"/>
  <c r="AR152" i="5" s="1"/>
  <c r="AX113" i="5"/>
  <c r="AX196" i="3"/>
  <c r="AP141" i="5"/>
  <c r="AR123" i="5"/>
  <c r="AY182" i="3"/>
  <c r="AQ132" i="5"/>
  <c r="AU173" i="3"/>
  <c r="AU202" i="3" s="1"/>
  <c r="AU209" i="3" s="1"/>
  <c r="AU215" i="3" s="1"/>
  <c r="AU82" i="5"/>
  <c r="AT181" i="3"/>
  <c r="AT89" i="5"/>
  <c r="AS189" i="3"/>
  <c r="AS96" i="5"/>
  <c r="AS103" i="5" s="1"/>
  <c r="AS114" i="5" s="1"/>
  <c r="AZ190" i="3"/>
  <c r="AZ174" i="3"/>
  <c r="AZ122" i="5" s="1"/>
  <c r="AZ158" i="5" s="1"/>
  <c r="AY166" i="3"/>
  <c r="AT115" i="3"/>
  <c r="AT125" i="3" s="1"/>
  <c r="AV6" i="3"/>
  <c r="AV165" i="3" s="1"/>
  <c r="AU95" i="3"/>
  <c r="AU105" i="3" s="1"/>
  <c r="AS38" i="10" l="1"/>
  <c r="AS91" i="10" s="1"/>
  <c r="AQ17" i="10"/>
  <c r="AQ114" i="10" s="1"/>
  <c r="AQ121" i="10" s="1"/>
  <c r="AH113" i="10"/>
  <c r="AG120" i="10"/>
  <c r="AH120" i="10" s="1"/>
  <c r="E69" i="10" s="1"/>
  <c r="AJ32" i="10"/>
  <c r="AI16" i="10"/>
  <c r="Z23" i="10"/>
  <c r="Z88" i="10"/>
  <c r="AC29" i="10"/>
  <c r="AC89" i="10"/>
  <c r="X123" i="10"/>
  <c r="X124" i="10"/>
  <c r="X125" i="10"/>
  <c r="AB112" i="10"/>
  <c r="AB119" i="10" s="1"/>
  <c r="AC46" i="10"/>
  <c r="AS41" i="10"/>
  <c r="AT38" i="10" s="1"/>
  <c r="Y111" i="10"/>
  <c r="Y118" i="10" s="1"/>
  <c r="Z45" i="10"/>
  <c r="AS48" i="10"/>
  <c r="AY104" i="5" s="1"/>
  <c r="AR114" i="10"/>
  <c r="AR121" i="10" s="1"/>
  <c r="BI234" i="3"/>
  <c r="BC232" i="3"/>
  <c r="BB231" i="3"/>
  <c r="M126" i="6"/>
  <c r="BH67" i="2" s="1"/>
  <c r="BA233" i="3"/>
  <c r="BD152" i="6"/>
  <c r="BC154" i="6"/>
  <c r="AW66" i="3"/>
  <c r="AV54" i="5"/>
  <c r="AJ41" i="5"/>
  <c r="AI50" i="3"/>
  <c r="AC81" i="10" s="1"/>
  <c r="AT46" i="3"/>
  <c r="AS49" i="3"/>
  <c r="AH41" i="3"/>
  <c r="AB80" i="10" s="1"/>
  <c r="AI36" i="5"/>
  <c r="AG32" i="3"/>
  <c r="AA79" i="10" s="1"/>
  <c r="AH31" i="5"/>
  <c r="AS46" i="5"/>
  <c r="AT55" i="3"/>
  <c r="AU37" i="3"/>
  <c r="AT40" i="3"/>
  <c r="AV28" i="3"/>
  <c r="AU31" i="3"/>
  <c r="BB183" i="5"/>
  <c r="BB30" i="6" s="1"/>
  <c r="BC218" i="3"/>
  <c r="AJ221" i="3"/>
  <c r="AI186" i="5"/>
  <c r="AI33" i="6" s="1"/>
  <c r="AJ219" i="3"/>
  <c r="AI184" i="5"/>
  <c r="AI31" i="6" s="1"/>
  <c r="AJ220" i="3"/>
  <c r="AI185" i="5"/>
  <c r="AI32" i="6" s="1"/>
  <c r="BC48" i="3"/>
  <c r="BD30" i="3"/>
  <c r="BB39" i="3"/>
  <c r="AZ140" i="5"/>
  <c r="AZ172" i="5" s="1"/>
  <c r="AZ214" i="3"/>
  <c r="AX203" i="3"/>
  <c r="AX151" i="5"/>
  <c r="AR159" i="5"/>
  <c r="AQ166" i="5"/>
  <c r="AS197" i="3"/>
  <c r="AS152" i="5" s="1"/>
  <c r="AY131" i="5"/>
  <c r="AY165" i="5" s="1"/>
  <c r="AY208" i="3"/>
  <c r="AY113" i="5"/>
  <c r="AY196" i="3"/>
  <c r="AR132" i="5"/>
  <c r="AS123" i="5"/>
  <c r="AQ141" i="5"/>
  <c r="AZ182" i="3"/>
  <c r="AU181" i="3"/>
  <c r="AU89" i="5"/>
  <c r="AT189" i="3"/>
  <c r="AT96" i="5"/>
  <c r="AT103" i="5" s="1"/>
  <c r="AT114" i="5" s="1"/>
  <c r="AV173" i="3"/>
  <c r="AV202" i="3" s="1"/>
  <c r="AV209" i="3" s="1"/>
  <c r="AV215" i="3" s="1"/>
  <c r="AV82" i="5"/>
  <c r="BA190" i="3"/>
  <c r="BA174" i="3"/>
  <c r="BA122" i="5" s="1"/>
  <c r="BA158" i="5" s="1"/>
  <c r="AU115" i="3"/>
  <c r="AU125" i="3" s="1"/>
  <c r="AZ166" i="3"/>
  <c r="AW6" i="3"/>
  <c r="AW165" i="3" s="1"/>
  <c r="AV95" i="3"/>
  <c r="AV105" i="3" s="1"/>
  <c r="AS17" i="10" l="1"/>
  <c r="AR48" i="10"/>
  <c r="AX104" i="5" s="1"/>
  <c r="AJ47" i="10"/>
  <c r="AP97" i="5" s="1"/>
  <c r="AI113" i="10"/>
  <c r="AI120" i="10" s="1"/>
  <c r="AJ35" i="10"/>
  <c r="AJ90" i="10"/>
  <c r="Y115" i="10"/>
  <c r="AI90" i="5"/>
  <c r="AA20" i="10"/>
  <c r="Z14" i="10"/>
  <c r="AT41" i="10"/>
  <c r="AT17" i="10" s="1"/>
  <c r="F64" i="10" s="1"/>
  <c r="AT91" i="10"/>
  <c r="AU91" i="10" s="1"/>
  <c r="AF83" i="5"/>
  <c r="AD26" i="10"/>
  <c r="AC15" i="10"/>
  <c r="AT48" i="10"/>
  <c r="AZ104" i="5" s="1"/>
  <c r="AS114" i="10"/>
  <c r="AS121" i="10" s="1"/>
  <c r="BJ234" i="3"/>
  <c r="BC231" i="3"/>
  <c r="BD232" i="3"/>
  <c r="BB233" i="3"/>
  <c r="BD154" i="6"/>
  <c r="BE152" i="6"/>
  <c r="AI41" i="5"/>
  <c r="AH50" i="3"/>
  <c r="AB81" i="10" s="1"/>
  <c r="AW28" i="3"/>
  <c r="AV31" i="3"/>
  <c r="AV37" i="3"/>
  <c r="AU40" i="3"/>
  <c r="AF32" i="3"/>
  <c r="Z79" i="10" s="1"/>
  <c r="AG31" i="5"/>
  <c r="AU46" i="3"/>
  <c r="AT49" i="3"/>
  <c r="AT46" i="5"/>
  <c r="AU55" i="3"/>
  <c r="AG41" i="3"/>
  <c r="AA80" i="10" s="1"/>
  <c r="AH36" i="5"/>
  <c r="AX66" i="3"/>
  <c r="AW54" i="5"/>
  <c r="BD218" i="3"/>
  <c r="BC183" i="5"/>
  <c r="BC30" i="6" s="1"/>
  <c r="AK220" i="3"/>
  <c r="AJ185" i="5"/>
  <c r="AJ32" i="6" s="1"/>
  <c r="AK219" i="3"/>
  <c r="AJ184" i="5"/>
  <c r="AJ31" i="6" s="1"/>
  <c r="AK221" i="3"/>
  <c r="AJ186" i="5"/>
  <c r="AJ33" i="6" s="1"/>
  <c r="BD48" i="3"/>
  <c r="BC39" i="3"/>
  <c r="BE30" i="3"/>
  <c r="BA140" i="5"/>
  <c r="BA172" i="5" s="1"/>
  <c r="BA214" i="3"/>
  <c r="AR166" i="5"/>
  <c r="AY203" i="3"/>
  <c r="AY151" i="5"/>
  <c r="AS159" i="5"/>
  <c r="AQ173" i="5"/>
  <c r="AT197" i="3"/>
  <c r="AT152" i="5" s="1"/>
  <c r="AZ131" i="5"/>
  <c r="AZ165" i="5" s="1"/>
  <c r="AZ208" i="3"/>
  <c r="AZ113" i="5"/>
  <c r="AZ196" i="3"/>
  <c r="AT123" i="5"/>
  <c r="AU189" i="3"/>
  <c r="AU96" i="5"/>
  <c r="AU103" i="5" s="1"/>
  <c r="AU114" i="5" s="1"/>
  <c r="BA182" i="3"/>
  <c r="AS132" i="5"/>
  <c r="AV181" i="3"/>
  <c r="AV89" i="5"/>
  <c r="AW173" i="3"/>
  <c r="AW202" i="3" s="1"/>
  <c r="AW209" i="3" s="1"/>
  <c r="AW215" i="3" s="1"/>
  <c r="AW82" i="5"/>
  <c r="AR141" i="5"/>
  <c r="BB190" i="3"/>
  <c r="BB174" i="3"/>
  <c r="BB122" i="5" s="1"/>
  <c r="BB158" i="5" s="1"/>
  <c r="BA166" i="3"/>
  <c r="AV115" i="3"/>
  <c r="AV125" i="3" s="1"/>
  <c r="AX6" i="3"/>
  <c r="AX165" i="3" s="1"/>
  <c r="AW95" i="3"/>
  <c r="AW105" i="3" s="1"/>
  <c r="AJ16" i="10" l="1"/>
  <c r="AK32" i="10"/>
  <c r="AT114" i="10"/>
  <c r="AA23" i="10"/>
  <c r="AA88" i="10"/>
  <c r="Y125" i="10"/>
  <c r="Y123" i="10"/>
  <c r="Y124" i="10"/>
  <c r="AC112" i="10"/>
  <c r="AC119" i="10" s="1"/>
  <c r="AD46" i="10"/>
  <c r="AD29" i="10"/>
  <c r="AD89" i="10"/>
  <c r="Z111" i="10"/>
  <c r="Z118" i="10" s="1"/>
  <c r="AA45" i="10"/>
  <c r="AU48" i="10"/>
  <c r="BA104" i="5" s="1"/>
  <c r="BK234" i="3"/>
  <c r="BE232" i="3"/>
  <c r="BD231" i="3"/>
  <c r="BC233" i="3"/>
  <c r="BF152" i="6"/>
  <c r="BE154" i="6"/>
  <c r="AF41" i="3"/>
  <c r="Z80" i="10" s="1"/>
  <c r="AG36" i="5"/>
  <c r="AH41" i="5"/>
  <c r="AG50" i="3"/>
  <c r="AA81" i="10" s="1"/>
  <c r="AU49" i="3"/>
  <c r="AV46" i="3"/>
  <c r="AW37" i="3"/>
  <c r="AV40" i="3"/>
  <c r="AY66" i="3"/>
  <c r="AX54" i="5"/>
  <c r="AU46" i="5"/>
  <c r="AV55" i="3"/>
  <c r="AE32" i="3"/>
  <c r="Y79" i="10" s="1"/>
  <c r="AF31" i="5"/>
  <c r="AX28" i="3"/>
  <c r="AW31" i="3"/>
  <c r="BD183" i="5"/>
  <c r="BD30" i="6" s="1"/>
  <c r="BE218" i="3"/>
  <c r="AL221" i="3"/>
  <c r="AK186" i="5"/>
  <c r="AK33" i="6" s="1"/>
  <c r="AL219" i="3"/>
  <c r="AK184" i="5"/>
  <c r="AK31" i="6" s="1"/>
  <c r="AL220" i="3"/>
  <c r="AK185" i="5"/>
  <c r="AK32" i="6" s="1"/>
  <c r="BE48" i="3"/>
  <c r="BF30" i="3"/>
  <c r="BD39" i="3"/>
  <c r="BB140" i="5"/>
  <c r="BB172" i="5" s="1"/>
  <c r="BB214" i="3"/>
  <c r="AZ203" i="3"/>
  <c r="AZ151" i="5"/>
  <c r="AT159" i="5"/>
  <c r="AS166" i="5"/>
  <c r="AR173" i="5"/>
  <c r="BA131" i="5"/>
  <c r="BA165" i="5" s="1"/>
  <c r="BA208" i="3"/>
  <c r="AU197" i="3"/>
  <c r="AU152" i="5" s="1"/>
  <c r="BA113" i="5"/>
  <c r="BA196" i="3"/>
  <c r="AS141" i="5"/>
  <c r="AX173" i="3"/>
  <c r="AX202" i="3" s="1"/>
  <c r="AX209" i="3" s="1"/>
  <c r="AX215" i="3" s="1"/>
  <c r="AX82" i="5"/>
  <c r="AU123" i="5"/>
  <c r="AV189" i="3"/>
  <c r="AV96" i="5"/>
  <c r="AV103" i="5" s="1"/>
  <c r="AV114" i="5" s="1"/>
  <c r="AW181" i="3"/>
  <c r="AW89" i="5"/>
  <c r="BB182" i="3"/>
  <c r="AT132" i="5"/>
  <c r="BC190" i="3"/>
  <c r="BC174" i="3"/>
  <c r="BC122" i="5" s="1"/>
  <c r="BC158" i="5" s="1"/>
  <c r="AW115" i="3"/>
  <c r="AW125" i="3" s="1"/>
  <c r="BB166" i="3"/>
  <c r="AY6" i="3"/>
  <c r="AY165" i="3" s="1"/>
  <c r="AX95" i="3"/>
  <c r="AX105" i="3" s="1"/>
  <c r="AK35" i="10" l="1"/>
  <c r="AK90" i="10"/>
  <c r="AJ113" i="10"/>
  <c r="AJ120" i="10" s="1"/>
  <c r="AK47" i="10"/>
  <c r="AQ97" i="5" s="1"/>
  <c r="AT121" i="10"/>
  <c r="AU121" i="10" s="1"/>
  <c r="F70" i="10" s="1"/>
  <c r="AU114" i="10"/>
  <c r="AG83" i="5"/>
  <c r="AD15" i="10"/>
  <c r="AE26" i="10"/>
  <c r="AA14" i="10"/>
  <c r="AB20" i="10"/>
  <c r="Z115" i="10"/>
  <c r="AJ90" i="5"/>
  <c r="BL234" i="3"/>
  <c r="BE231" i="3"/>
  <c r="BF232" i="3"/>
  <c r="BD233" i="3"/>
  <c r="BG152" i="6"/>
  <c r="BF154" i="6"/>
  <c r="AF50" i="3"/>
  <c r="Z81" i="10" s="1"/>
  <c r="Z122" i="10" s="1"/>
  <c r="AG41" i="5"/>
  <c r="AY28" i="3"/>
  <c r="AX31" i="3"/>
  <c r="AZ66" i="3"/>
  <c r="AY54" i="5"/>
  <c r="AW40" i="3"/>
  <c r="AX37" i="3"/>
  <c r="AV46" i="5"/>
  <c r="AW55" i="3"/>
  <c r="AW46" i="3"/>
  <c r="AV49" i="3"/>
  <c r="AD32" i="3"/>
  <c r="X79" i="10" s="1"/>
  <c r="AE31" i="5"/>
  <c r="AF36" i="5"/>
  <c r="AE41" i="3"/>
  <c r="Y80" i="10" s="1"/>
  <c r="BE183" i="5"/>
  <c r="BE30" i="6" s="1"/>
  <c r="BF218" i="3"/>
  <c r="AM220" i="3"/>
  <c r="AM185" i="5" s="1"/>
  <c r="AM32" i="6" s="1"/>
  <c r="AL185" i="5"/>
  <c r="AL32" i="6" s="1"/>
  <c r="AM219" i="3"/>
  <c r="AM184" i="5" s="1"/>
  <c r="AM31" i="6" s="1"/>
  <c r="AL184" i="5"/>
  <c r="AL31" i="6" s="1"/>
  <c r="AM221" i="3"/>
  <c r="AM186" i="5" s="1"/>
  <c r="AM33" i="6" s="1"/>
  <c r="AL186" i="5"/>
  <c r="AL33" i="6" s="1"/>
  <c r="BF48" i="3"/>
  <c r="BE39" i="3"/>
  <c r="BG30" i="3"/>
  <c r="AT166" i="5"/>
  <c r="BA203" i="3"/>
  <c r="BA151" i="5"/>
  <c r="BC140" i="5"/>
  <c r="BC172" i="5" s="1"/>
  <c r="BC214" i="3"/>
  <c r="AU159" i="5"/>
  <c r="AS173" i="5"/>
  <c r="BB131" i="5"/>
  <c r="BB165" i="5" s="1"/>
  <c r="BB208" i="3"/>
  <c r="AV197" i="3"/>
  <c r="AV152" i="5" s="1"/>
  <c r="BB113" i="5"/>
  <c r="BB196" i="3"/>
  <c r="AT141" i="5"/>
  <c r="AW189" i="3"/>
  <c r="AW96" i="5"/>
  <c r="AW103" i="5" s="1"/>
  <c r="AW114" i="5" s="1"/>
  <c r="AX181" i="3"/>
  <c r="AX89" i="5"/>
  <c r="AY173" i="3"/>
  <c r="AY202" i="3" s="1"/>
  <c r="AY209" i="3" s="1"/>
  <c r="AY215" i="3" s="1"/>
  <c r="AY82" i="5"/>
  <c r="BC182" i="3"/>
  <c r="AV123" i="5"/>
  <c r="AU132" i="5"/>
  <c r="BD190" i="3"/>
  <c r="BD174" i="3"/>
  <c r="BD122" i="5" s="1"/>
  <c r="BD158" i="5" s="1"/>
  <c r="BC166" i="3"/>
  <c r="AX115" i="3"/>
  <c r="AX125" i="3" s="1"/>
  <c r="AZ6" i="3"/>
  <c r="AY95" i="3"/>
  <c r="AY105" i="3" s="1"/>
  <c r="AL32" i="10" l="1"/>
  <c r="AK16" i="10"/>
  <c r="AA111" i="10"/>
  <c r="AA118" i="10" s="1"/>
  <c r="AB45" i="10"/>
  <c r="Z123" i="10"/>
  <c r="Z125" i="10"/>
  <c r="Z124" i="10"/>
  <c r="AE29" i="10"/>
  <c r="AE89" i="10"/>
  <c r="AD112" i="10"/>
  <c r="AD119" i="10" s="1"/>
  <c r="AE46" i="10"/>
  <c r="AB23" i="10"/>
  <c r="AB88" i="10"/>
  <c r="BM234" i="3"/>
  <c r="BG232" i="3"/>
  <c r="BF231" i="3"/>
  <c r="BE233" i="3"/>
  <c r="BH152" i="6"/>
  <c r="BG154" i="6"/>
  <c r="AY37" i="3"/>
  <c r="AX40" i="3"/>
  <c r="AX46" i="3"/>
  <c r="AW49" i="3"/>
  <c r="AZ28" i="3"/>
  <c r="AY31" i="3"/>
  <c r="AD41" i="3"/>
  <c r="X80" i="10" s="1"/>
  <c r="AE36" i="5"/>
  <c r="AW46" i="5"/>
  <c r="AX55" i="3"/>
  <c r="AC32" i="3"/>
  <c r="W79" i="10" s="1"/>
  <c r="AD31" i="5"/>
  <c r="AZ54" i="5"/>
  <c r="BA66" i="3"/>
  <c r="F57" i="10" s="1"/>
  <c r="AE50" i="3"/>
  <c r="Y81" i="10" s="1"/>
  <c r="Y122" i="10" s="1"/>
  <c r="Y126" i="10" s="1"/>
  <c r="Z24" i="14" s="1"/>
  <c r="Z65" i="14" s="1"/>
  <c r="AF41" i="5"/>
  <c r="BF183" i="5"/>
  <c r="BF30" i="6" s="1"/>
  <c r="BG218" i="3"/>
  <c r="AZ165" i="3"/>
  <c r="AZ82" i="5" s="1"/>
  <c r="AO219" i="3"/>
  <c r="AO220" i="3"/>
  <c r="AO221" i="3"/>
  <c r="BG48" i="3"/>
  <c r="BH30" i="3"/>
  <c r="BF39" i="3"/>
  <c r="AU166" i="5"/>
  <c r="AV159" i="5"/>
  <c r="BB203" i="3"/>
  <c r="BB151" i="5"/>
  <c r="AT173" i="5"/>
  <c r="BD140" i="5"/>
  <c r="BD172" i="5" s="1"/>
  <c r="BD214" i="3"/>
  <c r="BC131" i="5"/>
  <c r="BC165" i="5" s="1"/>
  <c r="BC208" i="3"/>
  <c r="AW197" i="3"/>
  <c r="AW152" i="5" s="1"/>
  <c r="BC113" i="5"/>
  <c r="BC196" i="3"/>
  <c r="AY181" i="3"/>
  <c r="AY89" i="5"/>
  <c r="AW123" i="5"/>
  <c r="AU141" i="5"/>
  <c r="BD182" i="3"/>
  <c r="AV132" i="5"/>
  <c r="AX189" i="3"/>
  <c r="AX96" i="5"/>
  <c r="AX103" i="5" s="1"/>
  <c r="AX114" i="5" s="1"/>
  <c r="BE190" i="3"/>
  <c r="BE174" i="3"/>
  <c r="BE122" i="5" s="1"/>
  <c r="BE158" i="5" s="1"/>
  <c r="AY115" i="3"/>
  <c r="AY125" i="3" s="1"/>
  <c r="BD166" i="3"/>
  <c r="BB6" i="3"/>
  <c r="AZ95" i="3"/>
  <c r="AL47" i="10" l="1"/>
  <c r="AR97" i="5" s="1"/>
  <c r="AK113" i="10"/>
  <c r="AK120" i="10" s="1"/>
  <c r="AL35" i="10"/>
  <c r="AL90" i="10"/>
  <c r="Z126" i="10"/>
  <c r="AA24" i="14" s="1"/>
  <c r="AA65" i="14" s="1"/>
  <c r="AE15" i="10"/>
  <c r="AF26" i="10"/>
  <c r="AH83" i="5"/>
  <c r="AA122" i="10"/>
  <c r="AA115" i="10"/>
  <c r="AC20" i="10"/>
  <c r="AB14" i="10"/>
  <c r="AK90" i="5"/>
  <c r="BN234" i="3"/>
  <c r="BA165" i="3"/>
  <c r="BA173" i="3" s="1"/>
  <c r="BA202" i="3" s="1"/>
  <c r="BA209" i="3" s="1"/>
  <c r="BA215" i="3" s="1"/>
  <c r="BG231" i="3"/>
  <c r="BH232" i="3"/>
  <c r="BF233" i="3"/>
  <c r="BH154" i="6"/>
  <c r="BI152" i="6"/>
  <c r="AB32" i="3"/>
  <c r="AC31" i="5"/>
  <c r="AC41" i="3"/>
  <c r="W80" i="10" s="1"/>
  <c r="AD36" i="5"/>
  <c r="AX49" i="3"/>
  <c r="AY46" i="3"/>
  <c r="AD50" i="3"/>
  <c r="X81" i="10" s="1"/>
  <c r="X122" i="10" s="1"/>
  <c r="X126" i="10" s="1"/>
  <c r="Y24" i="14" s="1"/>
  <c r="Y65" i="14" s="1"/>
  <c r="AE41" i="5"/>
  <c r="AZ31" i="3"/>
  <c r="BA28" i="3"/>
  <c r="AY40" i="3"/>
  <c r="AZ37" i="3"/>
  <c r="BB66" i="3"/>
  <c r="BA54" i="5"/>
  <c r="AX46" i="5"/>
  <c r="AY55" i="3"/>
  <c r="BH218" i="3"/>
  <c r="BG183" i="5"/>
  <c r="BG30" i="6" s="1"/>
  <c r="AZ173" i="3"/>
  <c r="AZ202" i="3" s="1"/>
  <c r="AZ209" i="3" s="1"/>
  <c r="AZ215" i="3" s="1"/>
  <c r="AP221" i="3"/>
  <c r="AO186" i="5"/>
  <c r="AO33" i="6" s="1"/>
  <c r="AP220" i="3"/>
  <c r="AO185" i="5"/>
  <c r="AO32" i="6" s="1"/>
  <c r="AP219" i="3"/>
  <c r="AO184" i="5"/>
  <c r="AO31" i="6" s="1"/>
  <c r="BB165" i="3"/>
  <c r="BB82" i="5" s="1"/>
  <c r="BH48" i="3"/>
  <c r="BI30" i="3"/>
  <c r="BG39" i="3"/>
  <c r="AU173" i="5"/>
  <c r="AW159" i="5"/>
  <c r="AV166" i="5"/>
  <c r="BE140" i="5"/>
  <c r="BE172" i="5" s="1"/>
  <c r="BE214" i="3"/>
  <c r="BC203" i="3"/>
  <c r="BC151" i="5"/>
  <c r="BD131" i="5"/>
  <c r="BD165" i="5" s="1"/>
  <c r="BD208" i="3"/>
  <c r="AX197" i="3"/>
  <c r="AX152" i="5" s="1"/>
  <c r="BD113" i="5"/>
  <c r="BD196" i="3"/>
  <c r="BB173" i="3"/>
  <c r="BB202" i="3" s="1"/>
  <c r="BB209" i="3" s="1"/>
  <c r="BB215" i="3" s="1"/>
  <c r="AV141" i="5"/>
  <c r="BE182" i="3"/>
  <c r="AW132" i="5"/>
  <c r="AX123" i="5"/>
  <c r="AY189" i="3"/>
  <c r="AY96" i="5"/>
  <c r="AY103" i="5" s="1"/>
  <c r="AY114" i="5" s="1"/>
  <c r="BF190" i="3"/>
  <c r="BF174" i="3"/>
  <c r="BF122" i="5" s="1"/>
  <c r="BF158" i="5" s="1"/>
  <c r="BE166" i="3"/>
  <c r="BA95" i="3"/>
  <c r="BA105" i="3" s="1"/>
  <c r="AZ105" i="3"/>
  <c r="BC6" i="3"/>
  <c r="BC165" i="3" s="1"/>
  <c r="BB95" i="3"/>
  <c r="BB105" i="3" s="1"/>
  <c r="AM32" i="10" l="1"/>
  <c r="AL16" i="10"/>
  <c r="AB31" i="5"/>
  <c r="V79" i="10"/>
  <c r="AA125" i="10"/>
  <c r="AA123" i="10"/>
  <c r="AA124" i="10"/>
  <c r="AF29" i="10"/>
  <c r="AF89" i="10"/>
  <c r="AB111" i="10"/>
  <c r="AB118" i="10" s="1"/>
  <c r="AC45" i="10"/>
  <c r="AI83" i="5" s="1"/>
  <c r="AE112" i="10"/>
  <c r="AE119" i="10" s="1"/>
  <c r="AF46" i="10"/>
  <c r="AL90" i="5" s="1"/>
  <c r="AC23" i="10"/>
  <c r="AC88" i="10"/>
  <c r="BA82" i="5"/>
  <c r="BI232" i="3"/>
  <c r="BH231" i="3"/>
  <c r="BG233" i="3"/>
  <c r="BI154" i="6"/>
  <c r="BJ152" i="6"/>
  <c r="BA37" i="3"/>
  <c r="AZ40" i="3"/>
  <c r="AY46" i="5"/>
  <c r="AZ55" i="3"/>
  <c r="BB28" i="3"/>
  <c r="BA31" i="3"/>
  <c r="BA32" i="3" s="1"/>
  <c r="AB41" i="3"/>
  <c r="AC36" i="5"/>
  <c r="BC66" i="3"/>
  <c r="BB54" i="5"/>
  <c r="AD41" i="5"/>
  <c r="AC50" i="3"/>
  <c r="W81" i="10" s="1"/>
  <c r="W122" i="10" s="1"/>
  <c r="W126" i="10" s="1"/>
  <c r="X24" i="14" s="1"/>
  <c r="X65" i="14" s="1"/>
  <c r="AY49" i="3"/>
  <c r="AZ46" i="3"/>
  <c r="BH183" i="5"/>
  <c r="BH30" i="6" s="1"/>
  <c r="BI218" i="3"/>
  <c r="AZ89" i="5"/>
  <c r="AZ181" i="3"/>
  <c r="AZ189" i="3" s="1"/>
  <c r="AQ219" i="3"/>
  <c r="AP184" i="5"/>
  <c r="AP31" i="6" s="1"/>
  <c r="AQ221" i="3"/>
  <c r="AP186" i="5"/>
  <c r="AP33" i="6" s="1"/>
  <c r="AQ220" i="3"/>
  <c r="AP185" i="5"/>
  <c r="AP32" i="6" s="1"/>
  <c r="BI48" i="3"/>
  <c r="BH39" i="3"/>
  <c r="BJ30" i="3"/>
  <c r="AV173" i="5"/>
  <c r="AW166" i="5"/>
  <c r="BF140" i="5"/>
  <c r="BF172" i="5" s="1"/>
  <c r="BF214" i="3"/>
  <c r="AX159" i="5"/>
  <c r="BD203" i="3"/>
  <c r="BD151" i="5"/>
  <c r="BE131" i="5"/>
  <c r="BE165" i="5" s="1"/>
  <c r="BE208" i="3"/>
  <c r="AY197" i="3"/>
  <c r="AY152" i="5" s="1"/>
  <c r="BE113" i="5"/>
  <c r="BE196" i="3"/>
  <c r="BC173" i="3"/>
  <c r="BC202" i="3" s="1"/>
  <c r="BC209" i="3" s="1"/>
  <c r="BC215" i="3" s="1"/>
  <c r="BC82" i="5"/>
  <c r="AY123" i="5"/>
  <c r="BF182" i="3"/>
  <c r="BA181" i="3"/>
  <c r="BA89" i="5"/>
  <c r="AX132" i="5"/>
  <c r="AW141" i="5"/>
  <c r="BB181" i="3"/>
  <c r="BB89" i="5"/>
  <c r="BG190" i="3"/>
  <c r="BG174" i="3"/>
  <c r="BG122" i="5" s="1"/>
  <c r="BG158" i="5" s="1"/>
  <c r="BA115" i="3"/>
  <c r="BA125" i="3" s="1"/>
  <c r="BB115" i="3"/>
  <c r="BB125" i="3" s="1"/>
  <c r="AZ115" i="3"/>
  <c r="AZ125" i="3" s="1"/>
  <c r="BF166" i="3"/>
  <c r="BD6" i="3"/>
  <c r="BD165" i="3" s="1"/>
  <c r="BC95" i="3"/>
  <c r="BC105" i="3" s="1"/>
  <c r="AM47" i="10" l="1"/>
  <c r="AS97" i="5" s="1"/>
  <c r="AL113" i="10"/>
  <c r="AL120" i="10" s="1"/>
  <c r="AM35" i="10"/>
  <c r="AM90" i="10"/>
  <c r="AU79" i="10"/>
  <c r="AB36" i="5"/>
  <c r="V80" i="10"/>
  <c r="AA126" i="10"/>
  <c r="AB24" i="14" s="1"/>
  <c r="AB65" i="14" s="1"/>
  <c r="AB122" i="10"/>
  <c r="AB115" i="10"/>
  <c r="AF15" i="10"/>
  <c r="AG26" i="10"/>
  <c r="AD20" i="10"/>
  <c r="AC14" i="10"/>
  <c r="BI231" i="3"/>
  <c r="BJ232" i="3"/>
  <c r="BH233" i="3"/>
  <c r="BJ154" i="6"/>
  <c r="BK152" i="6"/>
  <c r="BA40" i="3"/>
  <c r="BA41" i="3" s="1"/>
  <c r="BB37" i="3"/>
  <c r="AB50" i="3"/>
  <c r="AC41" i="5"/>
  <c r="AZ46" i="5"/>
  <c r="BA55" i="3"/>
  <c r="BA46" i="3"/>
  <c r="AZ49" i="3"/>
  <c r="AZ32" i="3"/>
  <c r="AT79" i="10" s="1"/>
  <c r="BA31" i="5"/>
  <c r="BD66" i="3"/>
  <c r="BC54" i="5"/>
  <c r="BC28" i="3"/>
  <c r="BB31" i="3"/>
  <c r="BJ218" i="3"/>
  <c r="BI183" i="5"/>
  <c r="BI30" i="6" s="1"/>
  <c r="AZ96" i="5"/>
  <c r="AZ103" i="5" s="1"/>
  <c r="AZ114" i="5" s="1"/>
  <c r="AZ123" i="5" s="1"/>
  <c r="AR220" i="3"/>
  <c r="AQ185" i="5"/>
  <c r="AQ32" i="6" s="1"/>
  <c r="AR221" i="3"/>
  <c r="AQ186" i="5"/>
  <c r="AQ33" i="6" s="1"/>
  <c r="AR219" i="3"/>
  <c r="AQ184" i="5"/>
  <c r="AQ31" i="6" s="1"/>
  <c r="BJ48" i="3"/>
  <c r="BI39" i="3"/>
  <c r="BK30" i="3"/>
  <c r="AY159" i="5"/>
  <c r="AX166" i="5"/>
  <c r="AW173" i="5"/>
  <c r="BG140" i="5"/>
  <c r="BG172" i="5" s="1"/>
  <c r="BG214" i="3"/>
  <c r="BE203" i="3"/>
  <c r="BE151" i="5"/>
  <c r="BF131" i="5"/>
  <c r="BF165" i="5" s="1"/>
  <c r="BF208" i="3"/>
  <c r="AZ197" i="3"/>
  <c r="AZ152" i="5" s="1"/>
  <c r="BF113" i="5"/>
  <c r="BF196" i="3"/>
  <c r="BA189" i="3"/>
  <c r="BA96" i="5"/>
  <c r="BA103" i="5" s="1"/>
  <c r="BA114" i="5" s="1"/>
  <c r="BG182" i="3"/>
  <c r="BD173" i="3"/>
  <c r="BD202" i="3" s="1"/>
  <c r="BD209" i="3" s="1"/>
  <c r="BD215" i="3" s="1"/>
  <c r="BD82" i="5"/>
  <c r="BB189" i="3"/>
  <c r="BB96" i="5"/>
  <c r="BB103" i="5" s="1"/>
  <c r="BB114" i="5" s="1"/>
  <c r="AX141" i="5"/>
  <c r="AY132" i="5"/>
  <c r="BC181" i="3"/>
  <c r="BC89" i="5"/>
  <c r="BH190" i="3"/>
  <c r="BH174" i="3"/>
  <c r="BH122" i="5" s="1"/>
  <c r="BH158" i="5" s="1"/>
  <c r="BG166" i="3"/>
  <c r="BC115" i="3"/>
  <c r="BC125" i="3" s="1"/>
  <c r="BE6" i="3"/>
  <c r="BE165" i="3" s="1"/>
  <c r="BD95" i="3"/>
  <c r="BD105" i="3" s="1"/>
  <c r="AM16" i="10" l="1"/>
  <c r="AN32" i="10"/>
  <c r="AU80" i="10"/>
  <c r="AB41" i="5"/>
  <c r="V81" i="10"/>
  <c r="V122" i="10" s="1"/>
  <c r="V126" i="10" s="1"/>
  <c r="W24" i="14" s="1"/>
  <c r="W65" i="14" s="1"/>
  <c r="AD23" i="10"/>
  <c r="AD88" i="10"/>
  <c r="AB123" i="10"/>
  <c r="AB124" i="10"/>
  <c r="AB125" i="10"/>
  <c r="AG29" i="10"/>
  <c r="AG89" i="10"/>
  <c r="AH89" i="10" s="1"/>
  <c r="AF112" i="10"/>
  <c r="AF119" i="10" s="1"/>
  <c r="AG46" i="10"/>
  <c r="AC111" i="10"/>
  <c r="AC118" i="10" s="1"/>
  <c r="AD45" i="10"/>
  <c r="AJ83" i="5" s="1"/>
  <c r="BK232" i="3"/>
  <c r="BJ231" i="3"/>
  <c r="BI233" i="3"/>
  <c r="BL152" i="6"/>
  <c r="BK154" i="6"/>
  <c r="AZ41" i="3"/>
  <c r="AT80" i="10" s="1"/>
  <c r="BA36" i="5"/>
  <c r="BD54" i="5"/>
  <c r="BE66" i="3"/>
  <c r="BA49" i="3"/>
  <c r="BA50" i="3" s="1"/>
  <c r="BB46" i="3"/>
  <c r="BD28" i="3"/>
  <c r="BC31" i="3"/>
  <c r="AY32" i="3"/>
  <c r="AS79" i="10" s="1"/>
  <c r="AZ31" i="5"/>
  <c r="BB55" i="3"/>
  <c r="BC37" i="3"/>
  <c r="BB40" i="3"/>
  <c r="BK218" i="3"/>
  <c r="BJ183" i="5"/>
  <c r="BJ30" i="6" s="1"/>
  <c r="AS219" i="3"/>
  <c r="AR184" i="5"/>
  <c r="AR31" i="6" s="1"/>
  <c r="AS221" i="3"/>
  <c r="AR186" i="5"/>
  <c r="AR33" i="6" s="1"/>
  <c r="AS220" i="3"/>
  <c r="AR185" i="5"/>
  <c r="AR32" i="6" s="1"/>
  <c r="BK48" i="3"/>
  <c r="BJ39" i="3"/>
  <c r="BL30" i="3"/>
  <c r="AZ159" i="5"/>
  <c r="BH140" i="5"/>
  <c r="BH172" i="5" s="1"/>
  <c r="BH214" i="3"/>
  <c r="BF203" i="3"/>
  <c r="BF151" i="5"/>
  <c r="AY166" i="5"/>
  <c r="AY173" i="5" s="1"/>
  <c r="AX173" i="5"/>
  <c r="BG131" i="5"/>
  <c r="BG165" i="5" s="1"/>
  <c r="BG208" i="3"/>
  <c r="BA197" i="3"/>
  <c r="BA152" i="5" s="1"/>
  <c r="BB197" i="3"/>
  <c r="BB152" i="5" s="1"/>
  <c r="BG113" i="5"/>
  <c r="BG196" i="3"/>
  <c r="AY141" i="5"/>
  <c r="BD181" i="3"/>
  <c r="BD89" i="5"/>
  <c r="BE173" i="3"/>
  <c r="BE202" i="3" s="1"/>
  <c r="BE209" i="3" s="1"/>
  <c r="BE215" i="3" s="1"/>
  <c r="BE82" i="5"/>
  <c r="BC189" i="3"/>
  <c r="BC96" i="5"/>
  <c r="BC103" i="5" s="1"/>
  <c r="BC114" i="5" s="1"/>
  <c r="AZ132" i="5"/>
  <c r="BA123" i="5"/>
  <c r="BB123" i="5"/>
  <c r="BH182" i="3"/>
  <c r="BI190" i="3"/>
  <c r="BI174" i="3"/>
  <c r="BI122" i="5" s="1"/>
  <c r="BI158" i="5" s="1"/>
  <c r="BH166" i="3"/>
  <c r="BD115" i="3"/>
  <c r="BD125" i="3" s="1"/>
  <c r="BF6" i="3"/>
  <c r="BF165" i="3" s="1"/>
  <c r="BE95" i="3"/>
  <c r="BE105" i="3" s="1"/>
  <c r="AN35" i="10" l="1"/>
  <c r="AN90" i="10"/>
  <c r="AN47" i="10"/>
  <c r="AT97" i="5" s="1"/>
  <c r="AM113" i="10"/>
  <c r="AM120" i="10" s="1"/>
  <c r="AB126" i="10"/>
  <c r="AC24" i="14" s="1"/>
  <c r="AC65" i="14" s="1"/>
  <c r="AU81" i="10"/>
  <c r="AE20" i="10"/>
  <c r="AD14" i="10"/>
  <c r="AC122" i="10"/>
  <c r="AC115" i="10"/>
  <c r="AM90" i="5"/>
  <c r="AH46" i="10"/>
  <c r="AN90" i="5" s="1"/>
  <c r="AG15" i="10"/>
  <c r="AI26" i="10"/>
  <c r="BK231" i="3"/>
  <c r="BL232" i="3"/>
  <c r="BJ233" i="3"/>
  <c r="BL154" i="6"/>
  <c r="BM152" i="6"/>
  <c r="BC46" i="3"/>
  <c r="BB49" i="3"/>
  <c r="BD37" i="3"/>
  <c r="BC40" i="3"/>
  <c r="AX32" i="3"/>
  <c r="AR79" i="10" s="1"/>
  <c r="AY31" i="5"/>
  <c r="BA41" i="5"/>
  <c r="AZ50" i="3"/>
  <c r="AT81" i="10" s="1"/>
  <c r="AY41" i="3"/>
  <c r="AS80" i="10" s="1"/>
  <c r="AZ36" i="5"/>
  <c r="BB46" i="5"/>
  <c r="BC55" i="3"/>
  <c r="BF66" i="3"/>
  <c r="BE54" i="5"/>
  <c r="BD31" i="3"/>
  <c r="BE28" i="3"/>
  <c r="BL218" i="3"/>
  <c r="BK183" i="5"/>
  <c r="BK30" i="6" s="1"/>
  <c r="AT220" i="3"/>
  <c r="AS185" i="5"/>
  <c r="AS32" i="6" s="1"/>
  <c r="AT221" i="3"/>
  <c r="AS186" i="5"/>
  <c r="AS33" i="6" s="1"/>
  <c r="AT219" i="3"/>
  <c r="AS184" i="5"/>
  <c r="AS31" i="6" s="1"/>
  <c r="BL48" i="3"/>
  <c r="BK39" i="3"/>
  <c r="BM30" i="3"/>
  <c r="BI140" i="5"/>
  <c r="BI172" i="5" s="1"/>
  <c r="BI214" i="3"/>
  <c r="BG203" i="3"/>
  <c r="BG151" i="5"/>
  <c r="BB159" i="5"/>
  <c r="BB166" i="5" s="1"/>
  <c r="BB173" i="5" s="1"/>
  <c r="AZ166" i="5"/>
  <c r="BA159" i="5"/>
  <c r="BH131" i="5"/>
  <c r="BH165" i="5" s="1"/>
  <c r="BH208" i="3"/>
  <c r="BC197" i="3"/>
  <c r="BC152" i="5" s="1"/>
  <c r="BH113" i="5"/>
  <c r="BH196" i="3"/>
  <c r="BB132" i="5"/>
  <c r="AZ141" i="5"/>
  <c r="BD189" i="3"/>
  <c r="BD96" i="5"/>
  <c r="BD103" i="5" s="1"/>
  <c r="BD114" i="5" s="1"/>
  <c r="BF173" i="3"/>
  <c r="BF202" i="3" s="1"/>
  <c r="BF209" i="3" s="1"/>
  <c r="BF215" i="3" s="1"/>
  <c r="BF82" i="5"/>
  <c r="BI182" i="3"/>
  <c r="BA132" i="5"/>
  <c r="BC123" i="5"/>
  <c r="BE181" i="3"/>
  <c r="BE89" i="5"/>
  <c r="BJ190" i="3"/>
  <c r="BJ174" i="3"/>
  <c r="BJ122" i="5" s="1"/>
  <c r="BJ158" i="5" s="1"/>
  <c r="BE115" i="3"/>
  <c r="BE125" i="3" s="1"/>
  <c r="BI166" i="3"/>
  <c r="BG6" i="3"/>
  <c r="BG165" i="3" s="1"/>
  <c r="BF95" i="3"/>
  <c r="BF105" i="3" s="1"/>
  <c r="AN16" i="10" l="1"/>
  <c r="AO32" i="10"/>
  <c r="AD111" i="10"/>
  <c r="AD118" i="10" s="1"/>
  <c r="AE45" i="10"/>
  <c r="AK83" i="5" s="1"/>
  <c r="AI29" i="10"/>
  <c r="AI89" i="10"/>
  <c r="AE23" i="10"/>
  <c r="AE88" i="10"/>
  <c r="AG112" i="10"/>
  <c r="AI46" i="10"/>
  <c r="E62" i="10"/>
  <c r="AC124" i="10"/>
  <c r="AC125" i="10"/>
  <c r="AC123" i="10"/>
  <c r="BM232" i="3"/>
  <c r="BL231" i="3"/>
  <c r="BK233" i="3"/>
  <c r="BN152" i="6"/>
  <c r="BN154" i="6" s="1"/>
  <c r="BM154" i="6"/>
  <c r="BF28" i="3"/>
  <c r="BE31" i="3"/>
  <c r="BG66" i="3"/>
  <c r="BF54" i="5"/>
  <c r="AX41" i="3"/>
  <c r="AR80" i="10" s="1"/>
  <c r="AY36" i="5"/>
  <c r="AW32" i="3"/>
  <c r="AQ79" i="10" s="1"/>
  <c r="AX31" i="5"/>
  <c r="BD46" i="3"/>
  <c r="BC49" i="3"/>
  <c r="BC46" i="5"/>
  <c r="BD55" i="3"/>
  <c r="AZ41" i="5"/>
  <c r="AY50" i="3"/>
  <c r="AS81" i="10" s="1"/>
  <c r="BE37" i="3"/>
  <c r="BD40" i="3"/>
  <c r="BM218" i="3"/>
  <c r="BL183" i="5"/>
  <c r="BL30" i="6" s="1"/>
  <c r="AU220" i="3"/>
  <c r="AT185" i="5"/>
  <c r="AT32" i="6" s="1"/>
  <c r="AU219" i="3"/>
  <c r="AT184" i="5"/>
  <c r="AT31" i="6" s="1"/>
  <c r="AU221" i="3"/>
  <c r="AT186" i="5"/>
  <c r="AT33" i="6" s="1"/>
  <c r="BM48" i="3"/>
  <c r="BL39" i="3"/>
  <c r="BN30" i="3"/>
  <c r="BH203" i="3"/>
  <c r="BH151" i="5"/>
  <c r="AZ173" i="5"/>
  <c r="BC159" i="5"/>
  <c r="BA166" i="5"/>
  <c r="BJ140" i="5"/>
  <c r="BJ172" i="5" s="1"/>
  <c r="BJ214" i="3"/>
  <c r="BD197" i="3"/>
  <c r="BD152" i="5" s="1"/>
  <c r="BI131" i="5"/>
  <c r="BI165" i="5" s="1"/>
  <c r="BI208" i="3"/>
  <c r="BI113" i="5"/>
  <c r="BI196" i="3"/>
  <c r="BC132" i="5"/>
  <c r="BF181" i="3"/>
  <c r="BF89" i="5"/>
  <c r="BJ182" i="3"/>
  <c r="BD123" i="5"/>
  <c r="BG173" i="3"/>
  <c r="BG202" i="3" s="1"/>
  <c r="BG209" i="3" s="1"/>
  <c r="BG215" i="3" s="1"/>
  <c r="BG82" i="5"/>
  <c r="BE189" i="3"/>
  <c r="BE96" i="5"/>
  <c r="BE103" i="5" s="1"/>
  <c r="BE114" i="5" s="1"/>
  <c r="BA141" i="5"/>
  <c r="BB141" i="5"/>
  <c r="BK190" i="3"/>
  <c r="BK174" i="3"/>
  <c r="BK122" i="5" s="1"/>
  <c r="BK158" i="5" s="1"/>
  <c r="BJ166" i="3"/>
  <c r="BF115" i="3"/>
  <c r="BF125" i="3" s="1"/>
  <c r="BH6" i="3"/>
  <c r="BH165" i="3" s="1"/>
  <c r="BG95" i="3"/>
  <c r="BG105" i="3" s="1"/>
  <c r="AO90" i="10" l="1"/>
  <c r="AO35" i="10"/>
  <c r="AN113" i="10"/>
  <c r="AN120" i="10" s="1"/>
  <c r="AO47" i="10"/>
  <c r="AU97" i="5" s="1"/>
  <c r="AG119" i="10"/>
  <c r="AH119" i="10" s="1"/>
  <c r="E68" i="10" s="1"/>
  <c r="AH112" i="10"/>
  <c r="AC126" i="10"/>
  <c r="AD24" i="14" s="1"/>
  <c r="AD65" i="14" s="1"/>
  <c r="AE14" i="10"/>
  <c r="AF20" i="10"/>
  <c r="AD122" i="10"/>
  <c r="AD115" i="10"/>
  <c r="AO90" i="5"/>
  <c r="AJ26" i="10"/>
  <c r="AI15" i="10"/>
  <c r="BM231" i="3"/>
  <c r="BN232" i="3"/>
  <c r="BL233" i="3"/>
  <c r="BE40" i="3"/>
  <c r="BF37" i="3"/>
  <c r="AY41" i="5"/>
  <c r="AX50" i="3"/>
  <c r="AR81" i="10" s="1"/>
  <c r="BE46" i="3"/>
  <c r="BD49" i="3"/>
  <c r="AX36" i="5"/>
  <c r="AW41" i="3"/>
  <c r="AQ80" i="10" s="1"/>
  <c r="BD46" i="5"/>
  <c r="BE55" i="3"/>
  <c r="AV32" i="3"/>
  <c r="AP79" i="10" s="1"/>
  <c r="AW31" i="5"/>
  <c r="BH66" i="3"/>
  <c r="BG54" i="5"/>
  <c r="BG28" i="3"/>
  <c r="BF31" i="3"/>
  <c r="BM183" i="5"/>
  <c r="BM30" i="6" s="1"/>
  <c r="BN218" i="3"/>
  <c r="BN183" i="5" s="1"/>
  <c r="BN30" i="6" s="1"/>
  <c r="AV219" i="3"/>
  <c r="AU184" i="5"/>
  <c r="AU31" i="6" s="1"/>
  <c r="AV221" i="3"/>
  <c r="AU186" i="5"/>
  <c r="AU33" i="6" s="1"/>
  <c r="AV220" i="3"/>
  <c r="AU185" i="5"/>
  <c r="AU32" i="6" s="1"/>
  <c r="BN48" i="3"/>
  <c r="BM39" i="3"/>
  <c r="BA173" i="5"/>
  <c r="BD159" i="5"/>
  <c r="BK140" i="5"/>
  <c r="BK172" i="5" s="1"/>
  <c r="BK214" i="3"/>
  <c r="BI203" i="3"/>
  <c r="BI151" i="5"/>
  <c r="BC166" i="5"/>
  <c r="BE197" i="3"/>
  <c r="BE152" i="5" s="1"/>
  <c r="BJ131" i="5"/>
  <c r="BJ165" i="5" s="1"/>
  <c r="BJ208" i="3"/>
  <c r="BJ113" i="5"/>
  <c r="BJ196" i="3"/>
  <c r="BH173" i="3"/>
  <c r="BH202" i="3" s="1"/>
  <c r="BH209" i="3" s="1"/>
  <c r="BH215" i="3" s="1"/>
  <c r="BH82" i="5"/>
  <c r="BK182" i="3"/>
  <c r="BE123" i="5"/>
  <c r="BD132" i="5"/>
  <c r="BC141" i="5"/>
  <c r="BG181" i="3"/>
  <c r="BG89" i="5"/>
  <c r="BF189" i="3"/>
  <c r="BF96" i="5"/>
  <c r="BF103" i="5" s="1"/>
  <c r="BF114" i="5" s="1"/>
  <c r="BL190" i="3"/>
  <c r="BL174" i="3"/>
  <c r="BL122" i="5" s="1"/>
  <c r="BL158" i="5" s="1"/>
  <c r="BG115" i="3"/>
  <c r="BG125" i="3" s="1"/>
  <c r="BK166" i="3"/>
  <c r="BI6" i="3"/>
  <c r="BI165" i="3" s="1"/>
  <c r="BH95" i="3"/>
  <c r="BH105" i="3" s="1"/>
  <c r="AP32" i="10" l="1"/>
  <c r="AO16" i="10"/>
  <c r="AF23" i="10"/>
  <c r="AF88" i="10"/>
  <c r="AE111" i="10"/>
  <c r="AE118" i="10" s="1"/>
  <c r="AF45" i="10"/>
  <c r="AL83" i="5" s="1"/>
  <c r="AJ46" i="10"/>
  <c r="AI112" i="10"/>
  <c r="AI119" i="10" s="1"/>
  <c r="AD125" i="10"/>
  <c r="AD123" i="10"/>
  <c r="AD124" i="10"/>
  <c r="AJ29" i="10"/>
  <c r="AJ89" i="10"/>
  <c r="BN231" i="3"/>
  <c r="BM233" i="3"/>
  <c r="BE49" i="3"/>
  <c r="BF46" i="3"/>
  <c r="AW50" i="3"/>
  <c r="AQ81" i="10" s="1"/>
  <c r="AX41" i="5"/>
  <c r="BI66" i="3"/>
  <c r="BH54" i="5"/>
  <c r="AV41" i="3"/>
  <c r="AP80" i="10" s="1"/>
  <c r="AW36" i="5"/>
  <c r="BG37" i="3"/>
  <c r="BF40" i="3"/>
  <c r="BH28" i="3"/>
  <c r="BG31" i="3"/>
  <c r="AU32" i="3"/>
  <c r="AO79" i="10" s="1"/>
  <c r="AV31" i="5"/>
  <c r="BE46" i="5"/>
  <c r="BF55" i="3"/>
  <c r="AW220" i="3"/>
  <c r="AV185" i="5"/>
  <c r="AV32" i="6" s="1"/>
  <c r="AW221" i="3"/>
  <c r="AV186" i="5"/>
  <c r="AV33" i="6" s="1"/>
  <c r="AW219" i="3"/>
  <c r="AV184" i="5"/>
  <c r="AV31" i="6" s="1"/>
  <c r="BN39" i="3"/>
  <c r="BJ203" i="3"/>
  <c r="BJ151" i="5"/>
  <c r="BE159" i="5"/>
  <c r="BD166" i="5"/>
  <c r="BL140" i="5"/>
  <c r="BL172" i="5" s="1"/>
  <c r="BL214" i="3"/>
  <c r="BC173" i="5"/>
  <c r="BF197" i="3"/>
  <c r="BF152" i="5" s="1"/>
  <c r="BK131" i="5"/>
  <c r="BK165" i="5" s="1"/>
  <c r="BK208" i="3"/>
  <c r="BK113" i="5"/>
  <c r="BK196" i="3"/>
  <c r="BL182" i="3"/>
  <c r="BG189" i="3"/>
  <c r="BG96" i="5"/>
  <c r="BG103" i="5" s="1"/>
  <c r="BG114" i="5" s="1"/>
  <c r="BE132" i="5"/>
  <c r="BI173" i="3"/>
  <c r="BI202" i="3" s="1"/>
  <c r="BI209" i="3" s="1"/>
  <c r="BI215" i="3" s="1"/>
  <c r="BI82" i="5"/>
  <c r="BF123" i="5"/>
  <c r="BD141" i="5"/>
  <c r="BH181" i="3"/>
  <c r="BH89" i="5"/>
  <c r="BM190" i="3"/>
  <c r="BM174" i="3"/>
  <c r="BM122" i="5" s="1"/>
  <c r="BM158" i="5" s="1"/>
  <c r="BL166" i="3"/>
  <c r="BH115" i="3"/>
  <c r="BH125" i="3" s="1"/>
  <c r="BJ6" i="3"/>
  <c r="BJ165" i="3" s="1"/>
  <c r="BI95" i="3"/>
  <c r="BI105" i="3" s="1"/>
  <c r="AP47" i="10" l="1"/>
  <c r="AV97" i="5" s="1"/>
  <c r="AO113" i="10"/>
  <c r="AO120" i="10" s="1"/>
  <c r="AP35" i="10"/>
  <c r="AP90" i="10"/>
  <c r="AD126" i="10"/>
  <c r="AE24" i="14" s="1"/>
  <c r="AE65" i="14" s="1"/>
  <c r="AK26" i="10"/>
  <c r="AJ15" i="10"/>
  <c r="AP90" i="5"/>
  <c r="AG20" i="10"/>
  <c r="AF14" i="10"/>
  <c r="AE122" i="10"/>
  <c r="AE115" i="10"/>
  <c r="BN233" i="3"/>
  <c r="AT32" i="3"/>
  <c r="AN79" i="10" s="1"/>
  <c r="AU31" i="5"/>
  <c r="BH37" i="3"/>
  <c r="BG40" i="3"/>
  <c r="AU41" i="3"/>
  <c r="AO80" i="10" s="1"/>
  <c r="AV36" i="5"/>
  <c r="BF46" i="5"/>
  <c r="BG55" i="3"/>
  <c r="AW41" i="5"/>
  <c r="AV50" i="3"/>
  <c r="AP81" i="10" s="1"/>
  <c r="BI28" i="3"/>
  <c r="BH31" i="3"/>
  <c r="BI54" i="5"/>
  <c r="BJ66" i="3"/>
  <c r="BG46" i="3"/>
  <c r="BF49" i="3"/>
  <c r="AX221" i="3"/>
  <c r="AW186" i="5"/>
  <c r="AW33" i="6" s="1"/>
  <c r="AX219" i="3"/>
  <c r="AW184" i="5"/>
  <c r="AW31" i="6" s="1"/>
  <c r="AX220" i="3"/>
  <c r="AW185" i="5"/>
  <c r="AW32" i="6" s="1"/>
  <c r="BK203" i="3"/>
  <c r="BK151" i="5"/>
  <c r="BF159" i="5"/>
  <c r="BD173" i="5"/>
  <c r="BM140" i="5"/>
  <c r="BM172" i="5" s="1"/>
  <c r="BM214" i="3"/>
  <c r="BE166" i="5"/>
  <c r="BL131" i="5"/>
  <c r="BL165" i="5" s="1"/>
  <c r="BL208" i="3"/>
  <c r="BG197" i="3"/>
  <c r="BG152" i="5" s="1"/>
  <c r="BL113" i="5"/>
  <c r="BL196" i="3"/>
  <c r="BN174" i="3"/>
  <c r="BN122" i="5" s="1"/>
  <c r="BN158" i="5" s="1"/>
  <c r="BH189" i="3"/>
  <c r="BH96" i="5"/>
  <c r="BH103" i="5" s="1"/>
  <c r="BH114" i="5" s="1"/>
  <c r="BF132" i="5"/>
  <c r="BE141" i="5"/>
  <c r="BG123" i="5"/>
  <c r="BN190" i="3"/>
  <c r="BI181" i="3"/>
  <c r="BI89" i="5"/>
  <c r="BM182" i="3"/>
  <c r="BJ173" i="3"/>
  <c r="BJ202" i="3" s="1"/>
  <c r="BJ209" i="3" s="1"/>
  <c r="BJ215" i="3" s="1"/>
  <c r="BJ82" i="5"/>
  <c r="BI115" i="3"/>
  <c r="BI125" i="3" s="1"/>
  <c r="BM166" i="3"/>
  <c r="BK6" i="3"/>
  <c r="BK165" i="3" s="1"/>
  <c r="BJ95" i="3"/>
  <c r="BJ105" i="3" s="1"/>
  <c r="AP16" i="10" l="1"/>
  <c r="AQ32" i="10"/>
  <c r="AE124" i="10"/>
  <c r="AE125" i="10"/>
  <c r="AE123" i="10"/>
  <c r="AF111" i="10"/>
  <c r="AF118" i="10" s="1"/>
  <c r="AG45" i="10"/>
  <c r="AJ112" i="10"/>
  <c r="AJ119" i="10" s="1"/>
  <c r="AK46" i="10"/>
  <c r="AG23" i="10"/>
  <c r="AG88" i="10"/>
  <c r="AH88" i="10" s="1"/>
  <c r="AK29" i="10"/>
  <c r="AK89" i="10"/>
  <c r="BH46" i="3"/>
  <c r="BG49" i="3"/>
  <c r="BI31" i="3"/>
  <c r="BJ28" i="3"/>
  <c r="BI37" i="3"/>
  <c r="BH40" i="3"/>
  <c r="BK66" i="3"/>
  <c r="BJ54" i="5"/>
  <c r="AU50" i="3"/>
  <c r="AO81" i="10" s="1"/>
  <c r="AV41" i="5"/>
  <c r="BG46" i="5"/>
  <c r="BH55" i="3"/>
  <c r="AU36" i="5"/>
  <c r="AT41" i="3"/>
  <c r="AN80" i="10" s="1"/>
  <c r="AS32" i="3"/>
  <c r="AM79" i="10" s="1"/>
  <c r="AT31" i="5"/>
  <c r="AY220" i="3"/>
  <c r="AX185" i="5"/>
  <c r="AX32" i="6" s="1"/>
  <c r="AY221" i="3"/>
  <c r="AX186" i="5"/>
  <c r="AX33" i="6" s="1"/>
  <c r="AY219" i="3"/>
  <c r="AX184" i="5"/>
  <c r="AX31" i="6" s="1"/>
  <c r="BG159" i="5"/>
  <c r="BF166" i="5"/>
  <c r="BN140" i="5"/>
  <c r="BN172" i="5" s="1"/>
  <c r="BN214" i="3"/>
  <c r="BL203" i="3"/>
  <c r="BL151" i="5"/>
  <c r="BE173" i="5"/>
  <c r="BH197" i="3"/>
  <c r="BH152" i="5" s="1"/>
  <c r="BM131" i="5"/>
  <c r="BM165" i="5" s="1"/>
  <c r="BM208" i="3"/>
  <c r="BM113" i="5"/>
  <c r="BM196" i="3"/>
  <c r="BK173" i="3"/>
  <c r="BK202" i="3" s="1"/>
  <c r="BK209" i="3" s="1"/>
  <c r="BK215" i="3" s="1"/>
  <c r="BK82" i="5"/>
  <c r="BH123" i="5"/>
  <c r="BN182" i="3"/>
  <c r="BJ181" i="3"/>
  <c r="BJ89" i="5"/>
  <c r="BN166" i="3"/>
  <c r="BI189" i="3"/>
  <c r="BI96" i="5"/>
  <c r="BI103" i="5" s="1"/>
  <c r="BI114" i="5" s="1"/>
  <c r="BG132" i="5"/>
  <c r="BF141" i="5"/>
  <c r="BJ115" i="3"/>
  <c r="BJ125" i="3" s="1"/>
  <c r="BL6" i="3"/>
  <c r="BL165" i="3" s="1"/>
  <c r="BK95" i="3"/>
  <c r="BK105" i="3" s="1"/>
  <c r="AQ90" i="10" l="1"/>
  <c r="AQ35" i="10"/>
  <c r="AP113" i="10"/>
  <c r="AP120" i="10" s="1"/>
  <c r="AQ47" i="10"/>
  <c r="AW97" i="5" s="1"/>
  <c r="AE126" i="10"/>
  <c r="AF24" i="14" s="1"/>
  <c r="AF65" i="14" s="1"/>
  <c r="AL26" i="10"/>
  <c r="AK15" i="10"/>
  <c r="AM83" i="5"/>
  <c r="AH45" i="10"/>
  <c r="AN83" i="5" s="1"/>
  <c r="AG14" i="10"/>
  <c r="AI20" i="10"/>
  <c r="AF122" i="10"/>
  <c r="AF115" i="10"/>
  <c r="AQ90" i="5"/>
  <c r="AS41" i="3"/>
  <c r="AM80" i="10" s="1"/>
  <c r="AT36" i="5"/>
  <c r="BK28" i="3"/>
  <c r="BJ31" i="3"/>
  <c r="AT50" i="3"/>
  <c r="AN81" i="10" s="1"/>
  <c r="AU41" i="5"/>
  <c r="BI40" i="3"/>
  <c r="BJ37" i="3"/>
  <c r="BH46" i="5"/>
  <c r="BI55" i="3"/>
  <c r="AS31" i="5"/>
  <c r="AR32" i="3"/>
  <c r="AL79" i="10" s="1"/>
  <c r="BL66" i="3"/>
  <c r="BK54" i="5"/>
  <c r="BI46" i="3"/>
  <c r="BH49" i="3"/>
  <c r="AZ221" i="3"/>
  <c r="AZ186" i="5" s="1"/>
  <c r="AZ33" i="6" s="1"/>
  <c r="AY186" i="5"/>
  <c r="AY33" i="6" s="1"/>
  <c r="AZ219" i="3"/>
  <c r="AZ184" i="5" s="1"/>
  <c r="AZ31" i="6" s="1"/>
  <c r="AY184" i="5"/>
  <c r="AY31" i="6" s="1"/>
  <c r="AZ220" i="3"/>
  <c r="AZ185" i="5" s="1"/>
  <c r="AZ32" i="6" s="1"/>
  <c r="AY185" i="5"/>
  <c r="AY32" i="6" s="1"/>
  <c r="BG166" i="5"/>
  <c r="BM203" i="3"/>
  <c r="BM151" i="5"/>
  <c r="BH159" i="5"/>
  <c r="BF173" i="5"/>
  <c r="BI197" i="3"/>
  <c r="BI152" i="5" s="1"/>
  <c r="BN131" i="5"/>
  <c r="BN165" i="5" s="1"/>
  <c r="BN208" i="3"/>
  <c r="BN113" i="5"/>
  <c r="BN196" i="3"/>
  <c r="BL173" i="3"/>
  <c r="BL202" i="3" s="1"/>
  <c r="BL209" i="3" s="1"/>
  <c r="BL215" i="3" s="1"/>
  <c r="BL82" i="5"/>
  <c r="BH132" i="5"/>
  <c r="BG141" i="5"/>
  <c r="BJ189" i="3"/>
  <c r="BJ96" i="5"/>
  <c r="BJ103" i="5" s="1"/>
  <c r="BJ114" i="5" s="1"/>
  <c r="BI123" i="5"/>
  <c r="BK181" i="3"/>
  <c r="BK89" i="5"/>
  <c r="BK115" i="3"/>
  <c r="BK125" i="3" s="1"/>
  <c r="BM6" i="3"/>
  <c r="BL95" i="3"/>
  <c r="BL105" i="3" s="1"/>
  <c r="AR32" i="10" l="1"/>
  <c r="AQ16" i="10"/>
  <c r="AI23" i="10"/>
  <c r="AI88" i="10"/>
  <c r="AL46" i="10"/>
  <c r="AK112" i="10"/>
  <c r="AK119" i="10" s="1"/>
  <c r="AG111" i="10"/>
  <c r="E61" i="10"/>
  <c r="AI45" i="10"/>
  <c r="AL29" i="10"/>
  <c r="AL89" i="10"/>
  <c r="AF124" i="10"/>
  <c r="AF123" i="10"/>
  <c r="AF125" i="10"/>
  <c r="AT41" i="5"/>
  <c r="AS50" i="3"/>
  <c r="AM81" i="10" s="1"/>
  <c r="BJ46" i="3"/>
  <c r="BI49" i="3"/>
  <c r="BI46" i="5"/>
  <c r="BJ55" i="3"/>
  <c r="BK37" i="3"/>
  <c r="BJ40" i="3"/>
  <c r="AQ32" i="3"/>
  <c r="AK79" i="10" s="1"/>
  <c r="AR31" i="5"/>
  <c r="BL28" i="3"/>
  <c r="BK31" i="3"/>
  <c r="BL54" i="5"/>
  <c r="BM66" i="3"/>
  <c r="AR41" i="3"/>
  <c r="AL80" i="10" s="1"/>
  <c r="AS36" i="5"/>
  <c r="BB220" i="3"/>
  <c r="BB221" i="3"/>
  <c r="BB219" i="3"/>
  <c r="BH166" i="5"/>
  <c r="BG173" i="5"/>
  <c r="BN203" i="3"/>
  <c r="BN151" i="5"/>
  <c r="BI159" i="5"/>
  <c r="BJ197" i="3"/>
  <c r="BJ152" i="5" s="1"/>
  <c r="BJ123" i="5"/>
  <c r="BH141" i="5"/>
  <c r="BI132" i="5"/>
  <c r="BK189" i="3"/>
  <c r="BK96" i="5"/>
  <c r="BK103" i="5" s="1"/>
  <c r="BK114" i="5" s="1"/>
  <c r="BL181" i="3"/>
  <c r="BL89" i="5"/>
  <c r="BL115" i="3"/>
  <c r="BL125" i="3" s="1"/>
  <c r="BM95" i="3"/>
  <c r="BN95" i="3" s="1"/>
  <c r="BN105" i="3" s="1"/>
  <c r="BM165" i="3"/>
  <c r="BM82" i="5" s="1"/>
  <c r="AR47" i="10" l="1"/>
  <c r="AX97" i="5" s="1"/>
  <c r="AQ113" i="10"/>
  <c r="AQ120" i="10" s="1"/>
  <c r="AR35" i="10"/>
  <c r="AR90" i="10"/>
  <c r="AG118" i="10"/>
  <c r="AH111" i="10"/>
  <c r="AH115" i="10" s="1"/>
  <c r="AF126" i="10"/>
  <c r="AG24" i="14" s="1"/>
  <c r="AG65" i="14" s="1"/>
  <c r="E65" i="10"/>
  <c r="AG115" i="10"/>
  <c r="AI14" i="10"/>
  <c r="AJ20" i="10"/>
  <c r="AM26" i="10"/>
  <c r="AL15" i="10"/>
  <c r="AO83" i="5"/>
  <c r="AI49" i="10"/>
  <c r="AR90" i="5"/>
  <c r="AP32" i="3"/>
  <c r="AJ79" i="10" s="1"/>
  <c r="AQ31" i="5"/>
  <c r="BJ46" i="5"/>
  <c r="BK55" i="3"/>
  <c r="AQ41" i="3"/>
  <c r="AK80" i="10" s="1"/>
  <c r="AR36" i="5"/>
  <c r="BL31" i="3"/>
  <c r="BM28" i="3"/>
  <c r="AR50" i="3"/>
  <c r="AL81" i="10" s="1"/>
  <c r="AS41" i="5"/>
  <c r="BN66" i="3"/>
  <c r="BN54" i="5" s="1"/>
  <c r="BM54" i="5"/>
  <c r="BL37" i="3"/>
  <c r="BK40" i="3"/>
  <c r="BK46" i="3"/>
  <c r="BJ49" i="3"/>
  <c r="BC220" i="3"/>
  <c r="BB185" i="5"/>
  <c r="BC221" i="3"/>
  <c r="BB186" i="5"/>
  <c r="BC219" i="3"/>
  <c r="BB184" i="5"/>
  <c r="BH173" i="5"/>
  <c r="BI166" i="5"/>
  <c r="BJ159" i="5"/>
  <c r="BJ166" i="5" s="1"/>
  <c r="BJ173" i="5" s="1"/>
  <c r="BK197" i="3"/>
  <c r="BK152" i="5" s="1"/>
  <c r="BK123" i="5"/>
  <c r="BL189" i="3"/>
  <c r="BL96" i="5"/>
  <c r="BL103" i="5" s="1"/>
  <c r="BL114" i="5" s="1"/>
  <c r="BI141" i="5"/>
  <c r="BJ132" i="5"/>
  <c r="BN165" i="3"/>
  <c r="BM173" i="3"/>
  <c r="BM202" i="3" s="1"/>
  <c r="BM209" i="3" s="1"/>
  <c r="BM215" i="3" s="1"/>
  <c r="BN115" i="3"/>
  <c r="BN125" i="3" s="1"/>
  <c r="BM105" i="3"/>
  <c r="AS32" i="10" l="1"/>
  <c r="AR16" i="10"/>
  <c r="AM29" i="10"/>
  <c r="AM89" i="10"/>
  <c r="AH118" i="10"/>
  <c r="AG122" i="10"/>
  <c r="AJ23" i="10"/>
  <c r="AJ88" i="10"/>
  <c r="AI111" i="10"/>
  <c r="AI118" i="10" s="1"/>
  <c r="AJ45" i="10"/>
  <c r="E74" i="10"/>
  <c r="E73" i="10"/>
  <c r="E72" i="10"/>
  <c r="AL112" i="10"/>
  <c r="AL119" i="10" s="1"/>
  <c r="AM46" i="10"/>
  <c r="AG123" i="10"/>
  <c r="AH123" i="10" s="1"/>
  <c r="AG124" i="10"/>
  <c r="AH124" i="10" s="1"/>
  <c r="AG125" i="10"/>
  <c r="AH125" i="10" s="1"/>
  <c r="BB32" i="6"/>
  <c r="BB33" i="6"/>
  <c r="BB31" i="6"/>
  <c r="BK49" i="3"/>
  <c r="BL46" i="3"/>
  <c r="AQ50" i="3"/>
  <c r="AK81" i="10" s="1"/>
  <c r="AR41" i="5"/>
  <c r="AQ36" i="5"/>
  <c r="AP41" i="3"/>
  <c r="AJ80" i="10" s="1"/>
  <c r="BN28" i="3"/>
  <c r="BN31" i="3" s="1"/>
  <c r="BN32" i="3" s="1"/>
  <c r="BM31" i="3"/>
  <c r="AO32" i="3"/>
  <c r="AP31" i="5"/>
  <c r="BM37" i="3"/>
  <c r="BL40" i="3"/>
  <c r="BK46" i="5"/>
  <c r="BL55" i="3"/>
  <c r="BD219" i="3"/>
  <c r="BC184" i="5"/>
  <c r="BD221" i="3"/>
  <c r="BC186" i="5"/>
  <c r="BD220" i="3"/>
  <c r="BC185" i="5"/>
  <c r="BI173" i="5"/>
  <c r="BK159" i="5"/>
  <c r="BL197" i="3"/>
  <c r="BL152" i="5" s="1"/>
  <c r="BJ141" i="5"/>
  <c r="BM181" i="3"/>
  <c r="BM89" i="5"/>
  <c r="BN173" i="3"/>
  <c r="BN202" i="3" s="1"/>
  <c r="BN209" i="3" s="1"/>
  <c r="BN215" i="3" s="1"/>
  <c r="BN82" i="5"/>
  <c r="BK132" i="5"/>
  <c r="BL123" i="5"/>
  <c r="BM115" i="3"/>
  <c r="BM125" i="3" s="1"/>
  <c r="AR113" i="10" l="1"/>
  <c r="AR120" i="10" s="1"/>
  <c r="AS47" i="10"/>
  <c r="AY97" i="5" s="1"/>
  <c r="AS35" i="10"/>
  <c r="AS90" i="10"/>
  <c r="AO31" i="5"/>
  <c r="AI79" i="10"/>
  <c r="AH122" i="10"/>
  <c r="AH126" i="10" s="1"/>
  <c r="E67" i="10"/>
  <c r="E71" i="10" s="1"/>
  <c r="E75" i="10" s="1"/>
  <c r="L136" i="6" s="1"/>
  <c r="AS90" i="5"/>
  <c r="AP83" i="5"/>
  <c r="AJ49" i="10"/>
  <c r="AJ14" i="10"/>
  <c r="AK20" i="10"/>
  <c r="AM15" i="10"/>
  <c r="AN26" i="10"/>
  <c r="AI115" i="10"/>
  <c r="AG126" i="10"/>
  <c r="AH24" i="14" s="1"/>
  <c r="AH65" i="14" s="1"/>
  <c r="BC33" i="6"/>
  <c r="BC32" i="6"/>
  <c r="BC31" i="6"/>
  <c r="BN37" i="3"/>
  <c r="BN40" i="3" s="1"/>
  <c r="BN41" i="3" s="1"/>
  <c r="BM40" i="3"/>
  <c r="BM32" i="3"/>
  <c r="BN31" i="5"/>
  <c r="AP50" i="3"/>
  <c r="AJ81" i="10" s="1"/>
  <c r="AQ41" i="5"/>
  <c r="BL46" i="5"/>
  <c r="BM55" i="3"/>
  <c r="AO41" i="3"/>
  <c r="AP36" i="5"/>
  <c r="BM46" i="3"/>
  <c r="BL49" i="3"/>
  <c r="BE221" i="3"/>
  <c r="BD186" i="5"/>
  <c r="BE220" i="3"/>
  <c r="BD185" i="5"/>
  <c r="BE219" i="3"/>
  <c r="BD184" i="5"/>
  <c r="BL159" i="5"/>
  <c r="BK166" i="5"/>
  <c r="BK141" i="5"/>
  <c r="BM189" i="3"/>
  <c r="BM96" i="5"/>
  <c r="BM103" i="5" s="1"/>
  <c r="BM114" i="5" s="1"/>
  <c r="BL132" i="5"/>
  <c r="BN181" i="3"/>
  <c r="BN89" i="5"/>
  <c r="AS16" i="10" l="1"/>
  <c r="AT32" i="10"/>
  <c r="AO36" i="5"/>
  <c r="AI80" i="10"/>
  <c r="AJ111" i="10"/>
  <c r="AJ118" i="10" s="1"/>
  <c r="AK45" i="10"/>
  <c r="AN29" i="10"/>
  <c r="AN89" i="10"/>
  <c r="AM112" i="10"/>
  <c r="AM119" i="10" s="1"/>
  <c r="AN46" i="10"/>
  <c r="AT90" i="5" s="1"/>
  <c r="AI123" i="10"/>
  <c r="AI124" i="10"/>
  <c r="AI125" i="10"/>
  <c r="AK23" i="10"/>
  <c r="AK88" i="10"/>
  <c r="BD31" i="6"/>
  <c r="BD33" i="6"/>
  <c r="BD32" i="6"/>
  <c r="BM31" i="5"/>
  <c r="BL32" i="3"/>
  <c r="BN46" i="3"/>
  <c r="BN49" i="3" s="1"/>
  <c r="BN50" i="3" s="1"/>
  <c r="BM49" i="3"/>
  <c r="AO50" i="3"/>
  <c r="AP41" i="5"/>
  <c r="BM41" i="3"/>
  <c r="BN36" i="5"/>
  <c r="BM46" i="5"/>
  <c r="BN55" i="3"/>
  <c r="BN46" i="5" s="1"/>
  <c r="BF221" i="3"/>
  <c r="BE186" i="5"/>
  <c r="BF219" i="3"/>
  <c r="BE184" i="5"/>
  <c r="BF220" i="3"/>
  <c r="BE185" i="5"/>
  <c r="BK173" i="5"/>
  <c r="BL166" i="5"/>
  <c r="BL173" i="5" s="1"/>
  <c r="BM197" i="3"/>
  <c r="BM152" i="5" s="1"/>
  <c r="BM123" i="5"/>
  <c r="BN189" i="3"/>
  <c r="BN96" i="5"/>
  <c r="BN103" i="5" s="1"/>
  <c r="BN114" i="5" s="1"/>
  <c r="BL141" i="5"/>
  <c r="AT35" i="10" l="1"/>
  <c r="AT16" i="10" s="1"/>
  <c r="AT90" i="10"/>
  <c r="AU90" i="10" s="1"/>
  <c r="AS113" i="10"/>
  <c r="AS120" i="10" s="1"/>
  <c r="AT47" i="10"/>
  <c r="AO41" i="5"/>
  <c r="AI81" i="10"/>
  <c r="AI122" i="10" s="1"/>
  <c r="AI126" i="10" s="1"/>
  <c r="AI24" i="14" s="1"/>
  <c r="AI65" i="14" s="1"/>
  <c r="AL20" i="10"/>
  <c r="AK14" i="10"/>
  <c r="AQ83" i="5"/>
  <c r="AK49" i="10"/>
  <c r="AJ122" i="10"/>
  <c r="AJ115" i="10"/>
  <c r="AO26" i="10"/>
  <c r="AN15" i="10"/>
  <c r="BE32" i="6"/>
  <c r="BE33" i="6"/>
  <c r="BE31" i="6"/>
  <c r="BM36" i="5"/>
  <c r="BL41" i="3"/>
  <c r="BM50" i="3"/>
  <c r="BN41" i="5"/>
  <c r="BK32" i="3"/>
  <c r="BL31" i="5"/>
  <c r="BG220" i="3"/>
  <c r="BF185" i="5"/>
  <c r="BG219" i="3"/>
  <c r="BF184" i="5"/>
  <c r="BG221" i="3"/>
  <c r="BF186" i="5"/>
  <c r="BM159" i="5"/>
  <c r="BN197" i="3"/>
  <c r="BN152" i="5" s="1"/>
  <c r="BN123" i="5"/>
  <c r="BM132" i="5"/>
  <c r="AU47" i="10" l="1"/>
  <c r="BA97" i="5" s="1"/>
  <c r="AZ97" i="5"/>
  <c r="F63" i="10"/>
  <c r="AT113" i="10"/>
  <c r="AJ125" i="10"/>
  <c r="AJ123" i="10"/>
  <c r="AJ124" i="10"/>
  <c r="AK111" i="10"/>
  <c r="AK118" i="10" s="1"/>
  <c r="AL45" i="10"/>
  <c r="AN112" i="10"/>
  <c r="AN119" i="10" s="1"/>
  <c r="AO46" i="10"/>
  <c r="AU90" i="5" s="1"/>
  <c r="AL23" i="10"/>
  <c r="AL88" i="10"/>
  <c r="AO29" i="10"/>
  <c r="AO89" i="10"/>
  <c r="BF32" i="6"/>
  <c r="BF33" i="6"/>
  <c r="BF31" i="6"/>
  <c r="BK31" i="5"/>
  <c r="BJ32" i="3"/>
  <c r="BL50" i="3"/>
  <c r="BM41" i="5"/>
  <c r="BK41" i="3"/>
  <c r="BL36" i="5"/>
  <c r="BH219" i="3"/>
  <c r="BG184" i="5"/>
  <c r="BH221" i="3"/>
  <c r="BG186" i="5"/>
  <c r="BH220" i="3"/>
  <c r="BG185" i="5"/>
  <c r="BM166" i="5"/>
  <c r="BN159" i="5"/>
  <c r="BM141" i="5"/>
  <c r="BN132" i="5"/>
  <c r="AT120" i="10" l="1"/>
  <c r="AU120" i="10" s="1"/>
  <c r="F69" i="10" s="1"/>
  <c r="AU113" i="10"/>
  <c r="AJ126" i="10"/>
  <c r="AJ24" i="14" s="1"/>
  <c r="AJ65" i="14" s="1"/>
  <c r="AP26" i="10"/>
  <c r="AO15" i="10"/>
  <c r="AR83" i="5"/>
  <c r="AL49" i="10"/>
  <c r="AL14" i="10"/>
  <c r="AM20" i="10"/>
  <c r="AK122" i="10"/>
  <c r="AK115" i="10"/>
  <c r="BG32" i="6"/>
  <c r="BG31" i="6"/>
  <c r="BG33" i="6"/>
  <c r="BJ41" i="3"/>
  <c r="BK36" i="5"/>
  <c r="BK50" i="3"/>
  <c r="BL41" i="5"/>
  <c r="BJ31" i="5"/>
  <c r="BI32" i="3"/>
  <c r="BI220" i="3"/>
  <c r="BH185" i="5"/>
  <c r="BI221" i="3"/>
  <c r="BH186" i="5"/>
  <c r="BI219" i="3"/>
  <c r="BH184" i="5"/>
  <c r="BN166" i="5"/>
  <c r="BN173" i="5" s="1"/>
  <c r="BM173" i="5"/>
  <c r="BN141" i="5"/>
  <c r="AM23" i="10" l="1"/>
  <c r="AM88" i="10"/>
  <c r="AL111" i="10"/>
  <c r="AL118" i="10" s="1"/>
  <c r="AM45" i="10"/>
  <c r="AO112" i="10"/>
  <c r="AO119" i="10" s="1"/>
  <c r="AP46" i="10"/>
  <c r="AV90" i="5" s="1"/>
  <c r="AK125" i="10"/>
  <c r="AK123" i="10"/>
  <c r="AK124" i="10"/>
  <c r="AP29" i="10"/>
  <c r="AP89" i="10"/>
  <c r="BH32" i="6"/>
  <c r="BH31" i="6"/>
  <c r="BH33" i="6"/>
  <c r="BH32" i="3"/>
  <c r="BI31" i="5"/>
  <c r="BJ50" i="3"/>
  <c r="BK41" i="5"/>
  <c r="BI41" i="3"/>
  <c r="BJ36" i="5"/>
  <c r="BJ221" i="3"/>
  <c r="BI186" i="5"/>
  <c r="BJ219" i="3"/>
  <c r="BI184" i="5"/>
  <c r="BJ220" i="3"/>
  <c r="BI185" i="5"/>
  <c r="AK126" i="10" l="1"/>
  <c r="AK24" i="14" s="1"/>
  <c r="AK65" i="14" s="1"/>
  <c r="AM49" i="10"/>
  <c r="AS83" i="5"/>
  <c r="AL122" i="10"/>
  <c r="AL115" i="10"/>
  <c r="AQ26" i="10"/>
  <c r="AP15" i="10"/>
  <c r="AN20" i="10"/>
  <c r="AM14" i="10"/>
  <c r="BI32" i="6"/>
  <c r="BI33" i="6"/>
  <c r="BI31" i="6"/>
  <c r="BH41" i="3"/>
  <c r="BI36" i="5"/>
  <c r="BJ41" i="5"/>
  <c r="BI50" i="3"/>
  <c r="BG32" i="3"/>
  <c r="BH31" i="5"/>
  <c r="BK220" i="3"/>
  <c r="BJ185" i="5"/>
  <c r="BK219" i="3"/>
  <c r="BJ184" i="5"/>
  <c r="BK221" i="3"/>
  <c r="BJ186" i="5"/>
  <c r="AN23" i="10" l="1"/>
  <c r="AN88" i="10"/>
  <c r="AP112" i="10"/>
  <c r="AP119" i="10" s="1"/>
  <c r="AQ46" i="10"/>
  <c r="AW90" i="5" s="1"/>
  <c r="AQ29" i="10"/>
  <c r="AQ89" i="10"/>
  <c r="AM111" i="10"/>
  <c r="AM118" i="10" s="1"/>
  <c r="AN45" i="10"/>
  <c r="AL123" i="10"/>
  <c r="AL125" i="10"/>
  <c r="AL124" i="10"/>
  <c r="BJ32" i="6"/>
  <c r="BJ33" i="6"/>
  <c r="BJ31" i="6"/>
  <c r="BG31" i="5"/>
  <c r="BF32" i="3"/>
  <c r="BH50" i="3"/>
  <c r="BI41" i="5"/>
  <c r="BG41" i="3"/>
  <c r="BH36" i="5"/>
  <c r="BL219" i="3"/>
  <c r="BK184" i="5"/>
  <c r="BL221" i="3"/>
  <c r="BK186" i="5"/>
  <c r="BL220" i="3"/>
  <c r="BK185" i="5"/>
  <c r="AL126" i="10" l="1"/>
  <c r="AL24" i="14" s="1"/>
  <c r="AL65" i="14" s="1"/>
  <c r="AQ15" i="10"/>
  <c r="AR26" i="10"/>
  <c r="AT83" i="5"/>
  <c r="AN49" i="10"/>
  <c r="AN14" i="10"/>
  <c r="AO20" i="10"/>
  <c r="AM122" i="10"/>
  <c r="AM115" i="10"/>
  <c r="BK33" i="6"/>
  <c r="BK32" i="6"/>
  <c r="BK31" i="6"/>
  <c r="BF41" i="3"/>
  <c r="BG36" i="5"/>
  <c r="BG50" i="3"/>
  <c r="BH41" i="5"/>
  <c r="BE32" i="3"/>
  <c r="BF31" i="5"/>
  <c r="BM220" i="3"/>
  <c r="BM185" i="5" s="1"/>
  <c r="BL185" i="5"/>
  <c r="BM221" i="3"/>
  <c r="BM186" i="5" s="1"/>
  <c r="BL186" i="5"/>
  <c r="BM219" i="3"/>
  <c r="BM184" i="5" s="1"/>
  <c r="BL184" i="5"/>
  <c r="AO23" i="10" l="1"/>
  <c r="AO88" i="10"/>
  <c r="AR29" i="10"/>
  <c r="AR89" i="10"/>
  <c r="AN111" i="10"/>
  <c r="AN118" i="10" s="1"/>
  <c r="AO45" i="10"/>
  <c r="AQ112" i="10"/>
  <c r="AQ119" i="10" s="1"/>
  <c r="AR46" i="10"/>
  <c r="AX90" i="5" s="1"/>
  <c r="AM124" i="10"/>
  <c r="AM125" i="10"/>
  <c r="AM123" i="10"/>
  <c r="BM31" i="6"/>
  <c r="BM33" i="6"/>
  <c r="BL31" i="6"/>
  <c r="BL32" i="6"/>
  <c r="BM32" i="6"/>
  <c r="BL33" i="6"/>
  <c r="BE41" i="3"/>
  <c r="BF36" i="5"/>
  <c r="BD32" i="3"/>
  <c r="BE31" i="5"/>
  <c r="BF50" i="3"/>
  <c r="BG41" i="5"/>
  <c r="AM126" i="10" l="1"/>
  <c r="AM24" i="14" s="1"/>
  <c r="AM65" i="14" s="1"/>
  <c r="AS26" i="10"/>
  <c r="AS29" i="10" s="1"/>
  <c r="AR15" i="10"/>
  <c r="AU83" i="5"/>
  <c r="AO49" i="10"/>
  <c r="AN122" i="10"/>
  <c r="AN115" i="10"/>
  <c r="AP20" i="10"/>
  <c r="AO14" i="10"/>
  <c r="BC32" i="3"/>
  <c r="BD31" i="5"/>
  <c r="BE50" i="3"/>
  <c r="BF41" i="5"/>
  <c r="BD41" i="3"/>
  <c r="BE36" i="5"/>
  <c r="AP23" i="10" l="1"/>
  <c r="AP88" i="10"/>
  <c r="AN124" i="10"/>
  <c r="AN125" i="10"/>
  <c r="AN123" i="10"/>
  <c r="AR112" i="10"/>
  <c r="AR119" i="10" s="1"/>
  <c r="AS46" i="10"/>
  <c r="AY90" i="5" s="1"/>
  <c r="AS89" i="10"/>
  <c r="AO111" i="10"/>
  <c r="AO118" i="10" s="1"/>
  <c r="AP45" i="10"/>
  <c r="BC41" i="3"/>
  <c r="BD36" i="5"/>
  <c r="BD50" i="3"/>
  <c r="BE41" i="5"/>
  <c r="BC31" i="5"/>
  <c r="BB32" i="3"/>
  <c r="BB31" i="5" s="1"/>
  <c r="AN126" i="10" l="1"/>
  <c r="AN24" i="14" s="1"/>
  <c r="AN65" i="14" s="1"/>
  <c r="AT26" i="10"/>
  <c r="AS15" i="10"/>
  <c r="AQ20" i="10"/>
  <c r="AP14" i="10"/>
  <c r="AV83" i="5"/>
  <c r="AP49" i="10"/>
  <c r="AO122" i="10"/>
  <c r="AO115" i="10"/>
  <c r="BC50" i="3"/>
  <c r="BD41" i="5"/>
  <c r="BC36" i="5"/>
  <c r="BB41" i="3"/>
  <c r="BB36" i="5" s="1"/>
  <c r="AS112" i="10" l="1"/>
  <c r="AS119" i="10" s="1"/>
  <c r="AT46" i="10"/>
  <c r="AT29" i="10"/>
  <c r="AT15" i="10" s="1"/>
  <c r="AT89" i="10"/>
  <c r="AO124" i="10"/>
  <c r="AO125" i="10"/>
  <c r="AO123" i="10"/>
  <c r="AP111" i="10"/>
  <c r="AP118" i="10" s="1"/>
  <c r="AQ45" i="10"/>
  <c r="AQ23" i="10"/>
  <c r="AQ88" i="10"/>
  <c r="BC41" i="5"/>
  <c r="BB50" i="3"/>
  <c r="BB41" i="5" s="1"/>
  <c r="AO126" i="10" l="1"/>
  <c r="AO24" i="14" s="1"/>
  <c r="AO65" i="14" s="1"/>
  <c r="AU89" i="10"/>
  <c r="AR20" i="10"/>
  <c r="AQ14" i="10"/>
  <c r="F62" i="10"/>
  <c r="AT112" i="10"/>
  <c r="AZ90" i="5"/>
  <c r="AU46" i="10"/>
  <c r="BA90" i="5" s="1"/>
  <c r="AQ49" i="10"/>
  <c r="AW83" i="5"/>
  <c r="AP122" i="10"/>
  <c r="AP115" i="10"/>
  <c r="J81" i="3"/>
  <c r="I19" i="3"/>
  <c r="H19" i="3" s="1"/>
  <c r="J9" i="6"/>
  <c r="O22" i="3"/>
  <c r="M22" i="3" s="1"/>
  <c r="L22" i="3" s="1"/>
  <c r="K22" i="3" s="1"/>
  <c r="AT119" i="10" l="1"/>
  <c r="AU119" i="10" s="1"/>
  <c r="F68" i="10" s="1"/>
  <c r="AU112" i="10"/>
  <c r="AP124" i="10"/>
  <c r="AP125" i="10"/>
  <c r="AP123" i="10"/>
  <c r="AQ111" i="10"/>
  <c r="AQ118" i="10" s="1"/>
  <c r="AR45" i="10"/>
  <c r="AR23" i="10"/>
  <c r="AR88" i="10"/>
  <c r="O19" i="3"/>
  <c r="O18" i="5" s="1"/>
  <c r="O18" i="3"/>
  <c r="O21" i="3"/>
  <c r="O20" i="3"/>
  <c r="O70" i="3" s="1"/>
  <c r="O57" i="5" s="1"/>
  <c r="O62" i="5" s="1"/>
  <c r="AA62" i="5" s="1"/>
  <c r="J19" i="5"/>
  <c r="J180" i="3"/>
  <c r="J207" i="3" s="1"/>
  <c r="J114" i="3"/>
  <c r="J94" i="5" s="1"/>
  <c r="O71" i="5"/>
  <c r="AA71" i="5" s="1"/>
  <c r="J18" i="5"/>
  <c r="J104" i="3"/>
  <c r="J87" i="5" s="1"/>
  <c r="J38" i="5"/>
  <c r="J17" i="5"/>
  <c r="J80" i="5"/>
  <c r="J20" i="5"/>
  <c r="J124" i="3"/>
  <c r="J188" i="3" s="1"/>
  <c r="J69" i="3"/>
  <c r="J56" i="5" s="1"/>
  <c r="J61" i="5" s="1"/>
  <c r="O47" i="5"/>
  <c r="O48" i="5" s="1"/>
  <c r="AA48" i="5" s="1"/>
  <c r="O71" i="3"/>
  <c r="O58" i="5" s="1"/>
  <c r="O63" i="5" s="1"/>
  <c r="AA63" i="5" s="1"/>
  <c r="J33" i="5"/>
  <c r="J75" i="5"/>
  <c r="J76" i="5" s="1"/>
  <c r="I69" i="3"/>
  <c r="J68" i="3"/>
  <c r="J55" i="5" s="1"/>
  <c r="J60" i="5" s="1"/>
  <c r="J47" i="5"/>
  <c r="J48" i="5" s="1"/>
  <c r="I172" i="3"/>
  <c r="I20" i="3"/>
  <c r="J43" i="5"/>
  <c r="J71" i="3"/>
  <c r="J58" i="5" s="1"/>
  <c r="J63" i="5" s="1"/>
  <c r="H69" i="3"/>
  <c r="J70" i="3"/>
  <c r="J57" i="5" s="1"/>
  <c r="J62" i="5" s="1"/>
  <c r="I42" i="3"/>
  <c r="H42" i="3"/>
  <c r="I104" i="3"/>
  <c r="G19" i="3"/>
  <c r="O9" i="6"/>
  <c r="H172" i="3"/>
  <c r="I18" i="3"/>
  <c r="I21" i="3"/>
  <c r="H104" i="3"/>
  <c r="AP126" i="10" l="1"/>
  <c r="AP24" i="14" s="1"/>
  <c r="AP65" i="14" s="1"/>
  <c r="AQ122" i="10"/>
  <c r="AQ115" i="10"/>
  <c r="AR14" i="10"/>
  <c r="AS20" i="10"/>
  <c r="AX83" i="5"/>
  <c r="AR49" i="10"/>
  <c r="J50" i="5"/>
  <c r="J21" i="6" s="1"/>
  <c r="Q16" i="2" s="1"/>
  <c r="Q46" i="2" s="1"/>
  <c r="M19" i="3"/>
  <c r="AA21" i="3"/>
  <c r="O20" i="5"/>
  <c r="AA20" i="3"/>
  <c r="O42" i="5"/>
  <c r="O43" i="5" s="1"/>
  <c r="AA43" i="5" s="1"/>
  <c r="J111" i="5"/>
  <c r="J170" i="3"/>
  <c r="J171" i="3"/>
  <c r="J179" i="3" s="1"/>
  <c r="J187" i="3" s="1"/>
  <c r="O19" i="5"/>
  <c r="M18" i="3"/>
  <c r="M21" i="3"/>
  <c r="M20" i="3"/>
  <c r="AA124" i="3"/>
  <c r="O69" i="3"/>
  <c r="O56" i="5" s="1"/>
  <c r="O61" i="5" s="1"/>
  <c r="AA61" i="5" s="1"/>
  <c r="O104" i="3"/>
  <c r="O87" i="5" s="1"/>
  <c r="O172" i="3"/>
  <c r="O121" i="5" s="1"/>
  <c r="O164" i="3"/>
  <c r="O94" i="3"/>
  <c r="O80" i="5" s="1"/>
  <c r="O38" i="5"/>
  <c r="AA38" i="5" s="1"/>
  <c r="J164" i="5"/>
  <c r="O180" i="3"/>
  <c r="O114" i="3"/>
  <c r="O94" i="5" s="1"/>
  <c r="AA19" i="3"/>
  <c r="I201" i="3"/>
  <c r="J101" i="5"/>
  <c r="O188" i="3"/>
  <c r="H201" i="3"/>
  <c r="O85" i="3"/>
  <c r="O75" i="5" s="1"/>
  <c r="O81" i="3"/>
  <c r="G172" i="3"/>
  <c r="G104" i="3"/>
  <c r="G42" i="3"/>
  <c r="G69" i="3"/>
  <c r="J65" i="5"/>
  <c r="J22" i="6" s="1"/>
  <c r="J150" i="5"/>
  <c r="J112" i="5"/>
  <c r="J117" i="5" s="1"/>
  <c r="AA18" i="3"/>
  <c r="O33" i="5"/>
  <c r="AA33" i="5" s="1"/>
  <c r="O68" i="3"/>
  <c r="O55" i="5" s="1"/>
  <c r="O60" i="5" s="1"/>
  <c r="AA60" i="5" s="1"/>
  <c r="O17" i="5"/>
  <c r="I71" i="3"/>
  <c r="I124" i="3"/>
  <c r="H21" i="3"/>
  <c r="I57" i="3"/>
  <c r="H18" i="3"/>
  <c r="I164" i="3"/>
  <c r="I33" i="3"/>
  <c r="I94" i="3"/>
  <c r="I68" i="3"/>
  <c r="I22" i="3"/>
  <c r="J201" i="3"/>
  <c r="J121" i="5"/>
  <c r="I70" i="3"/>
  <c r="H20" i="3"/>
  <c r="I114" i="3"/>
  <c r="I51" i="3"/>
  <c r="I180" i="3"/>
  <c r="J135" i="5"/>
  <c r="AA71" i="3"/>
  <c r="AA58" i="5" s="1"/>
  <c r="AQ123" i="10" l="1"/>
  <c r="AQ125" i="10"/>
  <c r="AQ124" i="10"/>
  <c r="AS23" i="10"/>
  <c r="AS88" i="10"/>
  <c r="AR111" i="10"/>
  <c r="AR118" i="10" s="1"/>
  <c r="AS45" i="10"/>
  <c r="J106" i="5"/>
  <c r="AA19" i="5"/>
  <c r="AA114" i="3"/>
  <c r="AA94" i="5" s="1"/>
  <c r="AA20" i="5"/>
  <c r="O76" i="5"/>
  <c r="AA76" i="5" s="1"/>
  <c r="AA70" i="3"/>
  <c r="AA57" i="5" s="1"/>
  <c r="AA180" i="3"/>
  <c r="AA207" i="3" s="1"/>
  <c r="O201" i="3"/>
  <c r="AA42" i="5"/>
  <c r="O111" i="5"/>
  <c r="O162" i="3"/>
  <c r="O171" i="3" s="1"/>
  <c r="O179" i="3" s="1"/>
  <c r="O187" i="3" s="1"/>
  <c r="O170" i="3"/>
  <c r="J120" i="5"/>
  <c r="J178" i="3"/>
  <c r="AA22" i="3"/>
  <c r="O65" i="5"/>
  <c r="O22" i="6" s="1"/>
  <c r="AA104" i="3"/>
  <c r="AA87" i="5" s="1"/>
  <c r="AA172" i="3"/>
  <c r="AA201" i="3" s="1"/>
  <c r="O207" i="3"/>
  <c r="O130" i="5"/>
  <c r="AA69" i="3"/>
  <c r="AA56" i="5" s="1"/>
  <c r="AA18" i="5"/>
  <c r="AA164" i="3"/>
  <c r="AA94" i="3"/>
  <c r="AA80" i="5" s="1"/>
  <c r="I207" i="3"/>
  <c r="G201" i="3"/>
  <c r="AA121" i="5"/>
  <c r="AA157" i="5" s="1"/>
  <c r="O112" i="5"/>
  <c r="O195" i="3"/>
  <c r="O150" i="5" s="1"/>
  <c r="AA153" i="5" s="1"/>
  <c r="O157" i="5"/>
  <c r="AA160" i="5" s="1"/>
  <c r="O139" i="5"/>
  <c r="O213" i="3"/>
  <c r="J126" i="5"/>
  <c r="J157" i="5"/>
  <c r="I80" i="3"/>
  <c r="I9" i="6"/>
  <c r="I195" i="3"/>
  <c r="H71" i="3"/>
  <c r="H124" i="3"/>
  <c r="G21" i="3"/>
  <c r="H57" i="3"/>
  <c r="O50" i="5"/>
  <c r="O21" i="6" s="1"/>
  <c r="V16" i="2" s="1"/>
  <c r="V46" i="2" s="1"/>
  <c r="AA68" i="3"/>
  <c r="AA55" i="5" s="1"/>
  <c r="AA65" i="5" s="1"/>
  <c r="AA17" i="5"/>
  <c r="O106" i="5"/>
  <c r="AA188" i="3"/>
  <c r="AA101" i="5"/>
  <c r="H70" i="3"/>
  <c r="G20" i="3"/>
  <c r="H114" i="3"/>
  <c r="H51" i="3"/>
  <c r="H180" i="3"/>
  <c r="I22" i="6"/>
  <c r="H22" i="3"/>
  <c r="H68" i="3"/>
  <c r="G18" i="3"/>
  <c r="H164" i="3"/>
  <c r="H33" i="3"/>
  <c r="H94" i="3"/>
  <c r="I188" i="3"/>
  <c r="J213" i="3"/>
  <c r="J139" i="5"/>
  <c r="AQ126" i="10" l="1"/>
  <c r="AQ24" i="14" s="1"/>
  <c r="AQ65" i="14" s="1"/>
  <c r="AY83" i="5"/>
  <c r="AS49" i="10"/>
  <c r="AR122" i="10"/>
  <c r="AR115" i="10"/>
  <c r="AT20" i="10"/>
  <c r="AS14" i="10"/>
  <c r="AS111" i="10" s="1"/>
  <c r="AS118" i="10" s="1"/>
  <c r="AA130" i="5"/>
  <c r="AA164" i="5" s="1"/>
  <c r="O120" i="5"/>
  <c r="O178" i="3"/>
  <c r="J129" i="5"/>
  <c r="J186" i="3"/>
  <c r="J138" i="5" s="1"/>
  <c r="AA170" i="3"/>
  <c r="AA162" i="3"/>
  <c r="AA171" i="3" s="1"/>
  <c r="AA179" i="3" s="1"/>
  <c r="AA187" i="3" s="1"/>
  <c r="AA111" i="5"/>
  <c r="AA22" i="6"/>
  <c r="I21" i="6"/>
  <c r="H22" i="6"/>
  <c r="O164" i="5"/>
  <c r="AA167" i="5" s="1"/>
  <c r="G114" i="3"/>
  <c r="G51" i="3"/>
  <c r="G70" i="3"/>
  <c r="G180" i="3"/>
  <c r="H195" i="3"/>
  <c r="H207" i="3"/>
  <c r="AA139" i="5"/>
  <c r="AA171" i="5" s="1"/>
  <c r="AA213" i="3"/>
  <c r="I81" i="3"/>
  <c r="I85" i="3"/>
  <c r="AA117" i="5"/>
  <c r="O117" i="5"/>
  <c r="J144" i="5"/>
  <c r="J146" i="5" s="1"/>
  <c r="J171" i="5"/>
  <c r="AB47" i="5"/>
  <c r="AB48" i="5" s="1"/>
  <c r="AB20" i="5"/>
  <c r="AC124" i="3"/>
  <c r="AB71" i="3"/>
  <c r="AB58" i="5" s="1"/>
  <c r="AB63" i="5" s="1"/>
  <c r="AB18" i="5"/>
  <c r="AB87" i="5"/>
  <c r="AB38" i="5"/>
  <c r="AB69" i="3"/>
  <c r="AB56" i="5" s="1"/>
  <c r="AB61" i="5" s="1"/>
  <c r="G33" i="3"/>
  <c r="G68" i="3"/>
  <c r="G22" i="3"/>
  <c r="G94" i="3"/>
  <c r="G164" i="3"/>
  <c r="AA50" i="5"/>
  <c r="H80" i="3"/>
  <c r="H9" i="6"/>
  <c r="AA112" i="5"/>
  <c r="AA195" i="3"/>
  <c r="AA150" i="5" s="1"/>
  <c r="H188" i="3"/>
  <c r="I213" i="3"/>
  <c r="AA9" i="6"/>
  <c r="G71" i="3"/>
  <c r="G124" i="3"/>
  <c r="G57" i="3"/>
  <c r="O171" i="5"/>
  <c r="AA174" i="5" s="1"/>
  <c r="AB19" i="5"/>
  <c r="AB42" i="5"/>
  <c r="AB43" i="5" s="1"/>
  <c r="AB70" i="3"/>
  <c r="AB57" i="5" s="1"/>
  <c r="AB62" i="5" s="1"/>
  <c r="AB94" i="5"/>
  <c r="AT45" i="10" l="1"/>
  <c r="AR125" i="10"/>
  <c r="AR123" i="10"/>
  <c r="AR124" i="10"/>
  <c r="AT23" i="10"/>
  <c r="AT14" i="10" s="1"/>
  <c r="AT88" i="10"/>
  <c r="AU88" i="10" s="1"/>
  <c r="AA21" i="6"/>
  <c r="AH16" i="2" s="1"/>
  <c r="AH46" i="2" s="1"/>
  <c r="O126" i="5"/>
  <c r="O129" i="5"/>
  <c r="O135" i="5" s="1"/>
  <c r="O186" i="3"/>
  <c r="O138" i="5" s="1"/>
  <c r="O144" i="5" s="1"/>
  <c r="AA178" i="3"/>
  <c r="AA120" i="5"/>
  <c r="J176" i="5"/>
  <c r="J178" i="5" s="1"/>
  <c r="J180" i="5" s="1"/>
  <c r="O176" i="5"/>
  <c r="AA176" i="5"/>
  <c r="G21" i="6"/>
  <c r="H213" i="3"/>
  <c r="G80" i="3"/>
  <c r="G9" i="6"/>
  <c r="AC19" i="5"/>
  <c r="AC42" i="5"/>
  <c r="AC43" i="5" s="1"/>
  <c r="AC94" i="5"/>
  <c r="AC70" i="3"/>
  <c r="AC57" i="5" s="1"/>
  <c r="AC62" i="5" s="1"/>
  <c r="G188" i="3"/>
  <c r="G22" i="6"/>
  <c r="AB201" i="3"/>
  <c r="AB121" i="5"/>
  <c r="AB101" i="5"/>
  <c r="AB188" i="3"/>
  <c r="H21" i="6"/>
  <c r="AA85" i="3"/>
  <c r="AA75" i="5" s="1"/>
  <c r="AB130" i="5"/>
  <c r="AB207" i="3"/>
  <c r="H85" i="3"/>
  <c r="H81" i="3"/>
  <c r="G195" i="3"/>
  <c r="AC18" i="5"/>
  <c r="AC38" i="5"/>
  <c r="AC69" i="3"/>
  <c r="AC56" i="5" s="1"/>
  <c r="AC61" i="5" s="1"/>
  <c r="AC87" i="5"/>
  <c r="AC47" i="5"/>
  <c r="AC48" i="5" s="1"/>
  <c r="AC20" i="5"/>
  <c r="AC71" i="3"/>
  <c r="AC58" i="5" s="1"/>
  <c r="AC63" i="5" s="1"/>
  <c r="AB80" i="5"/>
  <c r="AB17" i="5"/>
  <c r="AB68" i="3"/>
  <c r="AB55" i="5" s="1"/>
  <c r="AB33" i="5"/>
  <c r="G207" i="3"/>
  <c r="AR126" i="10" l="1"/>
  <c r="AR24" i="14" s="1"/>
  <c r="AR65" i="14" s="1"/>
  <c r="AT111" i="10"/>
  <c r="F61" i="10"/>
  <c r="AZ83" i="5"/>
  <c r="AT49" i="10"/>
  <c r="AU45" i="10"/>
  <c r="AS122" i="10"/>
  <c r="AS115" i="10"/>
  <c r="AA144" i="5"/>
  <c r="AA135" i="5"/>
  <c r="AA129" i="5"/>
  <c r="AA186" i="3"/>
  <c r="AA138" i="5" s="1"/>
  <c r="AB60" i="5"/>
  <c r="AB65" i="5" s="1"/>
  <c r="AB22" i="6" s="1"/>
  <c r="O146" i="5"/>
  <c r="O178" i="5" s="1"/>
  <c r="O180" i="5" s="1"/>
  <c r="AB157" i="5"/>
  <c r="AB9" i="6"/>
  <c r="AB71" i="5"/>
  <c r="AB139" i="5"/>
  <c r="AB213" i="3"/>
  <c r="G213" i="3"/>
  <c r="I23" i="6"/>
  <c r="I24" i="6" s="1"/>
  <c r="I123" i="6" s="1"/>
  <c r="J23" i="6"/>
  <c r="Q18" i="2" s="1"/>
  <c r="AC17" i="5"/>
  <c r="AC33" i="5"/>
  <c r="AC68" i="3"/>
  <c r="AC55" i="5" s="1"/>
  <c r="AC80" i="5"/>
  <c r="AC101" i="5"/>
  <c r="AC188" i="3"/>
  <c r="AC121" i="5"/>
  <c r="AC201" i="3"/>
  <c r="AB106" i="5"/>
  <c r="AC207" i="3"/>
  <c r="AC130" i="5"/>
  <c r="AB164" i="5"/>
  <c r="AB195" i="3"/>
  <c r="AB150" i="5" s="1"/>
  <c r="AB112" i="5"/>
  <c r="AB50" i="5"/>
  <c r="AB21" i="6" s="1"/>
  <c r="AI16" i="2" s="1"/>
  <c r="AI46" i="2" s="1"/>
  <c r="G85" i="3"/>
  <c r="G81" i="3"/>
  <c r="AT118" i="10" l="1"/>
  <c r="AU111" i="10"/>
  <c r="AU115" i="10" s="1"/>
  <c r="F65" i="10"/>
  <c r="AS125" i="10"/>
  <c r="AS123" i="10"/>
  <c r="AS124" i="10"/>
  <c r="BA83" i="5"/>
  <c r="AU49" i="10"/>
  <c r="AT115" i="10"/>
  <c r="Q48" i="2"/>
  <c r="Q19" i="2"/>
  <c r="AA146" i="5"/>
  <c r="AC60" i="5"/>
  <c r="AC65" i="5" s="1"/>
  <c r="AC22" i="6" s="1"/>
  <c r="J24" i="6"/>
  <c r="G12" i="14" s="1"/>
  <c r="AB117" i="5"/>
  <c r="G23" i="6"/>
  <c r="G24" i="6" s="1"/>
  <c r="G123" i="6" s="1"/>
  <c r="AB126" i="5"/>
  <c r="AC135" i="5"/>
  <c r="AC164" i="5"/>
  <c r="AC195" i="3"/>
  <c r="AC150" i="5" s="1"/>
  <c r="AC112" i="5"/>
  <c r="AC117" i="5" s="1"/>
  <c r="AC71" i="5"/>
  <c r="I135" i="6"/>
  <c r="I136" i="6"/>
  <c r="AB171" i="5"/>
  <c r="AB81" i="3"/>
  <c r="AB85" i="3"/>
  <c r="AB75" i="5" s="1"/>
  <c r="AB76" i="5" s="1"/>
  <c r="O23" i="6"/>
  <c r="AC126" i="5"/>
  <c r="AC157" i="5"/>
  <c r="AB135" i="5"/>
  <c r="AC139" i="5"/>
  <c r="AC213" i="3"/>
  <c r="AC50" i="5"/>
  <c r="AC21" i="6" s="1"/>
  <c r="AJ16" i="2" s="1"/>
  <c r="AJ46" i="2" s="1"/>
  <c r="AS126" i="10" l="1"/>
  <c r="AS24" i="14" s="1"/>
  <c r="AS65" i="14" s="1"/>
  <c r="AT125" i="10"/>
  <c r="AU125" i="10" s="1"/>
  <c r="AT123" i="10"/>
  <c r="AU123" i="10" s="1"/>
  <c r="AT124" i="10"/>
  <c r="AU124" i="10" s="1"/>
  <c r="F74" i="10"/>
  <c r="F73" i="10"/>
  <c r="F72" i="10"/>
  <c r="AU118" i="10"/>
  <c r="AT122" i="10"/>
  <c r="G26" i="14"/>
  <c r="G76" i="14" s="1"/>
  <c r="G23" i="14"/>
  <c r="G75" i="14" s="1"/>
  <c r="O24" i="6"/>
  <c r="K12" i="14" s="1"/>
  <c r="V18" i="2"/>
  <c r="V48" i="2" s="1"/>
  <c r="AB176" i="5"/>
  <c r="AC171" i="5"/>
  <c r="AC176" i="5" s="1"/>
  <c r="AC144" i="5"/>
  <c r="AC146" i="5" s="1"/>
  <c r="AB144" i="5"/>
  <c r="AB146" i="5" s="1"/>
  <c r="AC85" i="3"/>
  <c r="AC75" i="5" s="1"/>
  <c r="AC76" i="5" s="1"/>
  <c r="AC81" i="3"/>
  <c r="G136" i="6"/>
  <c r="G135" i="6"/>
  <c r="G78" i="14" l="1"/>
  <c r="G83" i="14" s="1"/>
  <c r="AU122" i="10"/>
  <c r="AU126" i="10" s="1"/>
  <c r="F67" i="10"/>
  <c r="F71" i="10" s="1"/>
  <c r="F75" i="10" s="1"/>
  <c r="M136" i="6" s="1"/>
  <c r="AT126" i="10"/>
  <c r="AT24" i="14" s="1"/>
  <c r="AT65" i="14" s="1"/>
  <c r="K23" i="14"/>
  <c r="K75" i="14" s="1"/>
  <c r="K26" i="14"/>
  <c r="K76" i="14" s="1"/>
  <c r="L12" i="14"/>
  <c r="H23" i="6"/>
  <c r="H24" i="6" s="1"/>
  <c r="H123" i="6" s="1"/>
  <c r="AB178" i="5"/>
  <c r="AB180" i="5" s="1"/>
  <c r="K78" i="14" l="1"/>
  <c r="K83" i="14" s="1"/>
  <c r="M12" i="14"/>
  <c r="L23" i="14"/>
  <c r="L75" i="14" s="1"/>
  <c r="L26" i="14"/>
  <c r="L76" i="14" s="1"/>
  <c r="H135" i="6"/>
  <c r="H136" i="6"/>
  <c r="AB23" i="6"/>
  <c r="L78" i="14" l="1"/>
  <c r="L83" i="14" s="1"/>
  <c r="M23" i="14"/>
  <c r="M75" i="14" s="1"/>
  <c r="N12" i="14"/>
  <c r="M26" i="14"/>
  <c r="M76" i="14" s="1"/>
  <c r="AB24" i="6"/>
  <c r="W12" i="14" s="1"/>
  <c r="AI18" i="2"/>
  <c r="M71" i="5"/>
  <c r="M19" i="5"/>
  <c r="M81" i="3"/>
  <c r="M71" i="3"/>
  <c r="M58" i="5" s="1"/>
  <c r="M63" i="5" s="1"/>
  <c r="M9" i="6"/>
  <c r="M78" i="14" l="1"/>
  <c r="M83" i="14" s="1"/>
  <c r="W23" i="14"/>
  <c r="W75" i="14" s="1"/>
  <c r="W26" i="14"/>
  <c r="W76" i="14" s="1"/>
  <c r="O12" i="14"/>
  <c r="N23" i="14"/>
  <c r="N75" i="14" s="1"/>
  <c r="N26" i="14"/>
  <c r="N76" i="14" s="1"/>
  <c r="AI48" i="2"/>
  <c r="AI19" i="2"/>
  <c r="K19" i="3"/>
  <c r="L19" i="3"/>
  <c r="L21" i="3"/>
  <c r="L20" i="3"/>
  <c r="L18" i="3"/>
  <c r="M55" i="5"/>
  <c r="M33" i="5"/>
  <c r="M112" i="5"/>
  <c r="M207" i="3"/>
  <c r="M70" i="3"/>
  <c r="M57" i="5" s="1"/>
  <c r="M62" i="5" s="1"/>
  <c r="M80" i="5"/>
  <c r="M94" i="5"/>
  <c r="M87" i="5"/>
  <c r="M17" i="5"/>
  <c r="M121" i="5"/>
  <c r="M201" i="3"/>
  <c r="M69" i="3"/>
  <c r="M56" i="5" s="1"/>
  <c r="M61" i="5" s="1"/>
  <c r="M75" i="5"/>
  <c r="M76" i="5" s="1"/>
  <c r="L9" i="6"/>
  <c r="M42" i="5"/>
  <c r="M43" i="5" s="1"/>
  <c r="K71" i="5"/>
  <c r="M18" i="5"/>
  <c r="M38" i="5"/>
  <c r="M20" i="5"/>
  <c r="M47" i="5"/>
  <c r="M48" i="5" s="1"/>
  <c r="L71" i="5"/>
  <c r="K9" i="6"/>
  <c r="W78" i="14" l="1"/>
  <c r="W83" i="14" s="1"/>
  <c r="N78" i="14"/>
  <c r="N83" i="14" s="1"/>
  <c r="O23" i="14"/>
  <c r="O75" i="14" s="1"/>
  <c r="O26" i="14"/>
  <c r="O76" i="14" s="1"/>
  <c r="M130" i="5"/>
  <c r="K75" i="5"/>
  <c r="K76" i="5" s="1"/>
  <c r="N22" i="3"/>
  <c r="M195" i="3"/>
  <c r="M150" i="5" s="1"/>
  <c r="K20" i="3"/>
  <c r="K180" i="3" s="1"/>
  <c r="K18" i="3"/>
  <c r="K33" i="5" s="1"/>
  <c r="K21" i="3"/>
  <c r="K47" i="5" s="1"/>
  <c r="K48" i="5" s="1"/>
  <c r="L20" i="5"/>
  <c r="L124" i="3"/>
  <c r="L47" i="5"/>
  <c r="L48" i="5" s="1"/>
  <c r="L71" i="3"/>
  <c r="L58" i="5" s="1"/>
  <c r="L63" i="5" s="1"/>
  <c r="M101" i="5"/>
  <c r="M164" i="5"/>
  <c r="L75" i="5"/>
  <c r="L76" i="5" s="1"/>
  <c r="L81" i="3"/>
  <c r="M65" i="5"/>
  <c r="M22" i="6" s="1"/>
  <c r="K80" i="5"/>
  <c r="M50" i="5"/>
  <c r="M21" i="6" s="1"/>
  <c r="T16" i="2" s="1"/>
  <c r="T46" i="2" s="1"/>
  <c r="L18" i="5"/>
  <c r="L172" i="3"/>
  <c r="L69" i="3"/>
  <c r="L56" i="5" s="1"/>
  <c r="L61" i="5" s="1"/>
  <c r="L38" i="5"/>
  <c r="L104" i="3"/>
  <c r="L87" i="5" s="1"/>
  <c r="L164" i="3"/>
  <c r="L94" i="3"/>
  <c r="L80" i="5" s="1"/>
  <c r="L68" i="3"/>
  <c r="L55" i="5" s="1"/>
  <c r="L60" i="5" s="1"/>
  <c r="L17" i="5"/>
  <c r="L33" i="5"/>
  <c r="L70" i="3"/>
  <c r="L57" i="5" s="1"/>
  <c r="L62" i="5" s="1"/>
  <c r="L114" i="3"/>
  <c r="L94" i="5" s="1"/>
  <c r="L19" i="5"/>
  <c r="L180" i="3"/>
  <c r="L42" i="5"/>
  <c r="L43" i="5" s="1"/>
  <c r="M157" i="5"/>
  <c r="N48" i="5" l="1"/>
  <c r="O78" i="14"/>
  <c r="O83" i="14" s="1"/>
  <c r="N33" i="5"/>
  <c r="N76" i="5"/>
  <c r="K164" i="3"/>
  <c r="K170" i="3" s="1"/>
  <c r="K68" i="3"/>
  <c r="K55" i="5" s="1"/>
  <c r="K60" i="5" s="1"/>
  <c r="K81" i="3"/>
  <c r="K70" i="3"/>
  <c r="K57" i="5" s="1"/>
  <c r="K62" i="5" s="1"/>
  <c r="K17" i="5"/>
  <c r="K42" i="5"/>
  <c r="K43" i="5" s="1"/>
  <c r="N43" i="5" s="1"/>
  <c r="K19" i="5"/>
  <c r="K114" i="3"/>
  <c r="K94" i="5" s="1"/>
  <c r="K20" i="5"/>
  <c r="K71" i="3"/>
  <c r="K58" i="5" s="1"/>
  <c r="K63" i="5" s="1"/>
  <c r="N18" i="3"/>
  <c r="M111" i="5"/>
  <c r="M117" i="5" s="1"/>
  <c r="M162" i="3"/>
  <c r="M171" i="3" s="1"/>
  <c r="M179" i="3" s="1"/>
  <c r="M170" i="3"/>
  <c r="T43" i="2"/>
  <c r="K111" i="5"/>
  <c r="K162" i="3"/>
  <c r="K171" i="3" s="1"/>
  <c r="K179" i="3" s="1"/>
  <c r="K187" i="3" s="1"/>
  <c r="K172" i="3"/>
  <c r="K18" i="5"/>
  <c r="K104" i="3"/>
  <c r="K87" i="5" s="1"/>
  <c r="K69" i="3"/>
  <c r="K56" i="5" s="1"/>
  <c r="K61" i="5" s="1"/>
  <c r="K38" i="5"/>
  <c r="N38" i="5" s="1"/>
  <c r="N21" i="3"/>
  <c r="L111" i="5"/>
  <c r="L170" i="3"/>
  <c r="L162" i="3"/>
  <c r="L171" i="3" s="1"/>
  <c r="L179" i="3" s="1"/>
  <c r="L187" i="3" s="1"/>
  <c r="K124" i="3"/>
  <c r="K101" i="5" s="1"/>
  <c r="N19" i="3"/>
  <c r="N172" i="3" s="1"/>
  <c r="N20" i="3"/>
  <c r="K130" i="5"/>
  <c r="K207" i="3"/>
  <c r="L121" i="5"/>
  <c r="L201" i="3"/>
  <c r="C56" i="7"/>
  <c r="M106" i="5"/>
  <c r="L207" i="3"/>
  <c r="L130" i="5"/>
  <c r="M213" i="3"/>
  <c r="M139" i="5"/>
  <c r="L195" i="3"/>
  <c r="L150" i="5" s="1"/>
  <c r="L112" i="5"/>
  <c r="C34" i="7"/>
  <c r="L50" i="5"/>
  <c r="L21" i="6" s="1"/>
  <c r="S16" i="2" s="1"/>
  <c r="S46" i="2" s="1"/>
  <c r="L65" i="5"/>
  <c r="L22" i="6" s="1"/>
  <c r="L101" i="5"/>
  <c r="L106" i="5" s="1"/>
  <c r="L188" i="3"/>
  <c r="N106" i="5" l="1"/>
  <c r="N42" i="5"/>
  <c r="K195" i="3"/>
  <c r="K150" i="5" s="1"/>
  <c r="N153" i="5" s="1"/>
  <c r="K65" i="5"/>
  <c r="K22" i="6" s="1"/>
  <c r="N20" i="5"/>
  <c r="K112" i="5"/>
  <c r="K117" i="5" s="1"/>
  <c r="N70" i="3"/>
  <c r="N57" i="5" s="1"/>
  <c r="N62" i="5" s="1"/>
  <c r="N104" i="3"/>
  <c r="N87" i="5" s="1"/>
  <c r="N69" i="3"/>
  <c r="N56" i="5" s="1"/>
  <c r="N61" i="5" s="1"/>
  <c r="N19" i="5"/>
  <c r="N180" i="3"/>
  <c r="N207" i="3" s="1"/>
  <c r="N114" i="3"/>
  <c r="N94" i="5" s="1"/>
  <c r="N121" i="5"/>
  <c r="N157" i="5" s="1"/>
  <c r="N201" i="3"/>
  <c r="K50" i="5"/>
  <c r="K21" i="6" s="1"/>
  <c r="R16" i="2" s="1"/>
  <c r="R46" i="2" s="1"/>
  <c r="N18" i="5"/>
  <c r="L117" i="5"/>
  <c r="N94" i="3"/>
  <c r="N80" i="5" s="1"/>
  <c r="N68" i="3"/>
  <c r="N55" i="5" s="1"/>
  <c r="N60" i="5" s="1"/>
  <c r="N71" i="3"/>
  <c r="N58" i="5" s="1"/>
  <c r="N63" i="5" s="1"/>
  <c r="K188" i="3"/>
  <c r="K139" i="5" s="1"/>
  <c r="K178" i="3"/>
  <c r="K120" i="5"/>
  <c r="M178" i="3"/>
  <c r="M120" i="5"/>
  <c r="M126" i="5" s="1"/>
  <c r="N164" i="3"/>
  <c r="N124" i="3"/>
  <c r="N101" i="5" s="1"/>
  <c r="L120" i="5"/>
  <c r="L178" i="3"/>
  <c r="K121" i="5"/>
  <c r="K201" i="3"/>
  <c r="N17" i="5"/>
  <c r="L164" i="5"/>
  <c r="L213" i="3"/>
  <c r="L139" i="5"/>
  <c r="C51" i="7"/>
  <c r="D51" i="7" s="1"/>
  <c r="C62" i="7"/>
  <c r="D62" i="7" s="1"/>
  <c r="L126" i="5"/>
  <c r="L157" i="5"/>
  <c r="N9" i="6"/>
  <c r="N71" i="5"/>
  <c r="K106" i="5"/>
  <c r="C40" i="7"/>
  <c r="D40" i="7" s="1"/>
  <c r="M171" i="5"/>
  <c r="K164" i="5"/>
  <c r="C16" i="7" l="1"/>
  <c r="G16" i="7" s="1"/>
  <c r="N130" i="5"/>
  <c r="N164" i="5" s="1"/>
  <c r="N188" i="3"/>
  <c r="N213" i="3" s="1"/>
  <c r="N117" i="5"/>
  <c r="N65" i="5"/>
  <c r="N22" i="6" s="1"/>
  <c r="K157" i="5"/>
  <c r="N160" i="5" s="1"/>
  <c r="K126" i="5"/>
  <c r="N195" i="3"/>
  <c r="N150" i="5" s="1"/>
  <c r="L186" i="3"/>
  <c r="L138" i="5" s="1"/>
  <c r="L144" i="5" s="1"/>
  <c r="L129" i="5"/>
  <c r="L135" i="5" s="1"/>
  <c r="M186" i="3"/>
  <c r="M138" i="5" s="1"/>
  <c r="M144" i="5" s="1"/>
  <c r="M129" i="5"/>
  <c r="M135" i="5" s="1"/>
  <c r="N170" i="3"/>
  <c r="N111" i="5"/>
  <c r="N162" i="3"/>
  <c r="N171" i="3" s="1"/>
  <c r="N179" i="3" s="1"/>
  <c r="N187" i="3" s="1"/>
  <c r="N112" i="5"/>
  <c r="K213" i="3"/>
  <c r="R43" i="2"/>
  <c r="K186" i="3"/>
  <c r="K138" i="5" s="1"/>
  <c r="K129" i="5"/>
  <c r="K135" i="5" s="1"/>
  <c r="N50" i="5"/>
  <c r="M176" i="5"/>
  <c r="L171" i="5"/>
  <c r="L176" i="5" s="1"/>
  <c r="C17" i="7"/>
  <c r="N167" i="5"/>
  <c r="K171" i="5"/>
  <c r="N85" i="3"/>
  <c r="C18" i="7"/>
  <c r="N21" i="6" l="1"/>
  <c r="U16" i="2" s="1"/>
  <c r="U46" i="2" s="1"/>
  <c r="N139" i="5"/>
  <c r="N171" i="5" s="1"/>
  <c r="L146" i="5"/>
  <c r="L178" i="5" s="1"/>
  <c r="L180" i="5" s="1"/>
  <c r="N126" i="5"/>
  <c r="N135" i="5"/>
  <c r="N174" i="5"/>
  <c r="N176" i="5" s="1"/>
  <c r="M146" i="5"/>
  <c r="M178" i="5" s="1"/>
  <c r="M180" i="5" s="1"/>
  <c r="N178" i="3"/>
  <c r="N120" i="5"/>
  <c r="R53" i="2"/>
  <c r="Q53" i="2"/>
  <c r="S53" i="2"/>
  <c r="U53" i="2"/>
  <c r="T53" i="2"/>
  <c r="R52" i="2"/>
  <c r="U52" i="2"/>
  <c r="S52" i="2"/>
  <c r="Q52" i="2"/>
  <c r="T52" i="2"/>
  <c r="R51" i="2"/>
  <c r="S51" i="2"/>
  <c r="T51" i="2"/>
  <c r="Q51" i="2"/>
  <c r="U51" i="2"/>
  <c r="C10" i="8"/>
  <c r="C9" i="8"/>
  <c r="G9" i="8" s="1"/>
  <c r="C8" i="8"/>
  <c r="D24" i="7"/>
  <c r="K176" i="5"/>
  <c r="G17" i="7"/>
  <c r="D25" i="7"/>
  <c r="N144" i="5"/>
  <c r="K144" i="5"/>
  <c r="K146" i="5" s="1"/>
  <c r="C67" i="7"/>
  <c r="D26" i="7"/>
  <c r="G18" i="7"/>
  <c r="AF51" i="2" l="1"/>
  <c r="V51" i="2"/>
  <c r="W51" i="2" s="1"/>
  <c r="AF53" i="2"/>
  <c r="AG53" i="2" s="1"/>
  <c r="AH53" i="2" s="1"/>
  <c r="V53" i="2"/>
  <c r="W53" i="2" s="1"/>
  <c r="AF52" i="2"/>
  <c r="V52" i="2"/>
  <c r="W52" i="2" s="1"/>
  <c r="N146" i="5"/>
  <c r="N178" i="5" s="1"/>
  <c r="N180" i="5" s="1"/>
  <c r="N129" i="5"/>
  <c r="N186" i="3"/>
  <c r="N138" i="5" s="1"/>
  <c r="G10" i="8"/>
  <c r="G8" i="8"/>
  <c r="L23" i="6"/>
  <c r="S18" i="2" s="1"/>
  <c r="S48" i="2" s="1"/>
  <c r="N13" i="3"/>
  <c r="U34" i="2" s="1"/>
  <c r="E26" i="7"/>
  <c r="K178" i="5"/>
  <c r="K180" i="5" s="1"/>
  <c r="M23" i="6"/>
  <c r="T18" i="2" s="1"/>
  <c r="T48" i="2" s="1"/>
  <c r="C73" i="7"/>
  <c r="D73" i="7" s="1"/>
  <c r="N12" i="3"/>
  <c r="U33" i="2" s="1"/>
  <c r="E25" i="7"/>
  <c r="N11" i="3"/>
  <c r="U32" i="2" s="1"/>
  <c r="AU52" i="2" l="1"/>
  <c r="AG52" i="2"/>
  <c r="AU51" i="2"/>
  <c r="BH51" i="2" s="1"/>
  <c r="AG51" i="2"/>
  <c r="AH51" i="2" s="1"/>
  <c r="X51" i="2"/>
  <c r="Y51" i="2" s="1"/>
  <c r="Z51" i="2" s="1"/>
  <c r="AA51" i="2" s="1"/>
  <c r="AB51" i="2" s="1"/>
  <c r="AC51" i="2" s="1"/>
  <c r="AD51" i="2" s="1"/>
  <c r="AE51" i="2" s="1"/>
  <c r="AU53" i="2"/>
  <c r="X53" i="2"/>
  <c r="Y53" i="2" s="1"/>
  <c r="Z53" i="2" s="1"/>
  <c r="AA53" i="2" s="1"/>
  <c r="AB53" i="2" s="1"/>
  <c r="AC53" i="2" s="1"/>
  <c r="AD53" i="2" s="1"/>
  <c r="AE53" i="2" s="1"/>
  <c r="X52" i="2"/>
  <c r="Y52" i="2" s="1"/>
  <c r="Z52" i="2" s="1"/>
  <c r="AA52" i="2" s="1"/>
  <c r="AB52" i="2" s="1"/>
  <c r="AC52" i="2" s="1"/>
  <c r="AD52" i="2" s="1"/>
  <c r="AE52" i="2" s="1"/>
  <c r="N11" i="5"/>
  <c r="N23" i="5" s="1"/>
  <c r="M24" i="6"/>
  <c r="L24" i="6"/>
  <c r="E24" i="7"/>
  <c r="C19" i="7"/>
  <c r="K23" i="6"/>
  <c r="R18" i="2" s="1"/>
  <c r="R48" i="2" s="1"/>
  <c r="N13" i="5"/>
  <c r="N25" i="5" s="1"/>
  <c r="N15" i="6" s="1"/>
  <c r="U10" i="2" s="1"/>
  <c r="M13" i="3"/>
  <c r="T34" i="2" s="1"/>
  <c r="O13" i="3"/>
  <c r="V34" i="2" s="1"/>
  <c r="O11" i="3"/>
  <c r="V32" i="2" s="1"/>
  <c r="M11" i="3"/>
  <c r="T32" i="2" s="1"/>
  <c r="O12" i="3"/>
  <c r="V33" i="2" s="1"/>
  <c r="M12" i="3"/>
  <c r="T33" i="2" s="1"/>
  <c r="N12" i="5"/>
  <c r="N24" i="5" s="1"/>
  <c r="N14" i="6" s="1"/>
  <c r="U9" i="2" s="1"/>
  <c r="N23" i="6"/>
  <c r="U18" i="2" s="1"/>
  <c r="U48" i="2" s="1"/>
  <c r="AV51" i="2" l="1"/>
  <c r="AW51" i="2" s="1"/>
  <c r="AX51" i="2" s="1"/>
  <c r="AY51" i="2" s="1"/>
  <c r="AZ51" i="2" s="1"/>
  <c r="BA51" i="2" s="1"/>
  <c r="BB51" i="2" s="1"/>
  <c r="BC51" i="2" s="1"/>
  <c r="BD51" i="2" s="1"/>
  <c r="BE51" i="2" s="1"/>
  <c r="BF51" i="2" s="1"/>
  <c r="BG51" i="2" s="1"/>
  <c r="AI51" i="2"/>
  <c r="AJ51" i="2" s="1"/>
  <c r="AK51" i="2" s="1"/>
  <c r="AL51" i="2" s="1"/>
  <c r="AM51" i="2" s="1"/>
  <c r="AN51" i="2" s="1"/>
  <c r="AO51" i="2" s="1"/>
  <c r="AP51" i="2" s="1"/>
  <c r="AQ51" i="2" s="1"/>
  <c r="AR51" i="2" s="1"/>
  <c r="AS51" i="2" s="1"/>
  <c r="AT51" i="2" s="1"/>
  <c r="BH53" i="2"/>
  <c r="AV53" i="2" s="1"/>
  <c r="AW53" i="2" s="1"/>
  <c r="AX53" i="2" s="1"/>
  <c r="AY53" i="2" s="1"/>
  <c r="AZ53" i="2" s="1"/>
  <c r="BA53" i="2" s="1"/>
  <c r="BB53" i="2" s="1"/>
  <c r="BC53" i="2" s="1"/>
  <c r="BD53" i="2" s="1"/>
  <c r="BE53" i="2" s="1"/>
  <c r="BF53" i="2" s="1"/>
  <c r="BG53" i="2" s="1"/>
  <c r="AI53" i="2"/>
  <c r="AJ53" i="2" s="1"/>
  <c r="AK53" i="2" s="1"/>
  <c r="AL53" i="2" s="1"/>
  <c r="AM53" i="2" s="1"/>
  <c r="AN53" i="2" s="1"/>
  <c r="AO53" i="2" s="1"/>
  <c r="AP53" i="2" s="1"/>
  <c r="AQ53" i="2" s="1"/>
  <c r="AR53" i="2" s="1"/>
  <c r="AS53" i="2" s="1"/>
  <c r="AT53" i="2" s="1"/>
  <c r="BH52" i="2"/>
  <c r="AV52" i="2" s="1"/>
  <c r="AW52" i="2" s="1"/>
  <c r="AX52" i="2" s="1"/>
  <c r="AY52" i="2" s="1"/>
  <c r="AZ52" i="2" s="1"/>
  <c r="BA52" i="2" s="1"/>
  <c r="BB52" i="2" s="1"/>
  <c r="BC52" i="2" s="1"/>
  <c r="BD52" i="2" s="1"/>
  <c r="BE52" i="2" s="1"/>
  <c r="BF52" i="2" s="1"/>
  <c r="BG52" i="2" s="1"/>
  <c r="AH52" i="2"/>
  <c r="AI52" i="2" s="1"/>
  <c r="AJ52" i="2" s="1"/>
  <c r="AK52" i="2" s="1"/>
  <c r="AL52" i="2" s="1"/>
  <c r="AM52" i="2" s="1"/>
  <c r="AN52" i="2" s="1"/>
  <c r="AO52" i="2" s="1"/>
  <c r="AP52" i="2" s="1"/>
  <c r="AQ52" i="2" s="1"/>
  <c r="AR52" i="2" s="1"/>
  <c r="AS52" i="2" s="1"/>
  <c r="AT52" i="2" s="1"/>
  <c r="S54" i="2"/>
  <c r="T54" i="2"/>
  <c r="Q54" i="2"/>
  <c r="U54" i="2"/>
  <c r="R54" i="2"/>
  <c r="T19" i="2"/>
  <c r="S19" i="2"/>
  <c r="C11" i="8"/>
  <c r="K24" i="6"/>
  <c r="H12" i="14" s="1"/>
  <c r="N24" i="6"/>
  <c r="J123" i="6" s="1"/>
  <c r="J135" i="6" s="1"/>
  <c r="L12" i="3"/>
  <c r="S33" i="2" s="1"/>
  <c r="M12" i="5"/>
  <c r="M24" i="5" s="1"/>
  <c r="M14" i="6" s="1"/>
  <c r="T9" i="2" s="1"/>
  <c r="O13" i="5"/>
  <c r="O25" i="5" s="1"/>
  <c r="P13" i="3"/>
  <c r="W34" i="2" s="1"/>
  <c r="L13" i="3"/>
  <c r="S34" i="2" s="1"/>
  <c r="M13" i="5"/>
  <c r="M25" i="5" s="1"/>
  <c r="M15" i="6" s="1"/>
  <c r="T10" i="2" s="1"/>
  <c r="N13" i="6"/>
  <c r="U8" i="2" s="1"/>
  <c r="P12" i="3"/>
  <c r="W33" i="2" s="1"/>
  <c r="O12" i="5"/>
  <c r="O24" i="5" s="1"/>
  <c r="M11" i="5"/>
  <c r="M23" i="5" s="1"/>
  <c r="L11" i="3"/>
  <c r="S32" i="2" s="1"/>
  <c r="P11" i="3"/>
  <c r="O11" i="5"/>
  <c r="O23" i="5" s="1"/>
  <c r="D27" i="7"/>
  <c r="D28" i="7" s="1"/>
  <c r="C80" i="7" s="1"/>
  <c r="C81" i="7" s="1"/>
  <c r="G19" i="7"/>
  <c r="W32" i="2" l="1"/>
  <c r="Q11" i="3"/>
  <c r="H23" i="14"/>
  <c r="H75" i="14" s="1"/>
  <c r="H26" i="14"/>
  <c r="H76" i="14" s="1"/>
  <c r="I12" i="14"/>
  <c r="AF54" i="2"/>
  <c r="AG54" i="2" s="1"/>
  <c r="V54" i="2"/>
  <c r="W54" i="2" s="1"/>
  <c r="J94" i="6"/>
  <c r="J128" i="6"/>
  <c r="U68" i="2" s="1"/>
  <c r="U70" i="2" s="1"/>
  <c r="J138" i="6"/>
  <c r="J95" i="6" s="1"/>
  <c r="G11" i="8"/>
  <c r="G12" i="8" s="1"/>
  <c r="P76" i="2" s="1"/>
  <c r="R19" i="2"/>
  <c r="U19" i="2"/>
  <c r="O15" i="6"/>
  <c r="V10" i="2" s="1"/>
  <c r="O14" i="6"/>
  <c r="V9" i="2" s="1"/>
  <c r="N14" i="3"/>
  <c r="U35" i="2" s="1"/>
  <c r="M13" i="6"/>
  <c r="T8" i="2" s="1"/>
  <c r="K13" i="3"/>
  <c r="R34" i="2" s="1"/>
  <c r="L13" i="5"/>
  <c r="L25" i="5" s="1"/>
  <c r="L15" i="6" s="1"/>
  <c r="S10" i="2" s="1"/>
  <c r="O13" i="6"/>
  <c r="V8" i="2" s="1"/>
  <c r="Q13" i="3"/>
  <c r="X34" i="2" s="1"/>
  <c r="P13" i="5"/>
  <c r="P25" i="5" s="1"/>
  <c r="P15" i="6" s="1"/>
  <c r="W10" i="2" s="1"/>
  <c r="K11" i="3"/>
  <c r="R32" i="2" s="1"/>
  <c r="L11" i="5"/>
  <c r="L23" i="5" s="1"/>
  <c r="P12" i="5"/>
  <c r="P24" i="5" s="1"/>
  <c r="P14" i="6" s="1"/>
  <c r="W9" i="2" s="1"/>
  <c r="Q12" i="3"/>
  <c r="X33" i="2" s="1"/>
  <c r="P11" i="5"/>
  <c r="P23" i="5" s="1"/>
  <c r="X32" i="2"/>
  <c r="K12" i="3"/>
  <c r="R33" i="2" s="1"/>
  <c r="L12" i="5"/>
  <c r="L24" i="5" s="1"/>
  <c r="L14" i="6" s="1"/>
  <c r="S9" i="2" s="1"/>
  <c r="H78" i="14" l="1"/>
  <c r="H83" i="14" s="1"/>
  <c r="I23" i="14"/>
  <c r="I75" i="14" s="1"/>
  <c r="I26" i="14"/>
  <c r="I76" i="14" s="1"/>
  <c r="J12" i="14"/>
  <c r="AU54" i="2"/>
  <c r="X54" i="2"/>
  <c r="Y54" i="2" s="1"/>
  <c r="Z54" i="2" s="1"/>
  <c r="AA54" i="2" s="1"/>
  <c r="AB54" i="2" s="1"/>
  <c r="AC54" i="2" s="1"/>
  <c r="AD54" i="2" s="1"/>
  <c r="AE54" i="2" s="1"/>
  <c r="J11" i="3"/>
  <c r="Q32" i="2" s="1"/>
  <c r="Q13" i="5"/>
  <c r="Q25" i="5" s="1"/>
  <c r="Q15" i="6" s="1"/>
  <c r="X10" i="2" s="1"/>
  <c r="R13" i="3"/>
  <c r="Y34" i="2" s="1"/>
  <c r="E27" i="7"/>
  <c r="C28" i="7"/>
  <c r="F28" i="7" s="1"/>
  <c r="P13" i="6"/>
  <c r="W8" i="2" s="1"/>
  <c r="K11" i="5"/>
  <c r="K23" i="5" s="1"/>
  <c r="J12" i="3"/>
  <c r="Q33" i="2" s="1"/>
  <c r="K12" i="5"/>
  <c r="K24" i="5" s="1"/>
  <c r="K14" i="6" s="1"/>
  <c r="R9" i="2" s="1"/>
  <c r="R12" i="3"/>
  <c r="Y33" i="2" s="1"/>
  <c r="Q12" i="5"/>
  <c r="Q24" i="5" s="1"/>
  <c r="Q14" i="6" s="1"/>
  <c r="X9" i="2" s="1"/>
  <c r="R11" i="3"/>
  <c r="Y32" i="2" s="1"/>
  <c r="Q11" i="5"/>
  <c r="Q23" i="5" s="1"/>
  <c r="L13" i="6"/>
  <c r="S8" i="2" s="1"/>
  <c r="J13" i="3"/>
  <c r="Q34" i="2" s="1"/>
  <c r="K13" i="5"/>
  <c r="K25" i="5" s="1"/>
  <c r="K15" i="6" s="1"/>
  <c r="R10" i="2" s="1"/>
  <c r="M14" i="3"/>
  <c r="T35" i="2" s="1"/>
  <c r="O14" i="3"/>
  <c r="V35" i="2" s="1"/>
  <c r="N14" i="5"/>
  <c r="N26" i="5" s="1"/>
  <c r="I78" i="14" l="1"/>
  <c r="I83" i="14" s="1"/>
  <c r="J26" i="14"/>
  <c r="J76" i="14" s="1"/>
  <c r="J23" i="14"/>
  <c r="J75" i="14" s="1"/>
  <c r="BH54" i="2"/>
  <c r="AV54" i="2" s="1"/>
  <c r="AW54" i="2" s="1"/>
  <c r="AX54" i="2" s="1"/>
  <c r="AY54" i="2" s="1"/>
  <c r="AZ54" i="2" s="1"/>
  <c r="BA54" i="2" s="1"/>
  <c r="BB54" i="2" s="1"/>
  <c r="BC54" i="2" s="1"/>
  <c r="BD54" i="2" s="1"/>
  <c r="BE54" i="2" s="1"/>
  <c r="BF54" i="2" s="1"/>
  <c r="BG54" i="2" s="1"/>
  <c r="AH54" i="2"/>
  <c r="AI54" i="2" s="1"/>
  <c r="AJ54" i="2" s="1"/>
  <c r="AK54" i="2" s="1"/>
  <c r="AL54" i="2" s="1"/>
  <c r="AM54" i="2" s="1"/>
  <c r="AN54" i="2" s="1"/>
  <c r="AO54" i="2" s="1"/>
  <c r="AP54" i="2" s="1"/>
  <c r="AQ54" i="2" s="1"/>
  <c r="AR54" i="2" s="1"/>
  <c r="AS54" i="2" s="1"/>
  <c r="AT54" i="2" s="1"/>
  <c r="J9" i="8"/>
  <c r="J11" i="8"/>
  <c r="J8" i="8"/>
  <c r="J10" i="8"/>
  <c r="N16" i="6"/>
  <c r="N27" i="5"/>
  <c r="N187" i="5" s="1"/>
  <c r="N34" i="6" s="1"/>
  <c r="I13" i="3"/>
  <c r="J13" i="5"/>
  <c r="J25" i="5" s="1"/>
  <c r="J15" i="6" s="1"/>
  <c r="Q10" i="2" s="1"/>
  <c r="S11" i="3"/>
  <c r="Z32" i="2" s="1"/>
  <c r="R11" i="5"/>
  <c r="R23" i="5" s="1"/>
  <c r="I12" i="3"/>
  <c r="J12" i="5"/>
  <c r="J24" i="5" s="1"/>
  <c r="J14" i="6" s="1"/>
  <c r="Q9" i="2" s="1"/>
  <c r="S13" i="3"/>
  <c r="Z34" i="2" s="1"/>
  <c r="R13" i="5"/>
  <c r="R25" i="5" s="1"/>
  <c r="R15" i="6" s="1"/>
  <c r="Y10" i="2" s="1"/>
  <c r="Q13" i="6"/>
  <c r="X8" i="2" s="1"/>
  <c r="K13" i="6"/>
  <c r="R8" i="2" s="1"/>
  <c r="P14" i="3"/>
  <c r="W35" i="2" s="1"/>
  <c r="O14" i="5"/>
  <c r="O26" i="5" s="1"/>
  <c r="M14" i="5"/>
  <c r="M26" i="5" s="1"/>
  <c r="L14" i="3"/>
  <c r="S35" i="2" s="1"/>
  <c r="R12" i="5"/>
  <c r="R24" i="5" s="1"/>
  <c r="S12" i="3"/>
  <c r="Z33" i="2" s="1"/>
  <c r="I11" i="3"/>
  <c r="J11" i="5"/>
  <c r="J23" i="5" s="1"/>
  <c r="E28" i="7"/>
  <c r="J78" i="14" l="1"/>
  <c r="J83" i="14" s="1"/>
  <c r="U11" i="2"/>
  <c r="U12" i="2" s="1"/>
  <c r="U21" i="2" s="1"/>
  <c r="U22" i="2" s="1"/>
  <c r="L8" i="8"/>
  <c r="R14" i="6"/>
  <c r="Y9" i="2" s="1"/>
  <c r="L14" i="5"/>
  <c r="L26" i="5" s="1"/>
  <c r="K14" i="3"/>
  <c r="R35" i="2" s="1"/>
  <c r="H11" i="3"/>
  <c r="M16" i="6"/>
  <c r="T11" i="2" s="1"/>
  <c r="T12" i="2" s="1"/>
  <c r="M27" i="5"/>
  <c r="M187" i="5" s="1"/>
  <c r="M34" i="6" s="1"/>
  <c r="P14" i="5"/>
  <c r="P26" i="5" s="1"/>
  <c r="Q14" i="3"/>
  <c r="X35" i="2" s="1"/>
  <c r="I14" i="6"/>
  <c r="H12" i="3"/>
  <c r="H13" i="3"/>
  <c r="I15" i="6"/>
  <c r="O16" i="6"/>
  <c r="O27" i="5"/>
  <c r="O187" i="5" s="1"/>
  <c r="O34" i="6" s="1"/>
  <c r="T12" i="3"/>
  <c r="AA33" i="2" s="1"/>
  <c r="S12" i="5"/>
  <c r="S24" i="5" s="1"/>
  <c r="S14" i="6" s="1"/>
  <c r="Z9" i="2" s="1"/>
  <c r="R13" i="6"/>
  <c r="Y8" i="2" s="1"/>
  <c r="J13" i="6"/>
  <c r="Q8" i="2" s="1"/>
  <c r="T13" i="3"/>
  <c r="AA34" i="2" s="1"/>
  <c r="S13" i="5"/>
  <c r="S25" i="5" s="1"/>
  <c r="S15" i="6" s="1"/>
  <c r="Z10" i="2" s="1"/>
  <c r="T11" i="3"/>
  <c r="AA32" i="2" s="1"/>
  <c r="S11" i="5"/>
  <c r="S23" i="5" s="1"/>
  <c r="O17" i="6" l="1"/>
  <c r="K11" i="14" s="1"/>
  <c r="K22" i="14" s="1"/>
  <c r="V11" i="2"/>
  <c r="M17" i="6"/>
  <c r="T21" i="2"/>
  <c r="T22" i="2" s="1"/>
  <c r="T13" i="5"/>
  <c r="T25" i="5" s="1"/>
  <c r="T15" i="6" s="1"/>
  <c r="AA10" i="2" s="1"/>
  <c r="U13" i="3"/>
  <c r="AB34" i="2" s="1"/>
  <c r="I13" i="6"/>
  <c r="U12" i="3"/>
  <c r="AB33" i="2" s="1"/>
  <c r="T12" i="5"/>
  <c r="T24" i="5" s="1"/>
  <c r="T14" i="6" s="1"/>
  <c r="AA9" i="2" s="1"/>
  <c r="H15" i="6"/>
  <c r="G13" i="3"/>
  <c r="G15" i="6" s="1"/>
  <c r="P16" i="6"/>
  <c r="P27" i="5"/>
  <c r="P187" i="5" s="1"/>
  <c r="P34" i="6" s="1"/>
  <c r="G11" i="3"/>
  <c r="Q14" i="5"/>
  <c r="Q26" i="5" s="1"/>
  <c r="R14" i="3"/>
  <c r="Y35" i="2" s="1"/>
  <c r="T11" i="5"/>
  <c r="T23" i="5" s="1"/>
  <c r="U11" i="3"/>
  <c r="AB32" i="2" s="1"/>
  <c r="G12" i="3"/>
  <c r="G14" i="6" s="1"/>
  <c r="H14" i="6"/>
  <c r="J14" i="3"/>
  <c r="Q35" i="2" s="1"/>
  <c r="K14" i="5"/>
  <c r="K26" i="5" s="1"/>
  <c r="S13" i="6"/>
  <c r="Z8" i="2" s="1"/>
  <c r="L16" i="6"/>
  <c r="S11" i="2" s="1"/>
  <c r="L27" i="5"/>
  <c r="L187" i="5" s="1"/>
  <c r="L34" i="6" s="1"/>
  <c r="K27" i="14" l="1"/>
  <c r="K64" i="14"/>
  <c r="O26" i="6"/>
  <c r="O27" i="6" s="1"/>
  <c r="P17" i="6"/>
  <c r="L11" i="14" s="1"/>
  <c r="L22" i="14" s="1"/>
  <c r="W11" i="2"/>
  <c r="M26" i="6"/>
  <c r="L17" i="6"/>
  <c r="S12" i="2"/>
  <c r="U11" i="5"/>
  <c r="U23" i="5" s="1"/>
  <c r="V11" i="3"/>
  <c r="AC32" i="2" s="1"/>
  <c r="H13" i="6"/>
  <c r="T13" i="6"/>
  <c r="AA8" i="2" s="1"/>
  <c r="G13" i="6"/>
  <c r="U13" i="5"/>
  <c r="U25" i="5" s="1"/>
  <c r="U15" i="6" s="1"/>
  <c r="AB10" i="2" s="1"/>
  <c r="V13" i="3"/>
  <c r="AC34" i="2" s="1"/>
  <c r="I14" i="3"/>
  <c r="J14" i="5"/>
  <c r="J26" i="5" s="1"/>
  <c r="S14" i="3"/>
  <c r="Z35" i="2" s="1"/>
  <c r="R14" i="5"/>
  <c r="R26" i="5" s="1"/>
  <c r="K16" i="6"/>
  <c r="R11" i="2" s="1"/>
  <c r="K27" i="5"/>
  <c r="K187" i="5" s="1"/>
  <c r="K34" i="6" s="1"/>
  <c r="Q16" i="6"/>
  <c r="Q27" i="5"/>
  <c r="Q187" i="5" s="1"/>
  <c r="Q34" i="6" s="1"/>
  <c r="V12" i="3"/>
  <c r="AC33" i="2" s="1"/>
  <c r="U12" i="5"/>
  <c r="U24" i="5" s="1"/>
  <c r="U14" i="6" s="1"/>
  <c r="AB9" i="2" s="1"/>
  <c r="L27" i="14" l="1"/>
  <c r="L29" i="14" s="1"/>
  <c r="L42" i="14" s="1"/>
  <c r="L64" i="14"/>
  <c r="P26" i="6"/>
  <c r="P27" i="6" s="1"/>
  <c r="Q17" i="6"/>
  <c r="M11" i="14" s="1"/>
  <c r="X11" i="2"/>
  <c r="T13" i="2"/>
  <c r="M27" i="6"/>
  <c r="L26" i="6"/>
  <c r="L27" i="6" s="1"/>
  <c r="K17" i="6"/>
  <c r="R12" i="2"/>
  <c r="S21" i="2"/>
  <c r="S22" i="2" s="1"/>
  <c r="R16" i="6"/>
  <c r="R27" i="5"/>
  <c r="R187" i="5" s="1"/>
  <c r="R34" i="6" s="1"/>
  <c r="T14" i="3"/>
  <c r="AA35" i="2" s="1"/>
  <c r="S14" i="5"/>
  <c r="S26" i="5" s="1"/>
  <c r="H14" i="3"/>
  <c r="U13" i="6"/>
  <c r="AB8" i="2" s="1"/>
  <c r="W12" i="3"/>
  <c r="AD33" i="2" s="1"/>
  <c r="V12" i="5"/>
  <c r="V24" i="5" s="1"/>
  <c r="V14" i="6" s="1"/>
  <c r="AC9" i="2" s="1"/>
  <c r="J16" i="6"/>
  <c r="J27" i="5"/>
  <c r="J187" i="5" s="1"/>
  <c r="J34" i="6" s="1"/>
  <c r="W11" i="3"/>
  <c r="AD32" i="2" s="1"/>
  <c r="V11" i="5"/>
  <c r="V23" i="5" s="1"/>
  <c r="W13" i="3"/>
  <c r="AD34" i="2" s="1"/>
  <c r="V13" i="5"/>
  <c r="V25" i="5" s="1"/>
  <c r="V15" i="6" s="1"/>
  <c r="AC10" i="2" s="1"/>
  <c r="M22" i="14" l="1"/>
  <c r="Q26" i="6"/>
  <c r="Q27" i="6" s="1"/>
  <c r="J17" i="6"/>
  <c r="G11" i="14" s="1"/>
  <c r="G22" i="14" s="1"/>
  <c r="Q11" i="2"/>
  <c r="Q12" i="2" s="1"/>
  <c r="Q21" i="2" s="1"/>
  <c r="Q22" i="2" s="1"/>
  <c r="R17" i="6"/>
  <c r="N11" i="14" s="1"/>
  <c r="Y11" i="2"/>
  <c r="Y12" i="2" s="1"/>
  <c r="Y21" i="2" s="1"/>
  <c r="Y22" i="2" s="1"/>
  <c r="R21" i="2"/>
  <c r="R22" i="2" s="1"/>
  <c r="S13" i="2"/>
  <c r="K26" i="6"/>
  <c r="K27" i="6" s="1"/>
  <c r="V13" i="6"/>
  <c r="AC8" i="2" s="1"/>
  <c r="I16" i="6"/>
  <c r="I17" i="6" s="1"/>
  <c r="I34" i="6"/>
  <c r="I36" i="6" s="1"/>
  <c r="X11" i="3"/>
  <c r="AE32" i="2" s="1"/>
  <c r="W11" i="5"/>
  <c r="W23" i="5" s="1"/>
  <c r="W12" i="5"/>
  <c r="W24" i="5" s="1"/>
  <c r="W14" i="6" s="1"/>
  <c r="AD9" i="2" s="1"/>
  <c r="X12" i="3"/>
  <c r="AE33" i="2" s="1"/>
  <c r="S16" i="6"/>
  <c r="S27" i="5"/>
  <c r="S187" i="5" s="1"/>
  <c r="S34" i="6" s="1"/>
  <c r="U14" i="3"/>
  <c r="AB35" i="2" s="1"/>
  <c r="T14" i="5"/>
  <c r="T26" i="5" s="1"/>
  <c r="X13" i="3"/>
  <c r="AE34" i="2" s="1"/>
  <c r="W13" i="5"/>
  <c r="W25" i="5" s="1"/>
  <c r="W15" i="6" s="1"/>
  <c r="AD10" i="2" s="1"/>
  <c r="G14" i="3"/>
  <c r="M27" i="14" l="1"/>
  <c r="M29" i="14" s="1"/>
  <c r="M42" i="14" s="1"/>
  <c r="M64" i="14"/>
  <c r="G27" i="14"/>
  <c r="G29" i="14" s="1"/>
  <c r="G42" i="14" s="1"/>
  <c r="G64" i="14"/>
  <c r="H11" i="14"/>
  <c r="H22" i="14" s="1"/>
  <c r="N22" i="14"/>
  <c r="N17" i="6"/>
  <c r="J122" i="6" s="1"/>
  <c r="J137" i="6" s="1"/>
  <c r="J85" i="6" s="1"/>
  <c r="R26" i="6"/>
  <c r="R27" i="6" s="1"/>
  <c r="S17" i="6"/>
  <c r="O11" i="14" s="1"/>
  <c r="Z11" i="2"/>
  <c r="Z12" i="2" s="1"/>
  <c r="R13" i="2"/>
  <c r="J26" i="6"/>
  <c r="G16" i="6"/>
  <c r="G17" i="6" s="1"/>
  <c r="G34" i="6"/>
  <c r="G36" i="6" s="1"/>
  <c r="W13" i="6"/>
  <c r="AD8" i="2" s="1"/>
  <c r="I26" i="6"/>
  <c r="I122" i="6"/>
  <c r="V14" i="3"/>
  <c r="AC35" i="2" s="1"/>
  <c r="U14" i="5"/>
  <c r="U26" i="5" s="1"/>
  <c r="X11" i="5"/>
  <c r="X23" i="5" s="1"/>
  <c r="Y11" i="3"/>
  <c r="AF32" i="2" s="1"/>
  <c r="H16" i="6"/>
  <c r="H17" i="6" s="1"/>
  <c r="H34" i="6"/>
  <c r="H36" i="6" s="1"/>
  <c r="Y13" i="3"/>
  <c r="AF34" i="2" s="1"/>
  <c r="X13" i="5"/>
  <c r="X25" i="5" s="1"/>
  <c r="X15" i="6" s="1"/>
  <c r="AE10" i="2" s="1"/>
  <c r="T16" i="6"/>
  <c r="T27" i="5"/>
  <c r="T187" i="5" s="1"/>
  <c r="T34" i="6" s="1"/>
  <c r="X12" i="5"/>
  <c r="X24" i="5" s="1"/>
  <c r="X14" i="6" s="1"/>
  <c r="AE9" i="2" s="1"/>
  <c r="Y12" i="3"/>
  <c r="AF33" i="2" s="1"/>
  <c r="H27" i="14" l="1"/>
  <c r="H29" i="14" s="1"/>
  <c r="H42" i="14" s="1"/>
  <c r="H64" i="14"/>
  <c r="N27" i="14"/>
  <c r="N29" i="14" s="1"/>
  <c r="N42" i="14" s="1"/>
  <c r="N64" i="14"/>
  <c r="I11" i="14"/>
  <c r="J11" i="14" s="1"/>
  <c r="J22" i="14" s="1"/>
  <c r="O22" i="14"/>
  <c r="J134" i="6"/>
  <c r="J139" i="6"/>
  <c r="J96" i="6" s="1"/>
  <c r="J97" i="6" s="1"/>
  <c r="J102" i="6" s="1"/>
  <c r="U59" i="2" s="1"/>
  <c r="Z13" i="2"/>
  <c r="Z21" i="2"/>
  <c r="Z22" i="2" s="1"/>
  <c r="S26" i="6"/>
  <c r="S27" i="6" s="1"/>
  <c r="N26" i="6"/>
  <c r="N27" i="6" s="1"/>
  <c r="T17" i="6"/>
  <c r="P11" i="14" s="1"/>
  <c r="AA11" i="2"/>
  <c r="AA12" i="2" s="1"/>
  <c r="J27" i="6"/>
  <c r="U16" i="6"/>
  <c r="U27" i="5"/>
  <c r="U187" i="5" s="1"/>
  <c r="U34" i="6" s="1"/>
  <c r="Z12" i="3"/>
  <c r="AG33" i="2" s="1"/>
  <c r="Y12" i="5"/>
  <c r="Y24" i="5" s="1"/>
  <c r="Y14" i="6" s="1"/>
  <c r="AF9" i="2" s="1"/>
  <c r="W14" i="3"/>
  <c r="AD35" i="2" s="1"/>
  <c r="V14" i="5"/>
  <c r="V26" i="5" s="1"/>
  <c r="I27" i="6"/>
  <c r="I37" i="6"/>
  <c r="X13" i="6"/>
  <c r="AE8" i="2" s="1"/>
  <c r="I137" i="6"/>
  <c r="I134" i="6"/>
  <c r="H26" i="6"/>
  <c r="H122" i="6"/>
  <c r="Z13" i="3"/>
  <c r="AG34" i="2" s="1"/>
  <c r="Y13" i="5"/>
  <c r="Y25" i="5" s="1"/>
  <c r="Y15" i="6" s="1"/>
  <c r="AF10" i="2" s="1"/>
  <c r="G26" i="6"/>
  <c r="G122" i="6"/>
  <c r="Y11" i="5"/>
  <c r="Y23" i="5" s="1"/>
  <c r="Z11" i="3"/>
  <c r="AG32" i="2" s="1"/>
  <c r="O27" i="14" l="1"/>
  <c r="O29" i="14" s="1"/>
  <c r="O42" i="14" s="1"/>
  <c r="O64" i="14"/>
  <c r="J27" i="14"/>
  <c r="K29" i="14" s="1"/>
  <c r="K42" i="14" s="1"/>
  <c r="J64" i="14"/>
  <c r="I22" i="14"/>
  <c r="P22" i="14"/>
  <c r="P64" i="14" s="1"/>
  <c r="J140" i="6"/>
  <c r="J142" i="6" s="1"/>
  <c r="J83" i="6"/>
  <c r="AA13" i="2"/>
  <c r="U17" i="6"/>
  <c r="Q11" i="14" s="1"/>
  <c r="AB11" i="2"/>
  <c r="AB12" i="2" s="1"/>
  <c r="I140" i="6"/>
  <c r="Z11" i="5"/>
  <c r="Z23" i="5" s="1"/>
  <c r="AA23" i="5" s="1"/>
  <c r="AA11" i="3"/>
  <c r="AH32" i="2" s="1"/>
  <c r="G27" i="6"/>
  <c r="G37" i="6"/>
  <c r="X14" i="3"/>
  <c r="AE35" i="2" s="1"/>
  <c r="W14" i="5"/>
  <c r="W26" i="5" s="1"/>
  <c r="V16" i="6"/>
  <c r="V27" i="5"/>
  <c r="V187" i="5" s="1"/>
  <c r="V34" i="6" s="1"/>
  <c r="Y13" i="6"/>
  <c r="AF8" i="2" s="1"/>
  <c r="H134" i="6"/>
  <c r="H137" i="6"/>
  <c r="I41" i="6"/>
  <c r="I38" i="6"/>
  <c r="G134" i="6"/>
  <c r="G137" i="6"/>
  <c r="Z13" i="5"/>
  <c r="Z25" i="5" s="1"/>
  <c r="AA13" i="3"/>
  <c r="AH34" i="2" s="1"/>
  <c r="H27" i="6"/>
  <c r="H37" i="6"/>
  <c r="AA12" i="3"/>
  <c r="AH33" i="2" s="1"/>
  <c r="Z12" i="5"/>
  <c r="Z24" i="5" s="1"/>
  <c r="J30" i="14" l="1"/>
  <c r="J60" i="6"/>
  <c r="U61" i="2" s="1"/>
  <c r="I27" i="14"/>
  <c r="I29" i="14" s="1"/>
  <c r="I42" i="14" s="1"/>
  <c r="I64" i="14"/>
  <c r="U26" i="6"/>
  <c r="U27" i="6" s="1"/>
  <c r="Q22" i="14"/>
  <c r="Q64" i="14" s="1"/>
  <c r="AB13" i="2"/>
  <c r="AB21" i="2"/>
  <c r="AB22" i="2" s="1"/>
  <c r="V17" i="6"/>
  <c r="R11" i="14" s="1"/>
  <c r="AC11" i="2"/>
  <c r="AC12" i="2" s="1"/>
  <c r="Z14" i="6"/>
  <c r="AG9" i="2" s="1"/>
  <c r="AA24" i="5"/>
  <c r="Z15" i="6"/>
  <c r="AG10" i="2" s="1"/>
  <c r="AA25" i="5"/>
  <c r="I45" i="6"/>
  <c r="I42" i="6"/>
  <c r="W16" i="6"/>
  <c r="W27" i="5"/>
  <c r="W187" i="5" s="1"/>
  <c r="W34" i="6" s="1"/>
  <c r="AA13" i="5"/>
  <c r="AB13" i="3"/>
  <c r="AI34" i="2" s="1"/>
  <c r="Y14" i="3"/>
  <c r="AF35" i="2" s="1"/>
  <c r="X14" i="5"/>
  <c r="X26" i="5" s="1"/>
  <c r="G41" i="6"/>
  <c r="G38" i="6"/>
  <c r="AB11" i="3"/>
  <c r="AI32" i="2" s="1"/>
  <c r="AA11" i="5"/>
  <c r="AA12" i="5"/>
  <c r="AB12" i="3"/>
  <c r="AI33" i="2" s="1"/>
  <c r="H38" i="6"/>
  <c r="H41" i="6"/>
  <c r="G140" i="6"/>
  <c r="H140" i="6"/>
  <c r="Z13" i="6"/>
  <c r="AG8" i="2" s="1"/>
  <c r="J29" i="14" l="1"/>
  <c r="J42" i="14" s="1"/>
  <c r="R22" i="14"/>
  <c r="R64" i="14" s="1"/>
  <c r="AC13" i="2"/>
  <c r="W17" i="6"/>
  <c r="S11" i="14" s="1"/>
  <c r="AD11" i="2"/>
  <c r="AD12" i="2" s="1"/>
  <c r="AA14" i="6"/>
  <c r="AH9" i="2" s="1"/>
  <c r="AA15" i="6"/>
  <c r="AH10" i="2" s="1"/>
  <c r="AB13" i="5"/>
  <c r="AB25" i="5" s="1"/>
  <c r="AB15" i="6" s="1"/>
  <c r="AI10" i="2" s="1"/>
  <c r="AC13" i="3"/>
  <c r="AJ34" i="2" s="1"/>
  <c r="I46" i="6"/>
  <c r="I48" i="6"/>
  <c r="I49" i="6" s="1"/>
  <c r="H142" i="6"/>
  <c r="I142" i="6"/>
  <c r="H45" i="6"/>
  <c r="H42" i="6"/>
  <c r="G42" i="6"/>
  <c r="G45" i="6"/>
  <c r="X16" i="6"/>
  <c r="X27" i="5"/>
  <c r="X187" i="5" s="1"/>
  <c r="X34" i="6" s="1"/>
  <c r="Y14" i="5"/>
  <c r="Y26" i="5" s="1"/>
  <c r="Z14" i="3"/>
  <c r="AG35" i="2" s="1"/>
  <c r="AA13" i="6"/>
  <c r="AH8" i="2" s="1"/>
  <c r="AB12" i="5"/>
  <c r="AB24" i="5" s="1"/>
  <c r="AB14" i="6" s="1"/>
  <c r="AI9" i="2" s="1"/>
  <c r="AC12" i="3"/>
  <c r="AJ33" i="2" s="1"/>
  <c r="AC11" i="3"/>
  <c r="AJ32" i="2" s="1"/>
  <c r="AB11" i="5"/>
  <c r="AB23" i="5" s="1"/>
  <c r="W26" i="6" l="1"/>
  <c r="W27" i="6" s="1"/>
  <c r="S22" i="14"/>
  <c r="S64" i="14" s="1"/>
  <c r="AD13" i="2"/>
  <c r="AD21" i="2"/>
  <c r="AD22" i="2" s="1"/>
  <c r="X17" i="6"/>
  <c r="T11" i="14" s="1"/>
  <c r="AE11" i="2"/>
  <c r="AE12" i="2" s="1"/>
  <c r="I165" i="6"/>
  <c r="I167" i="6" s="1"/>
  <c r="I172" i="6" s="1"/>
  <c r="I50" i="6"/>
  <c r="I166" i="6" s="1"/>
  <c r="I171" i="6"/>
  <c r="AD12" i="3"/>
  <c r="AK33" i="2" s="1"/>
  <c r="AC12" i="5"/>
  <c r="AC24" i="5" s="1"/>
  <c r="AC14" i="6" s="1"/>
  <c r="AJ9" i="2" s="1"/>
  <c r="G46" i="6"/>
  <c r="G48" i="6"/>
  <c r="G49" i="6" s="1"/>
  <c r="AB13" i="6"/>
  <c r="AI8" i="2" s="1"/>
  <c r="Z14" i="5"/>
  <c r="Z26" i="5" s="1"/>
  <c r="AA26" i="5" s="1"/>
  <c r="AA14" i="3"/>
  <c r="AH35" i="2" s="1"/>
  <c r="AD11" i="3"/>
  <c r="AK32" i="2" s="1"/>
  <c r="AC11" i="5"/>
  <c r="AC23" i="5" s="1"/>
  <c r="Y16" i="6"/>
  <c r="Y27" i="5"/>
  <c r="Y187" i="5" s="1"/>
  <c r="Y34" i="6" s="1"/>
  <c r="H46" i="6"/>
  <c r="H48" i="6"/>
  <c r="H49" i="6" s="1"/>
  <c r="AC13" i="5"/>
  <c r="AC25" i="5" s="1"/>
  <c r="AC15" i="6" s="1"/>
  <c r="AJ10" i="2" s="1"/>
  <c r="AD13" i="3"/>
  <c r="AK34" i="2" s="1"/>
  <c r="T22" i="14" l="1"/>
  <c r="T64" i="14" s="1"/>
  <c r="AE13" i="2"/>
  <c r="Y17" i="6"/>
  <c r="U11" i="14" s="1"/>
  <c r="AF11" i="2"/>
  <c r="AF12" i="2" s="1"/>
  <c r="H165" i="6"/>
  <c r="H167" i="6" s="1"/>
  <c r="H172" i="6" s="1"/>
  <c r="H50" i="6"/>
  <c r="H166" i="6" s="1"/>
  <c r="H171" i="6"/>
  <c r="G171" i="6"/>
  <c r="G50" i="6"/>
  <c r="G166" i="6" s="1"/>
  <c r="G165" i="6"/>
  <c r="G167" i="6" s="1"/>
  <c r="G172" i="6" s="1"/>
  <c r="AD13" i="5"/>
  <c r="AE13" i="3"/>
  <c r="AL34" i="2" s="1"/>
  <c r="AB14" i="3"/>
  <c r="AI35" i="2" s="1"/>
  <c r="AA14" i="5"/>
  <c r="Z16" i="6"/>
  <c r="Z27" i="5"/>
  <c r="Z187" i="5" s="1"/>
  <c r="Z34" i="6" s="1"/>
  <c r="AE11" i="3"/>
  <c r="AL32" i="2" s="1"/>
  <c r="AD11" i="5"/>
  <c r="AE12" i="3"/>
  <c r="AL33" i="2" s="1"/>
  <c r="AD12" i="5"/>
  <c r="AC13" i="6"/>
  <c r="AJ8" i="2" s="1"/>
  <c r="U22" i="14" l="1"/>
  <c r="U64" i="14" s="1"/>
  <c r="AF13" i="2"/>
  <c r="AF21" i="2"/>
  <c r="AF22" i="2" s="1"/>
  <c r="Y26" i="6"/>
  <c r="Y27" i="6" s="1"/>
  <c r="Z17" i="6"/>
  <c r="V11" i="14" s="1"/>
  <c r="V22" i="14" s="1"/>
  <c r="V64" i="14" s="1"/>
  <c r="AG11" i="2"/>
  <c r="AG12" i="2" s="1"/>
  <c r="G173" i="6"/>
  <c r="H170" i="6" s="1"/>
  <c r="H173" i="6" s="1"/>
  <c r="I170" i="6" s="1"/>
  <c r="I173" i="6" s="1"/>
  <c r="AA16" i="6"/>
  <c r="AH11" i="2" s="1"/>
  <c r="AH12" i="2" s="1"/>
  <c r="AA27" i="5"/>
  <c r="AA187" i="5" s="1"/>
  <c r="AA34" i="6" s="1"/>
  <c r="AF13" i="3"/>
  <c r="AM34" i="2" s="1"/>
  <c r="AE13" i="5"/>
  <c r="AF12" i="3"/>
  <c r="AM33" i="2" s="1"/>
  <c r="AE12" i="5"/>
  <c r="AC14" i="3"/>
  <c r="AJ35" i="2" s="1"/>
  <c r="AB14" i="5"/>
  <c r="AB26" i="5" s="1"/>
  <c r="AE11" i="5"/>
  <c r="AF11" i="3"/>
  <c r="AM32" i="2" s="1"/>
  <c r="AH13" i="2" l="1"/>
  <c r="AG13" i="2"/>
  <c r="AA17" i="6"/>
  <c r="V12" i="2"/>
  <c r="V13" i="2" s="1"/>
  <c r="AF12" i="5"/>
  <c r="AG12" i="3"/>
  <c r="AN33" i="2" s="1"/>
  <c r="AF11" i="5"/>
  <c r="AG11" i="3"/>
  <c r="AN32" i="2" s="1"/>
  <c r="AC14" i="5"/>
  <c r="AC26" i="5" s="1"/>
  <c r="AD14" i="3"/>
  <c r="AK35" i="2" s="1"/>
  <c r="AG13" i="3"/>
  <c r="AN34" i="2" s="1"/>
  <c r="AF13" i="5"/>
  <c r="AB16" i="6"/>
  <c r="AB27" i="5"/>
  <c r="AB187" i="5" s="1"/>
  <c r="AB34" i="6" s="1"/>
  <c r="AB17" i="6" l="1"/>
  <c r="W11" i="14" s="1"/>
  <c r="W22" i="14" s="1"/>
  <c r="AI11" i="2"/>
  <c r="AI12" i="2" s="1"/>
  <c r="AA18" i="6"/>
  <c r="K122" i="6"/>
  <c r="K139" i="6" s="1"/>
  <c r="K96" i="6" s="1"/>
  <c r="AG11" i="5"/>
  <c r="AH11" i="3"/>
  <c r="AO32" i="2" s="1"/>
  <c r="AG12" i="5"/>
  <c r="AH12" i="3"/>
  <c r="AO33" i="2" s="1"/>
  <c r="AC16" i="6"/>
  <c r="AC27" i="5"/>
  <c r="AC187" i="5" s="1"/>
  <c r="AC34" i="6" s="1"/>
  <c r="AH13" i="3"/>
  <c r="AO34" i="2" s="1"/>
  <c r="AG13" i="5"/>
  <c r="AE14" i="3"/>
  <c r="AL35" i="2" s="1"/>
  <c r="AD14" i="5"/>
  <c r="W27" i="14" l="1"/>
  <c r="W64" i="14"/>
  <c r="AI13" i="2"/>
  <c r="AI21" i="2"/>
  <c r="AI22" i="2" s="1"/>
  <c r="AB18" i="6"/>
  <c r="AB26" i="6"/>
  <c r="AB27" i="6" s="1"/>
  <c r="AC17" i="6"/>
  <c r="X11" i="14" s="1"/>
  <c r="X22" i="14" s="1"/>
  <c r="X64" i="14" s="1"/>
  <c r="AJ11" i="2"/>
  <c r="AJ12" i="2" s="1"/>
  <c r="K134" i="6"/>
  <c r="K137" i="6"/>
  <c r="K85" i="6" s="1"/>
  <c r="AI13" i="3"/>
  <c r="AP34" i="2" s="1"/>
  <c r="AH13" i="5"/>
  <c r="AI11" i="3"/>
  <c r="AP32" i="2" s="1"/>
  <c r="AH11" i="5"/>
  <c r="AH12" i="5"/>
  <c r="AI12" i="3"/>
  <c r="AP33" i="2" s="1"/>
  <c r="AF14" i="3"/>
  <c r="AM35" i="2" s="1"/>
  <c r="AE14" i="5"/>
  <c r="AC18" i="6" l="1"/>
  <c r="AJ13" i="2"/>
  <c r="K83" i="6"/>
  <c r="AJ12" i="3"/>
  <c r="AQ33" i="2" s="1"/>
  <c r="AI12" i="5"/>
  <c r="AJ11" i="3"/>
  <c r="AQ32" i="2" s="1"/>
  <c r="AI11" i="5"/>
  <c r="AJ13" i="3"/>
  <c r="AQ34" i="2" s="1"/>
  <c r="AI13" i="5"/>
  <c r="AG14" i="3"/>
  <c r="AN35" i="2" s="1"/>
  <c r="AF14" i="5"/>
  <c r="AK13" i="3" l="1"/>
  <c r="AR34" i="2" s="1"/>
  <c r="AJ13" i="5"/>
  <c r="AJ11" i="5"/>
  <c r="AK11" i="3"/>
  <c r="AR32" i="2" s="1"/>
  <c r="AK12" i="3"/>
  <c r="AR33" i="2" s="1"/>
  <c r="AJ12" i="5"/>
  <c r="AH14" i="3"/>
  <c r="AO35" i="2" s="1"/>
  <c r="AG14" i="5"/>
  <c r="AK12" i="5" l="1"/>
  <c r="AL12" i="3"/>
  <c r="AS33" i="2" s="1"/>
  <c r="AL11" i="3"/>
  <c r="AS32" i="2" s="1"/>
  <c r="AK11" i="5"/>
  <c r="AI14" i="3"/>
  <c r="AP35" i="2" s="1"/>
  <c r="AH14" i="5"/>
  <c r="AK13" i="5"/>
  <c r="AL13" i="3"/>
  <c r="AS34" i="2" s="1"/>
  <c r="AL12" i="5" l="1"/>
  <c r="AM12" i="3"/>
  <c r="AT33" i="2" s="1"/>
  <c r="AL13" i="5"/>
  <c r="AM13" i="3"/>
  <c r="AT34" i="2" s="1"/>
  <c r="AM11" i="3"/>
  <c r="AT32" i="2" s="1"/>
  <c r="AL11" i="5"/>
  <c r="AJ14" i="3"/>
  <c r="AQ35" i="2" s="1"/>
  <c r="AI14" i="5"/>
  <c r="AN13" i="3" l="1"/>
  <c r="AU34" i="2" s="1"/>
  <c r="AM13" i="5"/>
  <c r="AM12" i="5"/>
  <c r="AN12" i="3"/>
  <c r="AU33" i="2" s="1"/>
  <c r="AJ14" i="5"/>
  <c r="AK14" i="3"/>
  <c r="AR35" i="2" s="1"/>
  <c r="AN11" i="3"/>
  <c r="AU32" i="2" s="1"/>
  <c r="AM11" i="5"/>
  <c r="AO12" i="3" l="1"/>
  <c r="AV33" i="2" s="1"/>
  <c r="AO11" i="3"/>
  <c r="AV32" i="2" s="1"/>
  <c r="AN11" i="5"/>
  <c r="AO13" i="3"/>
  <c r="AV34" i="2" s="1"/>
  <c r="AN13" i="5"/>
  <c r="AL14" i="3"/>
  <c r="AS35" i="2" s="1"/>
  <c r="AK14" i="5"/>
  <c r="AN12" i="5"/>
  <c r="AM14" i="3" l="1"/>
  <c r="AT35" i="2" s="1"/>
  <c r="AL14" i="5"/>
  <c r="AP13" i="3"/>
  <c r="AW34" i="2" s="1"/>
  <c r="AO13" i="5"/>
  <c r="AP11" i="3"/>
  <c r="AW32" i="2" s="1"/>
  <c r="AO11" i="5"/>
  <c r="AO12" i="5"/>
  <c r="AP12" i="3"/>
  <c r="AW33" i="2" s="1"/>
  <c r="AP12" i="5" l="1"/>
  <c r="AQ12" i="3"/>
  <c r="AX33" i="2" s="1"/>
  <c r="AQ13" i="3"/>
  <c r="AX34" i="2" s="1"/>
  <c r="AP13" i="5"/>
  <c r="AN14" i="3"/>
  <c r="AU35" i="2" s="1"/>
  <c r="AM14" i="5"/>
  <c r="AQ11" i="3"/>
  <c r="AX32" i="2" s="1"/>
  <c r="AP11" i="5"/>
  <c r="AQ11" i="5" l="1"/>
  <c r="AR11" i="3"/>
  <c r="AY32" i="2" s="1"/>
  <c r="AN14" i="5"/>
  <c r="AO14" i="3"/>
  <c r="AV35" i="2" s="1"/>
  <c r="AQ12" i="5"/>
  <c r="AR12" i="3"/>
  <c r="AY33" i="2" s="1"/>
  <c r="AR13" i="3"/>
  <c r="AY34" i="2" s="1"/>
  <c r="AQ13" i="5"/>
  <c r="AR13" i="5" l="1"/>
  <c r="AS13" i="3"/>
  <c r="AZ34" i="2" s="1"/>
  <c r="AP14" i="3"/>
  <c r="AW35" i="2" s="1"/>
  <c r="AO14" i="5"/>
  <c r="AR12" i="5"/>
  <c r="AS12" i="3"/>
  <c r="AZ33" i="2" s="1"/>
  <c r="AR11" i="5"/>
  <c r="AS11" i="3"/>
  <c r="AZ32" i="2" s="1"/>
  <c r="AT11" i="3" l="1"/>
  <c r="BA32" i="2" s="1"/>
  <c r="AS11" i="5"/>
  <c r="AS12" i="5"/>
  <c r="AT12" i="3"/>
  <c r="BA33" i="2" s="1"/>
  <c r="AQ14" i="3"/>
  <c r="AX35" i="2" s="1"/>
  <c r="AP14" i="5"/>
  <c r="AS13" i="5"/>
  <c r="AT13" i="3"/>
  <c r="BA34" i="2" s="1"/>
  <c r="AT13" i="5" l="1"/>
  <c r="AU13" i="3"/>
  <c r="BB34" i="2" s="1"/>
  <c r="AT12" i="5"/>
  <c r="AU12" i="3"/>
  <c r="BB33" i="2" s="1"/>
  <c r="AU11" i="3"/>
  <c r="BB32" i="2" s="1"/>
  <c r="AT11" i="5"/>
  <c r="AR14" i="3"/>
  <c r="AY35" i="2" s="1"/>
  <c r="AQ14" i="5"/>
  <c r="AS14" i="3" l="1"/>
  <c r="AZ35" i="2" s="1"/>
  <c r="AR14" i="5"/>
  <c r="AU12" i="5"/>
  <c r="AV12" i="3"/>
  <c r="BC33" i="2" s="1"/>
  <c r="AV13" i="3"/>
  <c r="BC34" i="2" s="1"/>
  <c r="AU13" i="5"/>
  <c r="AV11" i="3"/>
  <c r="BC32" i="2" s="1"/>
  <c r="AU11" i="5"/>
  <c r="AW13" i="3" l="1"/>
  <c r="BD34" i="2" s="1"/>
  <c r="AV13" i="5"/>
  <c r="AV12" i="5"/>
  <c r="AW12" i="3"/>
  <c r="BD33" i="2" s="1"/>
  <c r="AW11" i="3"/>
  <c r="BD32" i="2" s="1"/>
  <c r="AV11" i="5"/>
  <c r="AS14" i="5"/>
  <c r="AT14" i="3"/>
  <c r="BA35" i="2" s="1"/>
  <c r="AU14" i="3" l="1"/>
  <c r="BB35" i="2" s="1"/>
  <c r="AT14" i="5"/>
  <c r="AX13" i="3"/>
  <c r="BE34" i="2" s="1"/>
  <c r="AW13" i="5"/>
  <c r="AX12" i="3"/>
  <c r="BE33" i="2" s="1"/>
  <c r="AW12" i="5"/>
  <c r="AW11" i="5"/>
  <c r="AX11" i="3"/>
  <c r="BE32" i="2" s="1"/>
  <c r="AV14" i="3" l="1"/>
  <c r="BC35" i="2" s="1"/>
  <c r="AU14" i="5"/>
  <c r="AY11" i="3"/>
  <c r="BF32" i="2" s="1"/>
  <c r="AX11" i="5"/>
  <c r="AX12" i="5"/>
  <c r="AY12" i="3"/>
  <c r="BF33" i="2" s="1"/>
  <c r="AY13" i="3"/>
  <c r="BF34" i="2" s="1"/>
  <c r="AX13" i="5"/>
  <c r="AZ11" i="3" l="1"/>
  <c r="BG32" i="2" s="1"/>
  <c r="AY11" i="5"/>
  <c r="AZ13" i="3"/>
  <c r="BG34" i="2" s="1"/>
  <c r="AY13" i="5"/>
  <c r="AY12" i="5"/>
  <c r="AZ12" i="3"/>
  <c r="BG33" i="2" s="1"/>
  <c r="AW14" i="3"/>
  <c r="BD35" i="2" s="1"/>
  <c r="AV14" i="5"/>
  <c r="BA12" i="3" l="1"/>
  <c r="BH33" i="2" s="1"/>
  <c r="AZ12" i="5"/>
  <c r="BA11" i="3"/>
  <c r="BH32" i="2" s="1"/>
  <c r="AZ11" i="5"/>
  <c r="AW14" i="5"/>
  <c r="AX14" i="3"/>
  <c r="BE35" i="2" s="1"/>
  <c r="AZ13" i="5"/>
  <c r="BA13" i="3"/>
  <c r="BH34" i="2" s="1"/>
  <c r="BB11" i="3" l="1"/>
  <c r="BA11" i="5"/>
  <c r="BB13" i="3"/>
  <c r="BA13" i="5"/>
  <c r="BB12" i="3"/>
  <c r="BA12" i="5"/>
  <c r="AY14" i="3"/>
  <c r="BF35" i="2" s="1"/>
  <c r="AX14" i="5"/>
  <c r="BC11" i="3" l="1"/>
  <c r="BB11" i="5"/>
  <c r="BC12" i="3"/>
  <c r="BB12" i="5"/>
  <c r="BC13" i="3"/>
  <c r="BB13" i="5"/>
  <c r="AZ14" i="3"/>
  <c r="BG35" i="2" s="1"/>
  <c r="AY14" i="5"/>
  <c r="BD13" i="3" l="1"/>
  <c r="BC13" i="5"/>
  <c r="BA14" i="3"/>
  <c r="BH35" i="2" s="1"/>
  <c r="AZ14" i="5"/>
  <c r="BD12" i="3"/>
  <c r="BC12" i="5"/>
  <c r="BC11" i="5"/>
  <c r="BD11" i="3"/>
  <c r="BD13" i="5" l="1"/>
  <c r="BE13" i="3"/>
  <c r="BD11" i="5"/>
  <c r="BE11" i="3"/>
  <c r="BA14" i="5"/>
  <c r="BB14" i="3"/>
  <c r="BD12" i="5"/>
  <c r="BE12" i="3"/>
  <c r="BB14" i="5" l="1"/>
  <c r="BC14" i="3"/>
  <c r="BE11" i="5"/>
  <c r="BF11" i="3"/>
  <c r="BF13" i="3"/>
  <c r="BE13" i="5"/>
  <c r="BF12" i="3"/>
  <c r="BE12" i="5"/>
  <c r="BF12" i="5" l="1"/>
  <c r="BG12" i="3"/>
  <c r="BF11" i="5"/>
  <c r="BG11" i="3"/>
  <c r="BD14" i="3"/>
  <c r="BC14" i="5"/>
  <c r="BG13" i="3"/>
  <c r="BF13" i="5"/>
  <c r="BG12" i="5" l="1"/>
  <c r="BH12" i="3"/>
  <c r="BG11" i="5"/>
  <c r="BH11" i="3"/>
  <c r="BH13" i="3"/>
  <c r="BG13" i="5"/>
  <c r="BD14" i="5"/>
  <c r="BE14" i="3"/>
  <c r="BE14" i="5" l="1"/>
  <c r="BF14" i="3"/>
  <c r="BH13" i="5"/>
  <c r="BI13" i="3"/>
  <c r="BH12" i="5"/>
  <c r="BI12" i="3"/>
  <c r="BI11" i="3"/>
  <c r="BH11" i="5"/>
  <c r="BI11" i="5" l="1"/>
  <c r="BJ11" i="3"/>
  <c r="BJ13" i="3"/>
  <c r="BI13" i="5"/>
  <c r="BF14" i="5"/>
  <c r="BG14" i="3"/>
  <c r="BJ12" i="3"/>
  <c r="BI12" i="5"/>
  <c r="BK13" i="3" l="1"/>
  <c r="BJ13" i="5"/>
  <c r="BJ12" i="5"/>
  <c r="BK12" i="3"/>
  <c r="BH14" i="3"/>
  <c r="BG14" i="5"/>
  <c r="BJ11" i="5"/>
  <c r="BK11" i="3"/>
  <c r="BH14" i="5" l="1"/>
  <c r="BI14" i="3"/>
  <c r="BL11" i="3"/>
  <c r="BK11" i="5"/>
  <c r="BL12" i="3"/>
  <c r="BK12" i="5"/>
  <c r="BL13" i="3"/>
  <c r="BK13" i="5"/>
  <c r="BI14" i="5" l="1"/>
  <c r="BJ14" i="3"/>
  <c r="BM11" i="3"/>
  <c r="BL11" i="5"/>
  <c r="BL13" i="5"/>
  <c r="BM13" i="3"/>
  <c r="BM12" i="3"/>
  <c r="BL12" i="5"/>
  <c r="BN11" i="3" l="1"/>
  <c r="BN11" i="5" s="1"/>
  <c r="BM11" i="5"/>
  <c r="BM12" i="5"/>
  <c r="BN12" i="3"/>
  <c r="BN12" i="5" s="1"/>
  <c r="BK14" i="3"/>
  <c r="BJ14" i="5"/>
  <c r="BM13" i="5"/>
  <c r="BN13" i="3"/>
  <c r="BN13" i="5" s="1"/>
  <c r="BL14" i="3" l="1"/>
  <c r="BK14" i="5"/>
  <c r="BL14" i="5" l="1"/>
  <c r="BM14" i="3"/>
  <c r="BM14" i="5" l="1"/>
  <c r="BN14" i="3"/>
  <c r="BN14" i="5" s="1"/>
  <c r="AV85" i="3" l="1"/>
  <c r="AV75" i="5" s="1"/>
  <c r="AV76" i="5" s="1"/>
  <c r="AV21" i="3"/>
  <c r="AW21" i="3" s="1"/>
  <c r="AV19" i="3"/>
  <c r="AV69" i="3" s="1"/>
  <c r="AV56" i="5" s="1"/>
  <c r="AV61" i="5" s="1"/>
  <c r="AV20" i="3"/>
  <c r="AV42" i="5" s="1"/>
  <c r="AV43" i="5" s="1"/>
  <c r="AV18" i="3"/>
  <c r="AV68" i="3" s="1"/>
  <c r="AV55" i="5" s="1"/>
  <c r="AV9" i="6"/>
  <c r="AV71" i="5"/>
  <c r="AD22" i="3"/>
  <c r="AV38" i="5" l="1"/>
  <c r="AV81" i="3"/>
  <c r="AV60" i="5"/>
  <c r="AV70" i="3"/>
  <c r="AV57" i="5" s="1"/>
  <c r="AV62" i="5" s="1"/>
  <c r="AV71" i="3"/>
  <c r="AV58" i="5" s="1"/>
  <c r="AV63" i="5" s="1"/>
  <c r="AD19" i="3"/>
  <c r="AD18" i="3"/>
  <c r="AD20" i="3"/>
  <c r="AD21" i="3"/>
  <c r="AD71" i="5"/>
  <c r="AE22" i="3"/>
  <c r="AV17" i="5"/>
  <c r="AV23" i="5" s="1"/>
  <c r="AV33" i="5"/>
  <c r="AW18" i="3"/>
  <c r="AV164" i="3"/>
  <c r="AV94" i="3"/>
  <c r="AV80" i="5" s="1"/>
  <c r="AV19" i="5"/>
  <c r="AV25" i="5" s="1"/>
  <c r="AV15" i="6" s="1"/>
  <c r="BC10" i="2" s="1"/>
  <c r="AW20" i="3"/>
  <c r="AV20" i="5"/>
  <c r="AV26" i="5" s="1"/>
  <c r="AV16" i="6" s="1"/>
  <c r="BC11" i="2" s="1"/>
  <c r="AV124" i="3"/>
  <c r="AV47" i="5"/>
  <c r="AV48" i="5" s="1"/>
  <c r="AV18" i="5"/>
  <c r="AV24" i="5" s="1"/>
  <c r="AV14" i="6" s="1"/>
  <c r="BC9" i="2" s="1"/>
  <c r="AV172" i="3"/>
  <c r="AV104" i="3"/>
  <c r="AV87" i="5" s="1"/>
  <c r="AV114" i="3"/>
  <c r="AV94" i="5" s="1"/>
  <c r="AW19" i="3"/>
  <c r="AW20" i="5"/>
  <c r="AW26" i="5" s="1"/>
  <c r="AW16" i="6" s="1"/>
  <c r="BD11" i="2" s="1"/>
  <c r="AW71" i="3"/>
  <c r="AW58" i="5" s="1"/>
  <c r="AW63" i="5" s="1"/>
  <c r="AW124" i="3"/>
  <c r="AX21" i="3"/>
  <c r="AW47" i="5"/>
  <c r="AW48" i="5" s="1"/>
  <c r="AV180" i="3"/>
  <c r="AD85" i="3"/>
  <c r="AD75" i="5" s="1"/>
  <c r="AD76" i="5" s="1"/>
  <c r="AD81" i="3"/>
  <c r="AD9" i="6"/>
  <c r="AV65" i="5" l="1"/>
  <c r="AV22" i="6" s="1"/>
  <c r="AE20" i="3"/>
  <c r="AE21" i="3"/>
  <c r="AE18" i="3"/>
  <c r="AE19" i="3"/>
  <c r="AV111" i="5"/>
  <c r="AV170" i="3"/>
  <c r="AV162" i="3"/>
  <c r="AV171" i="3" s="1"/>
  <c r="AV179" i="3" s="1"/>
  <c r="AV187" i="3" s="1"/>
  <c r="AD172" i="3"/>
  <c r="AD104" i="3"/>
  <c r="AD87" i="5" s="1"/>
  <c r="AD38" i="5"/>
  <c r="AD18" i="5"/>
  <c r="AD24" i="5" s="1"/>
  <c r="AD14" i="6" s="1"/>
  <c r="AK9" i="2" s="1"/>
  <c r="AD69" i="3"/>
  <c r="AD56" i="5" s="1"/>
  <c r="AD61" i="5" s="1"/>
  <c r="AE9" i="6"/>
  <c r="AF22" i="3"/>
  <c r="AE71" i="5"/>
  <c r="AV130" i="5"/>
  <c r="AV207" i="3"/>
  <c r="AD42" i="5"/>
  <c r="AD43" i="5" s="1"/>
  <c r="AD114" i="3"/>
  <c r="AD94" i="5" s="1"/>
  <c r="AD180" i="3"/>
  <c r="AD70" i="3"/>
  <c r="AD57" i="5" s="1"/>
  <c r="AD62" i="5" s="1"/>
  <c r="AD19" i="5"/>
  <c r="AD25" i="5" s="1"/>
  <c r="AD15" i="6" s="1"/>
  <c r="AK10" i="2" s="1"/>
  <c r="AD164" i="3"/>
  <c r="AD94" i="3"/>
  <c r="AD80" i="5" s="1"/>
  <c r="AD17" i="5"/>
  <c r="AD23" i="5" s="1"/>
  <c r="AD33" i="5"/>
  <c r="AD68" i="3"/>
  <c r="AD55" i="5" s="1"/>
  <c r="AD60" i="5" s="1"/>
  <c r="AW19" i="5"/>
  <c r="AW25" i="5" s="1"/>
  <c r="AW15" i="6" s="1"/>
  <c r="BD10" i="2" s="1"/>
  <c r="AW42" i="5"/>
  <c r="AW43" i="5" s="1"/>
  <c r="AW114" i="3"/>
  <c r="AW94" i="5" s="1"/>
  <c r="AW180" i="3"/>
  <c r="AW70" i="3"/>
  <c r="AW57" i="5" s="1"/>
  <c r="AW62" i="5" s="1"/>
  <c r="AX20" i="3"/>
  <c r="AW22" i="3"/>
  <c r="AW94" i="3"/>
  <c r="AW80" i="5" s="1"/>
  <c r="AW17" i="5"/>
  <c r="AW23" i="5" s="1"/>
  <c r="AW68" i="3"/>
  <c r="AW55" i="5" s="1"/>
  <c r="AW33" i="5"/>
  <c r="AW164" i="3"/>
  <c r="AX18" i="3"/>
  <c r="AV50" i="5"/>
  <c r="AV21" i="6" s="1"/>
  <c r="BC16" i="2" s="1"/>
  <c r="BC46" i="2" s="1"/>
  <c r="AW188" i="3"/>
  <c r="AW101" i="5"/>
  <c r="AV195" i="3"/>
  <c r="AV150" i="5" s="1"/>
  <c r="AV112" i="5"/>
  <c r="AV117" i="5" s="1"/>
  <c r="AD124" i="3"/>
  <c r="AD47" i="5"/>
  <c r="AD48" i="5" s="1"/>
  <c r="AD71" i="3"/>
  <c r="AD58" i="5" s="1"/>
  <c r="AD63" i="5" s="1"/>
  <c r="AD20" i="5"/>
  <c r="AD26" i="5" s="1"/>
  <c r="AD16" i="6" s="1"/>
  <c r="AK11" i="2" s="1"/>
  <c r="AX20" i="5"/>
  <c r="AX26" i="5" s="1"/>
  <c r="AX16" i="6" s="1"/>
  <c r="BE11" i="2" s="1"/>
  <c r="AX124" i="3"/>
  <c r="AX47" i="5"/>
  <c r="AX48" i="5" s="1"/>
  <c r="AY21" i="3"/>
  <c r="AX71" i="3"/>
  <c r="AX58" i="5" s="1"/>
  <c r="AX63" i="5" s="1"/>
  <c r="AW18" i="5"/>
  <c r="AW24" i="5" s="1"/>
  <c r="AW14" i="6" s="1"/>
  <c r="BD9" i="2" s="1"/>
  <c r="AW172" i="3"/>
  <c r="AX19" i="3"/>
  <c r="AW104" i="3"/>
  <c r="AW87" i="5" s="1"/>
  <c r="AW69" i="3"/>
  <c r="AW56" i="5" s="1"/>
  <c r="AW61" i="5" s="1"/>
  <c r="AW38" i="5"/>
  <c r="AV201" i="3"/>
  <c r="AV121" i="5"/>
  <c r="AV188" i="3"/>
  <c r="AV101" i="5"/>
  <c r="AV106" i="5" s="1"/>
  <c r="AV27" i="5"/>
  <c r="AV187" i="5" s="1"/>
  <c r="AV34" i="6" s="1"/>
  <c r="AV13" i="6"/>
  <c r="AV17" i="6" l="1"/>
  <c r="BC8" i="2"/>
  <c r="BC12" i="2" s="1"/>
  <c r="AW170" i="3"/>
  <c r="AW111" i="5"/>
  <c r="AW162" i="3"/>
  <c r="AW171" i="3" s="1"/>
  <c r="AW179" i="3" s="1"/>
  <c r="AW187" i="3" s="1"/>
  <c r="AD170" i="3"/>
  <c r="AD162" i="3"/>
  <c r="AD171" i="3" s="1"/>
  <c r="AD179" i="3" s="1"/>
  <c r="AD187" i="3" s="1"/>
  <c r="AD111" i="5"/>
  <c r="AW60" i="5"/>
  <c r="AW65" i="5" s="1"/>
  <c r="AW22" i="6" s="1"/>
  <c r="AF19" i="3"/>
  <c r="AF21" i="3"/>
  <c r="AF20" i="3"/>
  <c r="AF18" i="3"/>
  <c r="AV178" i="3"/>
  <c r="AV120" i="5"/>
  <c r="AW50" i="5"/>
  <c r="AW21" i="6" s="1"/>
  <c r="BD16" i="2" s="1"/>
  <c r="BD46" i="2" s="1"/>
  <c r="AW106" i="5"/>
  <c r="AY20" i="5"/>
  <c r="AY26" i="5" s="1"/>
  <c r="AY16" i="6" s="1"/>
  <c r="BF11" i="2" s="1"/>
  <c r="AY124" i="3"/>
  <c r="AY47" i="5"/>
  <c r="AY48" i="5" s="1"/>
  <c r="AZ21" i="3"/>
  <c r="AY71" i="3"/>
  <c r="AY58" i="5" s="1"/>
  <c r="AY63" i="5" s="1"/>
  <c r="AD101" i="5"/>
  <c r="AD188" i="3"/>
  <c r="AX22" i="3"/>
  <c r="AX17" i="5"/>
  <c r="AX23" i="5" s="1"/>
  <c r="AX94" i="3"/>
  <c r="AX80" i="5" s="1"/>
  <c r="AX33" i="5"/>
  <c r="AY18" i="3"/>
  <c r="AX164" i="3"/>
  <c r="AX68" i="3"/>
  <c r="AX55" i="5" s="1"/>
  <c r="AX60" i="5" s="1"/>
  <c r="AW13" i="6"/>
  <c r="AW27" i="5"/>
  <c r="AW187" i="5" s="1"/>
  <c r="AW34" i="6" s="1"/>
  <c r="AE20" i="5"/>
  <c r="AE26" i="5" s="1"/>
  <c r="AE16" i="6" s="1"/>
  <c r="AL11" i="2" s="1"/>
  <c r="AE71" i="3"/>
  <c r="AE58" i="5" s="1"/>
  <c r="AE63" i="5" s="1"/>
  <c r="AE124" i="3"/>
  <c r="AE47" i="5"/>
  <c r="AE48" i="5" s="1"/>
  <c r="AD121" i="5"/>
  <c r="AD201" i="3"/>
  <c r="AV139" i="5"/>
  <c r="AV213" i="3"/>
  <c r="AX101" i="5"/>
  <c r="AX188" i="3"/>
  <c r="AW195" i="3"/>
  <c r="AW150" i="5" s="1"/>
  <c r="AW112" i="5"/>
  <c r="AW117" i="5" s="1"/>
  <c r="AW130" i="5"/>
  <c r="AW207" i="3"/>
  <c r="AE19" i="5"/>
  <c r="AE25" i="5" s="1"/>
  <c r="AE15" i="6" s="1"/>
  <c r="AL10" i="2" s="1"/>
  <c r="AE180" i="3"/>
  <c r="AE70" i="3"/>
  <c r="AE57" i="5" s="1"/>
  <c r="AE62" i="5" s="1"/>
  <c r="AE114" i="3"/>
  <c r="AE94" i="5" s="1"/>
  <c r="AE42" i="5"/>
  <c r="AE43" i="5" s="1"/>
  <c r="AX19" i="5"/>
  <c r="AX25" i="5" s="1"/>
  <c r="AX15" i="6" s="1"/>
  <c r="BE10" i="2" s="1"/>
  <c r="AY20" i="3"/>
  <c r="AX180" i="3"/>
  <c r="AX42" i="5"/>
  <c r="AX43" i="5" s="1"/>
  <c r="AX70" i="3"/>
  <c r="AX57" i="5" s="1"/>
  <c r="AX62" i="5" s="1"/>
  <c r="AX114" i="3"/>
  <c r="AX94" i="5" s="1"/>
  <c r="AE81" i="3"/>
  <c r="AE85" i="3"/>
  <c r="AE75" i="5" s="1"/>
  <c r="AE76" i="5" s="1"/>
  <c r="AW213" i="3"/>
  <c r="AW139" i="5"/>
  <c r="AD13" i="6"/>
  <c r="AD27" i="5"/>
  <c r="AD187" i="5" s="1"/>
  <c r="AD34" i="6" s="1"/>
  <c r="AF9" i="6"/>
  <c r="AG22" i="3"/>
  <c r="AF71" i="5"/>
  <c r="AV126" i="5"/>
  <c r="AV157" i="5"/>
  <c r="AW71" i="5"/>
  <c r="AW9" i="6"/>
  <c r="AD65" i="5"/>
  <c r="AD22" i="6" s="1"/>
  <c r="AD112" i="5"/>
  <c r="AD195" i="3"/>
  <c r="AD150" i="5" s="1"/>
  <c r="AD207" i="3"/>
  <c r="AD130" i="5"/>
  <c r="AV164" i="5"/>
  <c r="AE18" i="5"/>
  <c r="AE24" i="5" s="1"/>
  <c r="AE14" i="6" s="1"/>
  <c r="AL9" i="2" s="1"/>
  <c r="AE104" i="3"/>
  <c r="AE87" i="5" s="1"/>
  <c r="AE38" i="5"/>
  <c r="AE172" i="3"/>
  <c r="AE69" i="3"/>
  <c r="AE56" i="5" s="1"/>
  <c r="AE61" i="5" s="1"/>
  <c r="AE17" i="5"/>
  <c r="AE23" i="5" s="1"/>
  <c r="AE33" i="5"/>
  <c r="AE94" i="3"/>
  <c r="AE80" i="5" s="1"/>
  <c r="AE164" i="3"/>
  <c r="AE68" i="3"/>
  <c r="AE55" i="5" s="1"/>
  <c r="AE60" i="5" s="1"/>
  <c r="AX18" i="5"/>
  <c r="AX24" i="5" s="1"/>
  <c r="AX14" i="6" s="1"/>
  <c r="BE9" i="2" s="1"/>
  <c r="AX69" i="3"/>
  <c r="AX56" i="5" s="1"/>
  <c r="AX61" i="5" s="1"/>
  <c r="AX172" i="3"/>
  <c r="AY19" i="3"/>
  <c r="AX38" i="5"/>
  <c r="AX104" i="3"/>
  <c r="AX87" i="5" s="1"/>
  <c r="AD50" i="5"/>
  <c r="AD21" i="6" s="1"/>
  <c r="AK16" i="2" s="1"/>
  <c r="AK46" i="2" s="1"/>
  <c r="AW201" i="3"/>
  <c r="AW121" i="5"/>
  <c r="AW17" i="6" l="1"/>
  <c r="BD8" i="2"/>
  <c r="BD12" i="2" s="1"/>
  <c r="AD17" i="6"/>
  <c r="Y11" i="14" s="1"/>
  <c r="Y22" i="14" s="1"/>
  <c r="Y64" i="14" s="1"/>
  <c r="AK8" i="2"/>
  <c r="AK12" i="2" s="1"/>
  <c r="AD120" i="5"/>
  <c r="AD178" i="3"/>
  <c r="AE170" i="3"/>
  <c r="AE111" i="5"/>
  <c r="AE162" i="3"/>
  <c r="AE171" i="3" s="1"/>
  <c r="AE179" i="3" s="1"/>
  <c r="AE187" i="3" s="1"/>
  <c r="AG21" i="3"/>
  <c r="AG18" i="3"/>
  <c r="AG19" i="3"/>
  <c r="AG20" i="3"/>
  <c r="AX111" i="5"/>
  <c r="AX162" i="3"/>
  <c r="AX171" i="3" s="1"/>
  <c r="AX179" i="3" s="1"/>
  <c r="AX187" i="3" s="1"/>
  <c r="AX170" i="3"/>
  <c r="AV186" i="3"/>
  <c r="AV138" i="5" s="1"/>
  <c r="AV129" i="5"/>
  <c r="AV135" i="5" s="1"/>
  <c r="AW178" i="3"/>
  <c r="AW120" i="5"/>
  <c r="AW126" i="5" s="1"/>
  <c r="AE65" i="5"/>
  <c r="AE22" i="6" s="1"/>
  <c r="AF18" i="5"/>
  <c r="AF24" i="5" s="1"/>
  <c r="AF14" i="6" s="1"/>
  <c r="AM9" i="2" s="1"/>
  <c r="AF172" i="3"/>
  <c r="AF38" i="5"/>
  <c r="AF104" i="3"/>
  <c r="AF87" i="5" s="1"/>
  <c r="AF69" i="3"/>
  <c r="AF56" i="5" s="1"/>
  <c r="AF61" i="5" s="1"/>
  <c r="AF19" i="5"/>
  <c r="AF25" i="5" s="1"/>
  <c r="AF15" i="6" s="1"/>
  <c r="AM10" i="2" s="1"/>
  <c r="AF180" i="3"/>
  <c r="AF70" i="3"/>
  <c r="AF57" i="5" s="1"/>
  <c r="AF62" i="5" s="1"/>
  <c r="AF42" i="5"/>
  <c r="AF43" i="5" s="1"/>
  <c r="AF114" i="3"/>
  <c r="AF94" i="5" s="1"/>
  <c r="AX65" i="5"/>
  <c r="AX22" i="6" s="1"/>
  <c r="AD106" i="5"/>
  <c r="AW157" i="5"/>
  <c r="AD117" i="5"/>
  <c r="AW81" i="3"/>
  <c r="AW85" i="3"/>
  <c r="AW75" i="5" s="1"/>
  <c r="AW76" i="5" s="1"/>
  <c r="AF17" i="5"/>
  <c r="AF23" i="5" s="1"/>
  <c r="AF94" i="3"/>
  <c r="AF80" i="5" s="1"/>
  <c r="AF33" i="5"/>
  <c r="AF164" i="3"/>
  <c r="AF68" i="3"/>
  <c r="AF55" i="5" s="1"/>
  <c r="AF60" i="5" s="1"/>
  <c r="AE130" i="5"/>
  <c r="AE207" i="3"/>
  <c r="AW164" i="5"/>
  <c r="AX106" i="5"/>
  <c r="AD157" i="5"/>
  <c r="AX112" i="5"/>
  <c r="AX117" i="5" s="1"/>
  <c r="AX195" i="3"/>
  <c r="AX150" i="5" s="1"/>
  <c r="AX27" i="5"/>
  <c r="AX187" i="5" s="1"/>
  <c r="AX34" i="6" s="1"/>
  <c r="AX13" i="6"/>
  <c r="AZ20" i="5"/>
  <c r="AZ26" i="5" s="1"/>
  <c r="AZ16" i="6" s="1"/>
  <c r="BG11" i="2" s="1"/>
  <c r="AZ124" i="3"/>
  <c r="AZ47" i="5"/>
  <c r="AZ48" i="5" s="1"/>
  <c r="AZ71" i="3"/>
  <c r="AZ58" i="5" s="1"/>
  <c r="AZ63" i="5" s="1"/>
  <c r="AE201" i="3"/>
  <c r="AE121" i="5"/>
  <c r="AY18" i="5"/>
  <c r="AY24" i="5" s="1"/>
  <c r="AY14" i="6" s="1"/>
  <c r="BF9" i="2" s="1"/>
  <c r="AY104" i="3"/>
  <c r="AY87" i="5" s="1"/>
  <c r="AY38" i="5"/>
  <c r="AZ19" i="3"/>
  <c r="AY172" i="3"/>
  <c r="AY69" i="3"/>
  <c r="AY56" i="5" s="1"/>
  <c r="AY61" i="5" s="1"/>
  <c r="AE13" i="6"/>
  <c r="AE27" i="5"/>
  <c r="AE187" i="5" s="1"/>
  <c r="AE34" i="6" s="1"/>
  <c r="AD164" i="5"/>
  <c r="AF20" i="5"/>
  <c r="AF26" i="5" s="1"/>
  <c r="AF16" i="6" s="1"/>
  <c r="AM11" i="2" s="1"/>
  <c r="AF71" i="3"/>
  <c r="AF58" i="5" s="1"/>
  <c r="AF63" i="5" s="1"/>
  <c r="AF47" i="5"/>
  <c r="AF48" i="5" s="1"/>
  <c r="AF124" i="3"/>
  <c r="AF81" i="3"/>
  <c r="AF85" i="3"/>
  <c r="AF75" i="5" s="1"/>
  <c r="AF76" i="5" s="1"/>
  <c r="AE50" i="5"/>
  <c r="AE21" i="6" s="1"/>
  <c r="AL16" i="2" s="1"/>
  <c r="AL46" i="2" s="1"/>
  <c r="AY22" i="3"/>
  <c r="AY17" i="5"/>
  <c r="AY23" i="5" s="1"/>
  <c r="AY68" i="3"/>
  <c r="AY55" i="5" s="1"/>
  <c r="AY164" i="3"/>
  <c r="AZ18" i="3"/>
  <c r="AY33" i="5"/>
  <c r="AY94" i="3"/>
  <c r="AY80" i="5" s="1"/>
  <c r="AX71" i="5"/>
  <c r="AX9" i="6"/>
  <c r="AX50" i="5"/>
  <c r="AX21" i="6" s="1"/>
  <c r="BE16" i="2" s="1"/>
  <c r="BE46" i="2" s="1"/>
  <c r="AX121" i="5"/>
  <c r="AX201" i="3"/>
  <c r="AE112" i="5"/>
  <c r="AE195" i="3"/>
  <c r="AE150" i="5" s="1"/>
  <c r="AG71" i="5"/>
  <c r="AG9" i="6"/>
  <c r="AH22" i="3"/>
  <c r="AW171" i="5"/>
  <c r="AX130" i="5"/>
  <c r="AX207" i="3"/>
  <c r="AV171" i="5"/>
  <c r="AV176" i="5" s="1"/>
  <c r="AV144" i="5"/>
  <c r="AV146" i="5" s="1"/>
  <c r="AE188" i="3"/>
  <c r="AE101" i="5"/>
  <c r="AD213" i="3"/>
  <c r="AD139" i="5"/>
  <c r="AY188" i="3"/>
  <c r="AY101" i="5"/>
  <c r="AY19" i="5"/>
  <c r="AY25" i="5" s="1"/>
  <c r="AY15" i="6" s="1"/>
  <c r="BF10" i="2" s="1"/>
  <c r="AY180" i="3"/>
  <c r="AZ20" i="3"/>
  <c r="AY70" i="3"/>
  <c r="AY57" i="5" s="1"/>
  <c r="AY62" i="5" s="1"/>
  <c r="AY42" i="5"/>
  <c r="AY43" i="5" s="1"/>
  <c r="AY114" i="3"/>
  <c r="AY94" i="5" s="1"/>
  <c r="AX139" i="5"/>
  <c r="AX213" i="3"/>
  <c r="BD13" i="2" l="1"/>
  <c r="AK13" i="2"/>
  <c r="AD18" i="6"/>
  <c r="AE17" i="6"/>
  <c r="Z11" i="14" s="1"/>
  <c r="AL8" i="2"/>
  <c r="AL12" i="2" s="1"/>
  <c r="AX17" i="6"/>
  <c r="BE8" i="2"/>
  <c r="BE12" i="2" s="1"/>
  <c r="AE117" i="5"/>
  <c r="AX178" i="3"/>
  <c r="AX120" i="5"/>
  <c r="AX126" i="5" s="1"/>
  <c r="AW129" i="5"/>
  <c r="AW135" i="5" s="1"/>
  <c r="AW186" i="3"/>
  <c r="AW138" i="5" s="1"/>
  <c r="AW144" i="5" s="1"/>
  <c r="AE178" i="3"/>
  <c r="AE120" i="5"/>
  <c r="AE126" i="5" s="1"/>
  <c r="AH21" i="3"/>
  <c r="AH18" i="3"/>
  <c r="AH19" i="3"/>
  <c r="AH20" i="3"/>
  <c r="AY170" i="3"/>
  <c r="AY162" i="3"/>
  <c r="AY171" i="3" s="1"/>
  <c r="AY179" i="3" s="1"/>
  <c r="AY187" i="3" s="1"/>
  <c r="AY111" i="5"/>
  <c r="AD186" i="3"/>
  <c r="AD138" i="5" s="1"/>
  <c r="AD129" i="5"/>
  <c r="AD135" i="5" s="1"/>
  <c r="AY60" i="5"/>
  <c r="AY65" i="5" s="1"/>
  <c r="AY22" i="6" s="1"/>
  <c r="AF170" i="3"/>
  <c r="AF111" i="5"/>
  <c r="AF162" i="3"/>
  <c r="AF171" i="3" s="1"/>
  <c r="AF179" i="3" s="1"/>
  <c r="AF187" i="3" s="1"/>
  <c r="AF65" i="5"/>
  <c r="AF22" i="6" s="1"/>
  <c r="AD171" i="5"/>
  <c r="AX164" i="5"/>
  <c r="AG20" i="5"/>
  <c r="AG26" i="5" s="1"/>
  <c r="AG16" i="6" s="1"/>
  <c r="AN11" i="2" s="1"/>
  <c r="AG47" i="5"/>
  <c r="AG48" i="5" s="1"/>
  <c r="AG71" i="3"/>
  <c r="AG58" i="5" s="1"/>
  <c r="AG63" i="5" s="1"/>
  <c r="AG124" i="3"/>
  <c r="AF50" i="5"/>
  <c r="AF21" i="6" s="1"/>
  <c r="AM16" i="2" s="1"/>
  <c r="AM46" i="2" s="1"/>
  <c r="AY201" i="3"/>
  <c r="AY121" i="5"/>
  <c r="AZ188" i="3"/>
  <c r="AZ101" i="5"/>
  <c r="AE164" i="5"/>
  <c r="AF112" i="5"/>
  <c r="AF195" i="3"/>
  <c r="AF150" i="5" s="1"/>
  <c r="AV178" i="5"/>
  <c r="AV180" i="5" s="1"/>
  <c r="AW176" i="5"/>
  <c r="AG18" i="5"/>
  <c r="AG24" i="5" s="1"/>
  <c r="AG14" i="6" s="1"/>
  <c r="AN9" i="2" s="1"/>
  <c r="AG172" i="3"/>
  <c r="AG38" i="5"/>
  <c r="AG104" i="3"/>
  <c r="AG87" i="5" s="1"/>
  <c r="AG69" i="3"/>
  <c r="AG56" i="5" s="1"/>
  <c r="AG61" i="5" s="1"/>
  <c r="AG81" i="3"/>
  <c r="AG85" i="3"/>
  <c r="AG75" i="5" s="1"/>
  <c r="AG76" i="5" s="1"/>
  <c r="AZ22" i="3"/>
  <c r="AZ17" i="5"/>
  <c r="AZ23" i="5" s="1"/>
  <c r="AZ33" i="5"/>
  <c r="AZ164" i="3"/>
  <c r="AZ94" i="3"/>
  <c r="AZ80" i="5" s="1"/>
  <c r="AZ68" i="3"/>
  <c r="AZ55" i="5" s="1"/>
  <c r="AZ60" i="5" s="1"/>
  <c r="AY71" i="5"/>
  <c r="AY9" i="6"/>
  <c r="AZ18" i="5"/>
  <c r="AZ24" i="5" s="1"/>
  <c r="AZ14" i="6" s="1"/>
  <c r="BG9" i="2" s="1"/>
  <c r="AZ172" i="3"/>
  <c r="AZ38" i="5"/>
  <c r="AZ69" i="3"/>
  <c r="AZ56" i="5" s="1"/>
  <c r="AZ61" i="5" s="1"/>
  <c r="AZ104" i="3"/>
  <c r="AZ87" i="5" s="1"/>
  <c r="AE157" i="5"/>
  <c r="AE139" i="5"/>
  <c r="AE213" i="3"/>
  <c r="AG19" i="5"/>
  <c r="AG25" i="5" s="1"/>
  <c r="AG15" i="6" s="1"/>
  <c r="AN10" i="2" s="1"/>
  <c r="AG42" i="5"/>
  <c r="AG43" i="5" s="1"/>
  <c r="AG180" i="3"/>
  <c r="AG114" i="3"/>
  <c r="AG94" i="5" s="1"/>
  <c r="AG70" i="3"/>
  <c r="AG57" i="5" s="1"/>
  <c r="AG62" i="5" s="1"/>
  <c r="AX157" i="5"/>
  <c r="AY106" i="5"/>
  <c r="AX171" i="5"/>
  <c r="AZ180" i="3"/>
  <c r="AZ42" i="5"/>
  <c r="AZ43" i="5" s="1"/>
  <c r="AZ70" i="3"/>
  <c r="AZ57" i="5" s="1"/>
  <c r="AZ62" i="5" s="1"/>
  <c r="AZ19" i="5"/>
  <c r="AZ25" i="5" s="1"/>
  <c r="AZ15" i="6" s="1"/>
  <c r="BG10" i="2" s="1"/>
  <c r="AZ114" i="3"/>
  <c r="AZ94" i="5" s="1"/>
  <c r="AY213" i="3"/>
  <c r="AY139" i="5"/>
  <c r="AH71" i="5"/>
  <c r="AH9" i="6"/>
  <c r="AI22" i="3"/>
  <c r="AG17" i="5"/>
  <c r="AG23" i="5" s="1"/>
  <c r="AG33" i="5"/>
  <c r="AG164" i="3"/>
  <c r="AG94" i="3"/>
  <c r="AG80" i="5" s="1"/>
  <c r="AG68" i="3"/>
  <c r="AG55" i="5" s="1"/>
  <c r="AG60" i="5" s="1"/>
  <c r="AY50" i="5"/>
  <c r="AY21" i="6" s="1"/>
  <c r="BF16" i="2" s="1"/>
  <c r="BF46" i="2" s="1"/>
  <c r="AX81" i="3"/>
  <c r="AX85" i="3"/>
  <c r="AX75" i="5" s="1"/>
  <c r="AX76" i="5" s="1"/>
  <c r="AY195" i="3"/>
  <c r="AY150" i="5" s="1"/>
  <c r="AY112" i="5"/>
  <c r="AE18" i="6"/>
  <c r="AF121" i="5"/>
  <c r="AF201" i="3"/>
  <c r="AY130" i="5"/>
  <c r="AY207" i="3"/>
  <c r="AF101" i="5"/>
  <c r="AF106" i="5" s="1"/>
  <c r="AF188" i="3"/>
  <c r="AD126" i="5"/>
  <c r="AF13" i="6"/>
  <c r="AF27" i="5"/>
  <c r="AF187" i="5" s="1"/>
  <c r="AF34" i="6" s="1"/>
  <c r="AY27" i="5"/>
  <c r="AY187" i="5" s="1"/>
  <c r="AY34" i="6" s="1"/>
  <c r="AY13" i="6"/>
  <c r="AF207" i="3"/>
  <c r="AF130" i="5"/>
  <c r="Z22" i="14" l="1"/>
  <c r="Z64" i="14" s="1"/>
  <c r="AL13" i="2"/>
  <c r="BE13" i="2"/>
  <c r="AF17" i="6"/>
  <c r="AA11" i="14" s="1"/>
  <c r="AM8" i="2"/>
  <c r="AM12" i="2" s="1"/>
  <c r="AY17" i="6"/>
  <c r="BF8" i="2"/>
  <c r="BF12" i="2" s="1"/>
  <c r="AZ27" i="5"/>
  <c r="AZ187" i="5" s="1"/>
  <c r="AZ34" i="6" s="1"/>
  <c r="AY117" i="5"/>
  <c r="AZ50" i="5"/>
  <c r="AZ21" i="6" s="1"/>
  <c r="BG16" i="2" s="1"/>
  <c r="BG46" i="2" s="1"/>
  <c r="AX176" i="5"/>
  <c r="AW146" i="5"/>
  <c r="AW178" i="5" s="1"/>
  <c r="AW180" i="5" s="1"/>
  <c r="AI20" i="3"/>
  <c r="AI21" i="3"/>
  <c r="AI18" i="3"/>
  <c r="AI19" i="3"/>
  <c r="AG170" i="3"/>
  <c r="AG162" i="3"/>
  <c r="AG171" i="3" s="1"/>
  <c r="AG179" i="3" s="1"/>
  <c r="AG187" i="3" s="1"/>
  <c r="AG111" i="5"/>
  <c r="AY178" i="3"/>
  <c r="AY120" i="5"/>
  <c r="AZ162" i="3"/>
  <c r="AZ171" i="3" s="1"/>
  <c r="AZ179" i="3" s="1"/>
  <c r="AZ187" i="3" s="1"/>
  <c r="AZ170" i="3"/>
  <c r="AZ111" i="5"/>
  <c r="AF178" i="3"/>
  <c r="AF120" i="5"/>
  <c r="AF126" i="5" s="1"/>
  <c r="AE186" i="3"/>
  <c r="AE138" i="5" s="1"/>
  <c r="AE144" i="5" s="1"/>
  <c r="AE129" i="5"/>
  <c r="AE135" i="5" s="1"/>
  <c r="AX186" i="3"/>
  <c r="AX138" i="5" s="1"/>
  <c r="AX144" i="5" s="1"/>
  <c r="AX129" i="5"/>
  <c r="AX135" i="5" s="1"/>
  <c r="AH17" i="5"/>
  <c r="AH23" i="5" s="1"/>
  <c r="AH164" i="3"/>
  <c r="AH33" i="5"/>
  <c r="AH94" i="3"/>
  <c r="AH80" i="5" s="1"/>
  <c r="AH68" i="3"/>
  <c r="AH55" i="5" s="1"/>
  <c r="AH60" i="5" s="1"/>
  <c r="AZ130" i="5"/>
  <c r="AZ207" i="3"/>
  <c r="AZ112" i="5"/>
  <c r="AZ117" i="5" s="1"/>
  <c r="AZ195" i="3"/>
  <c r="AZ150" i="5" s="1"/>
  <c r="AV23" i="6"/>
  <c r="AD176" i="5"/>
  <c r="AF139" i="5"/>
  <c r="AF213" i="3"/>
  <c r="AF157" i="5"/>
  <c r="AG65" i="5"/>
  <c r="AG22" i="6" s="1"/>
  <c r="AG27" i="5"/>
  <c r="AG187" i="5" s="1"/>
  <c r="AG34" i="6" s="1"/>
  <c r="AG13" i="6"/>
  <c r="AH20" i="5"/>
  <c r="AH26" i="5" s="1"/>
  <c r="AH16" i="6" s="1"/>
  <c r="AO11" i="2" s="1"/>
  <c r="AH124" i="3"/>
  <c r="AH47" i="5"/>
  <c r="AH48" i="5" s="1"/>
  <c r="AH71" i="3"/>
  <c r="AH58" i="5" s="1"/>
  <c r="AH63" i="5" s="1"/>
  <c r="AH81" i="3"/>
  <c r="AH85" i="3"/>
  <c r="AH75" i="5" s="1"/>
  <c r="AH76" i="5" s="1"/>
  <c r="AZ201" i="3"/>
  <c r="AZ121" i="5"/>
  <c r="AY85" i="3"/>
  <c r="AY75" i="5" s="1"/>
  <c r="AY76" i="5" s="1"/>
  <c r="AY81" i="3"/>
  <c r="AG201" i="3"/>
  <c r="AG121" i="5"/>
  <c r="AZ106" i="5"/>
  <c r="AG101" i="5"/>
  <c r="AG188" i="3"/>
  <c r="AJ22" i="3"/>
  <c r="AI71" i="5"/>
  <c r="AI9" i="6"/>
  <c r="AY171" i="5"/>
  <c r="AG130" i="5"/>
  <c r="AG207" i="3"/>
  <c r="AZ13" i="6"/>
  <c r="AF117" i="5"/>
  <c r="AH19" i="5"/>
  <c r="AH25" i="5" s="1"/>
  <c r="AH15" i="6" s="1"/>
  <c r="AO10" i="2" s="1"/>
  <c r="AH70" i="3"/>
  <c r="AH57" i="5" s="1"/>
  <c r="AH62" i="5" s="1"/>
  <c r="AH180" i="3"/>
  <c r="AH114" i="3"/>
  <c r="AH94" i="5" s="1"/>
  <c r="AH42" i="5"/>
  <c r="AH43" i="5" s="1"/>
  <c r="AZ65" i="5"/>
  <c r="AZ22" i="6" s="1"/>
  <c r="AZ139" i="5"/>
  <c r="AZ213" i="3"/>
  <c r="AY164" i="5"/>
  <c r="AG195" i="3"/>
  <c r="AG150" i="5" s="1"/>
  <c r="AG112" i="5"/>
  <c r="AH18" i="5"/>
  <c r="AH24" i="5" s="1"/>
  <c r="AH14" i="6" s="1"/>
  <c r="AO9" i="2" s="1"/>
  <c r="AH104" i="3"/>
  <c r="AH87" i="5" s="1"/>
  <c r="AH172" i="3"/>
  <c r="AH69" i="3"/>
  <c r="AH56" i="5" s="1"/>
  <c r="AH61" i="5" s="1"/>
  <c r="AH38" i="5"/>
  <c r="AE171" i="5"/>
  <c r="AE176" i="5" s="1"/>
  <c r="AZ9" i="6"/>
  <c r="AZ71" i="5"/>
  <c r="AY126" i="5"/>
  <c r="AY157" i="5"/>
  <c r="AG50" i="5"/>
  <c r="AG21" i="6" s="1"/>
  <c r="AN16" i="2" s="1"/>
  <c r="AN46" i="2" s="1"/>
  <c r="AD144" i="5"/>
  <c r="AD146" i="5" s="1"/>
  <c r="AF164" i="5"/>
  <c r="AF18" i="6" l="1"/>
  <c r="AA22" i="14"/>
  <c r="AA64" i="14" s="1"/>
  <c r="BF13" i="2"/>
  <c r="AV24" i="6"/>
  <c r="AV26" i="6" s="1"/>
  <c r="BC18" i="2"/>
  <c r="AM13" i="2"/>
  <c r="AZ17" i="6"/>
  <c r="BG8" i="2"/>
  <c r="BG12" i="2" s="1"/>
  <c r="AG17" i="6"/>
  <c r="AG18" i="6" s="1"/>
  <c r="AN8" i="2"/>
  <c r="AN12" i="2" s="1"/>
  <c r="AE146" i="5"/>
  <c r="AG117" i="5"/>
  <c r="AW23" i="6"/>
  <c r="AX146" i="5"/>
  <c r="AX178" i="5" s="1"/>
  <c r="AX180" i="5" s="1"/>
  <c r="AZ178" i="3"/>
  <c r="AZ120" i="5"/>
  <c r="AJ19" i="3"/>
  <c r="AJ20" i="3"/>
  <c r="AJ21" i="3"/>
  <c r="AJ18" i="3"/>
  <c r="AH170" i="3"/>
  <c r="AH111" i="5"/>
  <c r="AH162" i="3"/>
  <c r="AH171" i="3" s="1"/>
  <c r="AH179" i="3" s="1"/>
  <c r="AH187" i="3" s="1"/>
  <c r="AF129" i="5"/>
  <c r="AF135" i="5" s="1"/>
  <c r="AF186" i="3"/>
  <c r="AF138" i="5" s="1"/>
  <c r="AF144" i="5" s="1"/>
  <c r="AY129" i="5"/>
  <c r="AY135" i="5" s="1"/>
  <c r="AY186" i="3"/>
  <c r="AY138" i="5" s="1"/>
  <c r="AY144" i="5" s="1"/>
  <c r="AG178" i="3"/>
  <c r="AG120" i="5"/>
  <c r="AG126" i="5" s="1"/>
  <c r="AY176" i="5"/>
  <c r="AI19" i="5"/>
  <c r="AI25" i="5" s="1"/>
  <c r="AI15" i="6" s="1"/>
  <c r="AP10" i="2" s="1"/>
  <c r="AI180" i="3"/>
  <c r="AI42" i="5"/>
  <c r="AI43" i="5" s="1"/>
  <c r="AI114" i="3"/>
  <c r="AI94" i="5" s="1"/>
  <c r="AI70" i="3"/>
  <c r="AI57" i="5" s="1"/>
  <c r="AI62" i="5" s="1"/>
  <c r="AZ171" i="5"/>
  <c r="AJ9" i="6"/>
  <c r="AK22" i="3"/>
  <c r="AJ71" i="5"/>
  <c r="AG157" i="5"/>
  <c r="AH130" i="5"/>
  <c r="AH207" i="3"/>
  <c r="AG164" i="5"/>
  <c r="AI20" i="5"/>
  <c r="AI26" i="5" s="1"/>
  <c r="AI16" i="6" s="1"/>
  <c r="AP11" i="2" s="1"/>
  <c r="AI124" i="3"/>
  <c r="AI47" i="5"/>
  <c r="AI48" i="5" s="1"/>
  <c r="AI71" i="3"/>
  <c r="AI58" i="5" s="1"/>
  <c r="AI63" i="5" s="1"/>
  <c r="AI18" i="5"/>
  <c r="AI24" i="5" s="1"/>
  <c r="AI14" i="6" s="1"/>
  <c r="AP9" i="2" s="1"/>
  <c r="AI172" i="3"/>
  <c r="AI69" i="3"/>
  <c r="AI56" i="5" s="1"/>
  <c r="AI61" i="5" s="1"/>
  <c r="AI38" i="5"/>
  <c r="AI104" i="3"/>
  <c r="AI87" i="5" s="1"/>
  <c r="AH101" i="5"/>
  <c r="AH188" i="3"/>
  <c r="AD178" i="5"/>
  <c r="AD180" i="5" s="1"/>
  <c r="AH65" i="5"/>
  <c r="AH22" i="6" s="1"/>
  <c r="AH13" i="6"/>
  <c r="AH27" i="5"/>
  <c r="AH187" i="5" s="1"/>
  <c r="AH34" i="6" s="1"/>
  <c r="AH121" i="5"/>
  <c r="AH201" i="3"/>
  <c r="AG139" i="5"/>
  <c r="AG213" i="3"/>
  <c r="AH50" i="5"/>
  <c r="AH21" i="6" s="1"/>
  <c r="AO16" i="2" s="1"/>
  <c r="AO46" i="2" s="1"/>
  <c r="AI17" i="5"/>
  <c r="AI23" i="5" s="1"/>
  <c r="AI68" i="3"/>
  <c r="AI55" i="5" s="1"/>
  <c r="AI60" i="5" s="1"/>
  <c r="AI164" i="3"/>
  <c r="AI33" i="5"/>
  <c r="AI94" i="3"/>
  <c r="AI80" i="5" s="1"/>
  <c r="AZ157" i="5"/>
  <c r="AZ126" i="5"/>
  <c r="AI85" i="3"/>
  <c r="AI75" i="5" s="1"/>
  <c r="AI76" i="5" s="1"/>
  <c r="AI81" i="3"/>
  <c r="AZ85" i="3"/>
  <c r="AZ75" i="5" s="1"/>
  <c r="AZ76" i="5" s="1"/>
  <c r="AZ81" i="3"/>
  <c r="AF171" i="5"/>
  <c r="AF176" i="5" s="1"/>
  <c r="AZ164" i="5"/>
  <c r="AH112" i="5"/>
  <c r="AH195" i="3"/>
  <c r="AH150" i="5" s="1"/>
  <c r="AB11" i="14" l="1"/>
  <c r="BG13" i="2"/>
  <c r="BC19" i="2"/>
  <c r="BC21" i="2" s="1"/>
  <c r="BC22" i="2" s="1"/>
  <c r="BC48" i="2"/>
  <c r="AN13" i="2"/>
  <c r="AW24" i="6"/>
  <c r="AW26" i="6" s="1"/>
  <c r="AW27" i="6" s="1"/>
  <c r="BD18" i="2"/>
  <c r="AH17" i="6"/>
  <c r="AH18" i="6" s="1"/>
  <c r="AO8" i="2"/>
  <c r="AO12" i="2" s="1"/>
  <c r="AX23" i="6"/>
  <c r="AY146" i="5"/>
  <c r="AY178" i="5" s="1"/>
  <c r="AY180" i="5" s="1"/>
  <c r="AF146" i="5"/>
  <c r="AF178" i="5" s="1"/>
  <c r="AF180" i="5" s="1"/>
  <c r="AI111" i="5"/>
  <c r="AI170" i="3"/>
  <c r="AI162" i="3"/>
  <c r="AI171" i="3" s="1"/>
  <c r="AI179" i="3" s="1"/>
  <c r="AI187" i="3" s="1"/>
  <c r="AK18" i="3"/>
  <c r="AK19" i="3"/>
  <c r="AK20" i="3"/>
  <c r="AK21" i="3"/>
  <c r="AH120" i="5"/>
  <c r="AH178" i="3"/>
  <c r="AG186" i="3"/>
  <c r="AG138" i="5" s="1"/>
  <c r="AG129" i="5"/>
  <c r="AG135" i="5" s="1"/>
  <c r="AZ129" i="5"/>
  <c r="AZ135" i="5" s="1"/>
  <c r="AZ186" i="3"/>
  <c r="AZ138" i="5" s="1"/>
  <c r="AZ144" i="5" s="1"/>
  <c r="AI121" i="5"/>
  <c r="AI201" i="3"/>
  <c r="AI101" i="5"/>
  <c r="AI188" i="3"/>
  <c r="AJ17" i="5"/>
  <c r="AJ23" i="5" s="1"/>
  <c r="AJ68" i="3"/>
  <c r="AJ55" i="5" s="1"/>
  <c r="AJ60" i="5" s="1"/>
  <c r="AJ164" i="3"/>
  <c r="AJ94" i="3"/>
  <c r="AJ80" i="5" s="1"/>
  <c r="AJ33" i="5"/>
  <c r="AH117" i="5"/>
  <c r="AI112" i="5"/>
  <c r="AI195" i="3"/>
  <c r="AI150" i="5" s="1"/>
  <c r="AG171" i="5"/>
  <c r="AH139" i="5"/>
  <c r="AH213" i="3"/>
  <c r="AK9" i="6"/>
  <c r="AL22" i="3"/>
  <c r="AK71" i="5"/>
  <c r="AJ18" i="5"/>
  <c r="AJ24" i="5" s="1"/>
  <c r="AJ14" i="6" s="1"/>
  <c r="AQ9" i="2" s="1"/>
  <c r="AJ69" i="3"/>
  <c r="AJ56" i="5" s="1"/>
  <c r="AJ61" i="5" s="1"/>
  <c r="AJ172" i="3"/>
  <c r="AJ38" i="5"/>
  <c r="AJ104" i="3"/>
  <c r="AJ87" i="5" s="1"/>
  <c r="AZ176" i="5"/>
  <c r="AH157" i="5"/>
  <c r="AV27" i="6"/>
  <c r="AI65" i="5"/>
  <c r="AI22" i="6" s="1"/>
  <c r="AD23" i="6"/>
  <c r="AH106" i="5"/>
  <c r="AH164" i="5"/>
  <c r="AJ180" i="3"/>
  <c r="AJ19" i="5"/>
  <c r="AJ25" i="5" s="1"/>
  <c r="AJ15" i="6" s="1"/>
  <c r="AQ10" i="2" s="1"/>
  <c r="AJ70" i="3"/>
  <c r="AJ57" i="5" s="1"/>
  <c r="AJ62" i="5" s="1"/>
  <c r="AJ114" i="3"/>
  <c r="AJ94" i="5" s="1"/>
  <c r="AJ42" i="5"/>
  <c r="AJ43" i="5" s="1"/>
  <c r="AI207" i="3"/>
  <c r="AI130" i="5"/>
  <c r="AI50" i="5"/>
  <c r="AI21" i="6" s="1"/>
  <c r="AP16" i="2" s="1"/>
  <c r="AP46" i="2" s="1"/>
  <c r="AJ124" i="3"/>
  <c r="AJ20" i="5"/>
  <c r="AJ26" i="5" s="1"/>
  <c r="AJ16" i="6" s="1"/>
  <c r="AQ11" i="2" s="1"/>
  <c r="AJ47" i="5"/>
  <c r="AJ48" i="5" s="1"/>
  <c r="AJ71" i="3"/>
  <c r="AJ58" i="5" s="1"/>
  <c r="AJ63" i="5" s="1"/>
  <c r="AJ81" i="3"/>
  <c r="AJ85" i="3"/>
  <c r="AJ75" i="5" s="1"/>
  <c r="AJ76" i="5" s="1"/>
  <c r="AI13" i="6"/>
  <c r="AI27" i="5"/>
  <c r="AI187" i="5" s="1"/>
  <c r="AI34" i="6" s="1"/>
  <c r="AC11" i="14" l="1"/>
  <c r="AB22" i="14"/>
  <c r="AB64" i="14" s="1"/>
  <c r="BD19" i="2"/>
  <c r="BD21" i="2" s="1"/>
  <c r="BD22" i="2" s="1"/>
  <c r="BD48" i="2"/>
  <c r="AX24" i="6"/>
  <c r="AX26" i="6" s="1"/>
  <c r="AX27" i="6" s="1"/>
  <c r="BE18" i="2"/>
  <c r="AD24" i="6"/>
  <c r="AK18" i="2"/>
  <c r="AO13" i="2"/>
  <c r="AI17" i="6"/>
  <c r="AI18" i="6" s="1"/>
  <c r="AP8" i="2"/>
  <c r="AP12" i="2" s="1"/>
  <c r="AY23" i="6"/>
  <c r="AZ146" i="5"/>
  <c r="AI117" i="5"/>
  <c r="AL21" i="3"/>
  <c r="AI178" i="3"/>
  <c r="AI120" i="5"/>
  <c r="AI126" i="5" s="1"/>
  <c r="AJ111" i="5"/>
  <c r="AJ162" i="3"/>
  <c r="AJ171" i="3" s="1"/>
  <c r="AJ179" i="3" s="1"/>
  <c r="AJ187" i="3" s="1"/>
  <c r="AJ170" i="3"/>
  <c r="AH186" i="3"/>
  <c r="AH138" i="5" s="1"/>
  <c r="AH144" i="5" s="1"/>
  <c r="AH129" i="5"/>
  <c r="AH135" i="5" s="1"/>
  <c r="AJ121" i="5"/>
  <c r="AJ201" i="3"/>
  <c r="AL71" i="5"/>
  <c r="AL9" i="6"/>
  <c r="AM22" i="3"/>
  <c r="AK19" i="5"/>
  <c r="AK25" i="5" s="1"/>
  <c r="AK15" i="6" s="1"/>
  <c r="AR10" i="2" s="1"/>
  <c r="AK180" i="3"/>
  <c r="AK42" i="5"/>
  <c r="AK43" i="5" s="1"/>
  <c r="AK114" i="3"/>
  <c r="AK94" i="5" s="1"/>
  <c r="AK70" i="3"/>
  <c r="AK57" i="5" s="1"/>
  <c r="AK62" i="5" s="1"/>
  <c r="AJ13" i="6"/>
  <c r="AJ27" i="5"/>
  <c r="AJ187" i="5" s="1"/>
  <c r="AJ34" i="6" s="1"/>
  <c r="AJ207" i="3"/>
  <c r="AJ130" i="5"/>
  <c r="AZ178" i="5"/>
  <c r="AZ180" i="5" s="1"/>
  <c r="AK20" i="5"/>
  <c r="AK26" i="5" s="1"/>
  <c r="AK16" i="6" s="1"/>
  <c r="AR11" i="2" s="1"/>
  <c r="AK124" i="3"/>
  <c r="AK71" i="3"/>
  <c r="AK58" i="5" s="1"/>
  <c r="AK63" i="5" s="1"/>
  <c r="AK47" i="5"/>
  <c r="AK48" i="5" s="1"/>
  <c r="AK85" i="3"/>
  <c r="AK75" i="5" s="1"/>
  <c r="AK76" i="5" s="1"/>
  <c r="AK81" i="3"/>
  <c r="AH171" i="5"/>
  <c r="AH176" i="5" s="1"/>
  <c r="AI139" i="5"/>
  <c r="AI213" i="3"/>
  <c r="AI157" i="5"/>
  <c r="AJ101" i="5"/>
  <c r="AJ188" i="3"/>
  <c r="AF23" i="6"/>
  <c r="AG144" i="5"/>
  <c r="AG146" i="5" s="1"/>
  <c r="AI164" i="5"/>
  <c r="AK17" i="5"/>
  <c r="AK23" i="5" s="1"/>
  <c r="AK33" i="5"/>
  <c r="AK68" i="3"/>
  <c r="AK55" i="5" s="1"/>
  <c r="AK60" i="5" s="1"/>
  <c r="AK164" i="3"/>
  <c r="AK94" i="3"/>
  <c r="AK80" i="5" s="1"/>
  <c r="AJ112" i="5"/>
  <c r="AJ117" i="5" s="1"/>
  <c r="AJ195" i="3"/>
  <c r="AJ150" i="5" s="1"/>
  <c r="AH126" i="5"/>
  <c r="AK18" i="5"/>
  <c r="AK24" i="5" s="1"/>
  <c r="AK14" i="6" s="1"/>
  <c r="AR9" i="2" s="1"/>
  <c r="AK69" i="3"/>
  <c r="AK56" i="5" s="1"/>
  <c r="AK61" i="5" s="1"/>
  <c r="AK104" i="3"/>
  <c r="AK87" i="5" s="1"/>
  <c r="AK172" i="3"/>
  <c r="AK38" i="5"/>
  <c r="AG176" i="5"/>
  <c r="AJ65" i="5"/>
  <c r="AJ22" i="6" s="1"/>
  <c r="AJ50" i="5"/>
  <c r="AJ21" i="6" s="1"/>
  <c r="AQ16" i="2" s="1"/>
  <c r="AQ46" i="2" s="1"/>
  <c r="AD11" i="14" l="1"/>
  <c r="AC22" i="14"/>
  <c r="AC64" i="14" s="1"/>
  <c r="AV18" i="6"/>
  <c r="AD26" i="6"/>
  <c r="AD27" i="6" s="1"/>
  <c r="BE48" i="2"/>
  <c r="BE19" i="2"/>
  <c r="BE21" i="2" s="1"/>
  <c r="BE22" i="2" s="1"/>
  <c r="AF24" i="6"/>
  <c r="AF26" i="6" s="1"/>
  <c r="AM18" i="2"/>
  <c r="AP13" i="2"/>
  <c r="AK48" i="2"/>
  <c r="AK19" i="2"/>
  <c r="AK21" i="2" s="1"/>
  <c r="AK22" i="2" s="1"/>
  <c r="AY24" i="6"/>
  <c r="AY26" i="6" s="1"/>
  <c r="AY27" i="6" s="1"/>
  <c r="BF18" i="2"/>
  <c r="AJ17" i="6"/>
  <c r="AW18" i="6" s="1"/>
  <c r="AQ8" i="2"/>
  <c r="AQ12" i="2" s="1"/>
  <c r="AJ120" i="5"/>
  <c r="AJ178" i="3"/>
  <c r="AI129" i="5"/>
  <c r="AI135" i="5" s="1"/>
  <c r="AI186" i="3"/>
  <c r="AI138" i="5" s="1"/>
  <c r="AK111" i="5"/>
  <c r="AK162" i="3"/>
  <c r="AK171" i="3" s="1"/>
  <c r="AK179" i="3" s="1"/>
  <c r="AK187" i="3" s="1"/>
  <c r="AK170" i="3"/>
  <c r="AO22" i="3"/>
  <c r="AM21" i="3"/>
  <c r="AK65" i="5"/>
  <c r="AK22" i="6" s="1"/>
  <c r="AK13" i="6"/>
  <c r="AK27" i="5"/>
  <c r="AK187" i="5" s="1"/>
  <c r="AK34" i="6" s="1"/>
  <c r="AJ139" i="5"/>
  <c r="AJ213" i="3"/>
  <c r="AM71" i="5"/>
  <c r="AN71" i="5" s="1"/>
  <c r="AM9" i="6"/>
  <c r="AL18" i="5"/>
  <c r="AL24" i="5" s="1"/>
  <c r="AL14" i="6" s="1"/>
  <c r="AS9" i="2" s="1"/>
  <c r="AL104" i="3"/>
  <c r="AL87" i="5" s="1"/>
  <c r="AL172" i="3"/>
  <c r="AL69" i="3"/>
  <c r="AL56" i="5" s="1"/>
  <c r="AL61" i="5" s="1"/>
  <c r="AL38" i="5"/>
  <c r="AK201" i="3"/>
  <c r="AK121" i="5"/>
  <c r="AK195" i="3"/>
  <c r="AK150" i="5" s="1"/>
  <c r="AK112" i="5"/>
  <c r="AJ106" i="5"/>
  <c r="AH146" i="5"/>
  <c r="AH178" i="5" s="1"/>
  <c r="AH180" i="5" s="1"/>
  <c r="AK50" i="5"/>
  <c r="AK21" i="6" s="1"/>
  <c r="AR16" i="2" s="1"/>
  <c r="AR46" i="2" s="1"/>
  <c r="AZ23" i="6"/>
  <c r="AL17" i="5"/>
  <c r="AL23" i="5" s="1"/>
  <c r="AL164" i="3"/>
  <c r="AL33" i="5"/>
  <c r="AL94" i="3"/>
  <c r="AL80" i="5" s="1"/>
  <c r="AL68" i="3"/>
  <c r="AL55" i="5" s="1"/>
  <c r="AL60" i="5" s="1"/>
  <c r="AJ126" i="5"/>
  <c r="AJ157" i="5"/>
  <c r="AJ164" i="5"/>
  <c r="AK130" i="5"/>
  <c r="AK207" i="3"/>
  <c r="AL81" i="3"/>
  <c r="AL85" i="3"/>
  <c r="AL75" i="5" s="1"/>
  <c r="AL76" i="5" s="1"/>
  <c r="AI171" i="5"/>
  <c r="AI176" i="5" s="1"/>
  <c r="AK101" i="5"/>
  <c r="AK188" i="3"/>
  <c r="AL20" i="5"/>
  <c r="AL26" i="5" s="1"/>
  <c r="AL16" i="6" s="1"/>
  <c r="AS11" i="2" s="1"/>
  <c r="AL47" i="5"/>
  <c r="AL48" i="5" s="1"/>
  <c r="AL124" i="3"/>
  <c r="AL71" i="3"/>
  <c r="AL58" i="5" s="1"/>
  <c r="AL63" i="5" s="1"/>
  <c r="AL19" i="5"/>
  <c r="AL25" i="5" s="1"/>
  <c r="AL15" i="6" s="1"/>
  <c r="AS10" i="2" s="1"/>
  <c r="AL180" i="3"/>
  <c r="AL42" i="5"/>
  <c r="AL43" i="5" s="1"/>
  <c r="AL114" i="3"/>
  <c r="AL94" i="5" s="1"/>
  <c r="AL70" i="3"/>
  <c r="AL57" i="5" s="1"/>
  <c r="AL62" i="5" s="1"/>
  <c r="AJ18" i="6" l="1"/>
  <c r="AE11" i="14"/>
  <c r="AD22" i="14"/>
  <c r="AD64" i="14" s="1"/>
  <c r="AZ24" i="6"/>
  <c r="AZ26" i="6" s="1"/>
  <c r="BG18" i="2"/>
  <c r="AQ13" i="2"/>
  <c r="AM19" i="2"/>
  <c r="AM21" i="2" s="1"/>
  <c r="AM22" i="2" s="1"/>
  <c r="AM48" i="2"/>
  <c r="BF48" i="2"/>
  <c r="BF19" i="2"/>
  <c r="BF21" i="2" s="1"/>
  <c r="BF22" i="2" s="1"/>
  <c r="AK17" i="6"/>
  <c r="AK18" i="6" s="1"/>
  <c r="AR8" i="2"/>
  <c r="AR12" i="2" s="1"/>
  <c r="AK178" i="3"/>
  <c r="AK120" i="5"/>
  <c r="AK126" i="5" s="1"/>
  <c r="AJ129" i="5"/>
  <c r="AJ135" i="5" s="1"/>
  <c r="AJ186" i="3"/>
  <c r="AJ138" i="5" s="1"/>
  <c r="AJ144" i="5" s="1"/>
  <c r="AL170" i="3"/>
  <c r="AL111" i="5"/>
  <c r="AL162" i="3"/>
  <c r="AL171" i="3" s="1"/>
  <c r="AL179" i="3" s="1"/>
  <c r="AL187" i="3" s="1"/>
  <c r="AO19" i="3"/>
  <c r="AO18" i="3"/>
  <c r="AO21" i="3"/>
  <c r="AP22" i="3"/>
  <c r="AO20" i="3"/>
  <c r="AL50" i="5"/>
  <c r="AL21" i="6" s="1"/>
  <c r="AS16" i="2" s="1"/>
  <c r="AS46" i="2" s="1"/>
  <c r="AL65" i="5"/>
  <c r="AL22" i="6" s="1"/>
  <c r="AL13" i="6"/>
  <c r="AL27" i="5"/>
  <c r="AL187" i="5" s="1"/>
  <c r="AL34" i="6" s="1"/>
  <c r="AM38" i="5"/>
  <c r="AM18" i="5"/>
  <c r="AM24" i="5" s="1"/>
  <c r="AM14" i="6" s="1"/>
  <c r="AT9" i="2" s="1"/>
  <c r="AM172" i="3"/>
  <c r="AM69" i="3"/>
  <c r="AM56" i="5" s="1"/>
  <c r="AM61" i="5" s="1"/>
  <c r="AN61" i="5" s="1"/>
  <c r="AM104" i="3"/>
  <c r="AM87" i="5" s="1"/>
  <c r="AN19" i="3"/>
  <c r="AM19" i="5"/>
  <c r="AM25" i="5" s="1"/>
  <c r="AM15" i="6" s="1"/>
  <c r="AT10" i="2" s="1"/>
  <c r="AM180" i="3"/>
  <c r="AM42" i="5"/>
  <c r="AM43" i="5" s="1"/>
  <c r="AM114" i="3"/>
  <c r="AM94" i="5" s="1"/>
  <c r="AM70" i="3"/>
  <c r="AM57" i="5" s="1"/>
  <c r="AM62" i="5" s="1"/>
  <c r="AN62" i="5" s="1"/>
  <c r="AN20" i="3"/>
  <c r="AK157" i="5"/>
  <c r="AM17" i="5"/>
  <c r="AM23" i="5" s="1"/>
  <c r="AM68" i="3"/>
  <c r="AM55" i="5" s="1"/>
  <c r="AM60" i="5" s="1"/>
  <c r="AN60" i="5" s="1"/>
  <c r="AM33" i="5"/>
  <c r="AM164" i="3"/>
  <c r="AM94" i="3"/>
  <c r="AM80" i="5" s="1"/>
  <c r="AN18" i="3"/>
  <c r="AJ171" i="5"/>
  <c r="AJ176" i="5" s="1"/>
  <c r="AL188" i="3"/>
  <c r="AL101" i="5"/>
  <c r="AI144" i="5"/>
  <c r="AI146" i="5" s="1"/>
  <c r="AK164" i="5"/>
  <c r="AK117" i="5"/>
  <c r="AL201" i="3"/>
  <c r="AL121" i="5"/>
  <c r="AM81" i="3"/>
  <c r="AM85" i="3"/>
  <c r="AM75" i="5" s="1"/>
  <c r="AM76" i="5" s="1"/>
  <c r="AN76" i="5" s="1"/>
  <c r="AF27" i="6"/>
  <c r="AL130" i="5"/>
  <c r="AL207" i="3"/>
  <c r="AK139" i="5"/>
  <c r="AK213" i="3"/>
  <c r="AH23" i="6"/>
  <c r="AL195" i="3"/>
  <c r="AL150" i="5" s="1"/>
  <c r="AL112" i="5"/>
  <c r="AL117" i="5" s="1"/>
  <c r="AO71" i="5"/>
  <c r="AO9" i="6"/>
  <c r="AM20" i="5"/>
  <c r="AM26" i="5" s="1"/>
  <c r="AM16" i="6" s="1"/>
  <c r="AT11" i="2" s="1"/>
  <c r="AM124" i="3"/>
  <c r="AM47" i="5"/>
  <c r="AM48" i="5" s="1"/>
  <c r="AN48" i="5" s="1"/>
  <c r="AM71" i="3"/>
  <c r="AM58" i="5" s="1"/>
  <c r="AM63" i="5" s="1"/>
  <c r="AN63" i="5" s="1"/>
  <c r="AN21" i="3"/>
  <c r="AX18" i="6" l="1"/>
  <c r="AF11" i="14"/>
  <c r="AE22" i="14"/>
  <c r="AE64" i="14" s="1"/>
  <c r="AR13" i="2"/>
  <c r="AH24" i="6"/>
  <c r="AH26" i="6" s="1"/>
  <c r="AO18" i="2"/>
  <c r="BG48" i="2"/>
  <c r="BG19" i="2"/>
  <c r="BG21" i="2" s="1"/>
  <c r="BG22" i="2" s="1"/>
  <c r="AJ146" i="5"/>
  <c r="AL17" i="6"/>
  <c r="AL18" i="6" s="1"/>
  <c r="AS8" i="2"/>
  <c r="AS12" i="2" s="1"/>
  <c r="AL106" i="5"/>
  <c r="AM170" i="3"/>
  <c r="AM111" i="5"/>
  <c r="AM162" i="3"/>
  <c r="AM171" i="3" s="1"/>
  <c r="AM179" i="3" s="1"/>
  <c r="AM187" i="3" s="1"/>
  <c r="AP19" i="3"/>
  <c r="AP21" i="3"/>
  <c r="AP18" i="3"/>
  <c r="AP20" i="3"/>
  <c r="AQ22" i="3"/>
  <c r="AL120" i="5"/>
  <c r="AL178" i="3"/>
  <c r="AK129" i="5"/>
  <c r="AK135" i="5" s="1"/>
  <c r="AK186" i="3"/>
  <c r="AK138" i="5" s="1"/>
  <c r="AJ178" i="5"/>
  <c r="AL164" i="5"/>
  <c r="AM101" i="5"/>
  <c r="AM188" i="3"/>
  <c r="AO85" i="3"/>
  <c r="AO75" i="5" s="1"/>
  <c r="AO76" i="5" s="1"/>
  <c r="AO81" i="3"/>
  <c r="AM13" i="6"/>
  <c r="AM27" i="5"/>
  <c r="AM187" i="5" s="1"/>
  <c r="AM34" i="6" s="1"/>
  <c r="AM201" i="3"/>
  <c r="AM121" i="5"/>
  <c r="AN18" i="5"/>
  <c r="AN24" i="5" s="1"/>
  <c r="AN14" i="6" s="1"/>
  <c r="AU9" i="2" s="1"/>
  <c r="AN172" i="3"/>
  <c r="AN104" i="3"/>
  <c r="AN87" i="5" s="1"/>
  <c r="AN38" i="5"/>
  <c r="AN69" i="3"/>
  <c r="AN56" i="5" s="1"/>
  <c r="AO20" i="5"/>
  <c r="AO26" i="5" s="1"/>
  <c r="AO16" i="6" s="1"/>
  <c r="AV11" i="2" s="1"/>
  <c r="AO124" i="3"/>
  <c r="AO71" i="3"/>
  <c r="AO58" i="5" s="1"/>
  <c r="AO63" i="5" s="1"/>
  <c r="AO47" i="5"/>
  <c r="AO48" i="5" s="1"/>
  <c r="AM112" i="5"/>
  <c r="AM195" i="3"/>
  <c r="AM150" i="5" s="1"/>
  <c r="AN153" i="5" s="1"/>
  <c r="AO17" i="5"/>
  <c r="AO23" i="5" s="1"/>
  <c r="AO94" i="3"/>
  <c r="AO80" i="5" s="1"/>
  <c r="AO164" i="3"/>
  <c r="AO33" i="5"/>
  <c r="AO68" i="3"/>
  <c r="AO55" i="5" s="1"/>
  <c r="AO60" i="5" s="1"/>
  <c r="AL126" i="5"/>
  <c r="AL157" i="5"/>
  <c r="AZ27" i="6"/>
  <c r="AN20" i="5"/>
  <c r="AN26" i="5" s="1"/>
  <c r="AN16" i="6" s="1"/>
  <c r="AU11" i="2" s="1"/>
  <c r="AN71" i="3"/>
  <c r="AN58" i="5" s="1"/>
  <c r="AN124" i="3"/>
  <c r="AP71" i="5"/>
  <c r="AP9" i="6"/>
  <c r="AO19" i="5"/>
  <c r="AO25" i="5" s="1"/>
  <c r="AO15" i="6" s="1"/>
  <c r="AV10" i="2" s="1"/>
  <c r="AO114" i="3"/>
  <c r="AO94" i="5" s="1"/>
  <c r="AO180" i="3"/>
  <c r="AO70" i="3"/>
  <c r="AO57" i="5" s="1"/>
  <c r="AO62" i="5" s="1"/>
  <c r="AO42" i="5"/>
  <c r="AO43" i="5" s="1"/>
  <c r="AM50" i="5"/>
  <c r="AM21" i="6" s="1"/>
  <c r="AT16" i="2" s="1"/>
  <c r="AT46" i="2" s="1"/>
  <c r="AO18" i="5"/>
  <c r="AO24" i="5" s="1"/>
  <c r="AO14" i="6" s="1"/>
  <c r="AV9" i="2" s="1"/>
  <c r="AO104" i="3"/>
  <c r="AO87" i="5" s="1"/>
  <c r="AO172" i="3"/>
  <c r="AO69" i="3"/>
  <c r="AO56" i="5" s="1"/>
  <c r="AO61" i="5" s="1"/>
  <c r="AO38" i="5"/>
  <c r="AK171" i="5"/>
  <c r="AK176" i="5" s="1"/>
  <c r="AL213" i="3"/>
  <c r="AL139" i="5"/>
  <c r="AN17" i="5"/>
  <c r="AN23" i="5" s="1"/>
  <c r="AN22" i="3"/>
  <c r="AN33" i="5"/>
  <c r="AN68" i="3"/>
  <c r="AN55" i="5" s="1"/>
  <c r="AN94" i="3"/>
  <c r="AN80" i="5" s="1"/>
  <c r="AM65" i="5"/>
  <c r="AM22" i="6" s="1"/>
  <c r="AN19" i="5"/>
  <c r="AN25" i="5" s="1"/>
  <c r="AN15" i="6" s="1"/>
  <c r="AU10" i="2" s="1"/>
  <c r="AN180" i="3"/>
  <c r="AN114" i="3"/>
  <c r="AN94" i="5" s="1"/>
  <c r="AN42" i="5"/>
  <c r="AN43" i="5" s="1"/>
  <c r="AN70" i="3"/>
  <c r="AN57" i="5" s="1"/>
  <c r="AM207" i="3"/>
  <c r="AM130" i="5"/>
  <c r="AY18" i="6" l="1"/>
  <c r="AG11" i="14"/>
  <c r="AF22" i="14"/>
  <c r="AF64" i="14" s="1"/>
  <c r="AO48" i="2"/>
  <c r="AO19" i="2"/>
  <c r="AO21" i="2" s="1"/>
  <c r="AO22" i="2" s="1"/>
  <c r="AJ23" i="6"/>
  <c r="AJ180" i="5"/>
  <c r="AS13" i="2"/>
  <c r="AM17" i="6"/>
  <c r="AM18" i="6" s="1"/>
  <c r="AT8" i="2"/>
  <c r="AT12" i="2" s="1"/>
  <c r="AO111" i="5"/>
  <c r="AO162" i="3"/>
  <c r="AO171" i="3" s="1"/>
  <c r="AO179" i="3" s="1"/>
  <c r="AO187" i="3" s="1"/>
  <c r="AO170" i="3"/>
  <c r="AR22" i="3"/>
  <c r="AQ19" i="3"/>
  <c r="AQ21" i="3"/>
  <c r="AQ20" i="3"/>
  <c r="AQ18" i="3"/>
  <c r="AN111" i="5"/>
  <c r="AN162" i="3"/>
  <c r="AN171" i="3" s="1"/>
  <c r="AN179" i="3" s="1"/>
  <c r="AN187" i="3" s="1"/>
  <c r="AN170" i="3"/>
  <c r="AL129" i="5"/>
  <c r="AL135" i="5" s="1"/>
  <c r="AL186" i="3"/>
  <c r="AL138" i="5" s="1"/>
  <c r="AM120" i="5"/>
  <c r="AM178" i="3"/>
  <c r="AM164" i="5"/>
  <c r="AN167" i="5" s="1"/>
  <c r="AL144" i="5"/>
  <c r="AL171" i="5"/>
  <c r="AL176" i="5" s="1"/>
  <c r="AK144" i="5"/>
  <c r="AK146" i="5" s="1"/>
  <c r="AO201" i="3"/>
  <c r="AO121" i="5"/>
  <c r="AO130" i="5"/>
  <c r="AO207" i="3"/>
  <c r="AP85" i="3"/>
  <c r="AP75" i="5" s="1"/>
  <c r="AP76" i="5" s="1"/>
  <c r="AP81" i="3"/>
  <c r="AQ9" i="6"/>
  <c r="AQ71" i="5"/>
  <c r="AN50" i="5"/>
  <c r="AM117" i="5"/>
  <c r="AN117" i="5"/>
  <c r="AO50" i="5"/>
  <c r="AO21" i="6" s="1"/>
  <c r="AV16" i="2" s="1"/>
  <c r="AV46" i="2" s="1"/>
  <c r="AN130" i="5"/>
  <c r="AN164" i="5" s="1"/>
  <c r="AN207" i="3"/>
  <c r="AN188" i="3"/>
  <c r="AN101" i="5"/>
  <c r="AO65" i="5"/>
  <c r="AO22" i="6" s="1"/>
  <c r="AN121" i="5"/>
  <c r="AN157" i="5" s="1"/>
  <c r="AN201" i="3"/>
  <c r="AN112" i="5"/>
  <c r="AN150" i="5"/>
  <c r="AP18" i="5"/>
  <c r="AP24" i="5" s="1"/>
  <c r="AP14" i="6" s="1"/>
  <c r="AW9" i="2" s="1"/>
  <c r="AP172" i="3"/>
  <c r="AP69" i="3"/>
  <c r="AP56" i="5" s="1"/>
  <c r="AP61" i="5" s="1"/>
  <c r="AP38" i="5"/>
  <c r="AP104" i="3"/>
  <c r="AP87" i="5" s="1"/>
  <c r="AP19" i="5"/>
  <c r="AP25" i="5" s="1"/>
  <c r="AP15" i="6" s="1"/>
  <c r="AW10" i="2" s="1"/>
  <c r="AP180" i="3"/>
  <c r="AP114" i="3"/>
  <c r="AP94" i="5" s="1"/>
  <c r="AP70" i="3"/>
  <c r="AP57" i="5" s="1"/>
  <c r="AP62" i="5" s="1"/>
  <c r="AP42" i="5"/>
  <c r="AP43" i="5" s="1"/>
  <c r="AO13" i="6"/>
  <c r="AO27" i="5"/>
  <c r="AO187" i="5" s="1"/>
  <c r="AO34" i="6" s="1"/>
  <c r="AO101" i="5"/>
  <c r="AO188" i="3"/>
  <c r="AZ18" i="6"/>
  <c r="AH27" i="6"/>
  <c r="AN9" i="6"/>
  <c r="AN65" i="5"/>
  <c r="AN22" i="6" s="1"/>
  <c r="AN27" i="5"/>
  <c r="AN187" i="5" s="1"/>
  <c r="AN34" i="6" s="1"/>
  <c r="AN13" i="6"/>
  <c r="AU8" i="2" s="1"/>
  <c r="AU12" i="2" s="1"/>
  <c r="AP20" i="5"/>
  <c r="AP26" i="5" s="1"/>
  <c r="AP16" i="6" s="1"/>
  <c r="AW11" i="2" s="1"/>
  <c r="AP124" i="3"/>
  <c r="AP47" i="5"/>
  <c r="AP48" i="5" s="1"/>
  <c r="AP71" i="3"/>
  <c r="AP58" i="5" s="1"/>
  <c r="AP63" i="5" s="1"/>
  <c r="AP17" i="5"/>
  <c r="AP23" i="5" s="1"/>
  <c r="AP164" i="3"/>
  <c r="AP68" i="3"/>
  <c r="AP55" i="5" s="1"/>
  <c r="AP60" i="5" s="1"/>
  <c r="AP33" i="5"/>
  <c r="AP94" i="3"/>
  <c r="AP80" i="5" s="1"/>
  <c r="AO195" i="3"/>
  <c r="AO150" i="5" s="1"/>
  <c r="AO112" i="5"/>
  <c r="AM157" i="5"/>
  <c r="AN160" i="5" s="1"/>
  <c r="AM139" i="5"/>
  <c r="AM213" i="3"/>
  <c r="AH11" i="14" l="1"/>
  <c r="AH22" i="14" s="1"/>
  <c r="AH64" i="14" s="1"/>
  <c r="AG22" i="14"/>
  <c r="AG64" i="14" s="1"/>
  <c r="AT13" i="2"/>
  <c r="AJ24" i="6"/>
  <c r="AJ26" i="6" s="1"/>
  <c r="AJ27" i="6" s="1"/>
  <c r="AQ18" i="2"/>
  <c r="AU13" i="2"/>
  <c r="AN21" i="6"/>
  <c r="AU16" i="2" s="1"/>
  <c r="AU46" i="2" s="1"/>
  <c r="AO17" i="6"/>
  <c r="AI11" i="14" s="1"/>
  <c r="AI22" i="14" s="1"/>
  <c r="AI64" i="14" s="1"/>
  <c r="AV8" i="2"/>
  <c r="AV12" i="2" s="1"/>
  <c r="AL146" i="5"/>
  <c r="AL178" i="5" s="1"/>
  <c r="AL180" i="5" s="1"/>
  <c r="AO117" i="5"/>
  <c r="AS22" i="3"/>
  <c r="AR18" i="3"/>
  <c r="AR20" i="3"/>
  <c r="AR19" i="3"/>
  <c r="AR21" i="3"/>
  <c r="AM186" i="3"/>
  <c r="AM138" i="5" s="1"/>
  <c r="AM129" i="5"/>
  <c r="AM135" i="5" s="1"/>
  <c r="AN120" i="5"/>
  <c r="AN178" i="3"/>
  <c r="AO120" i="5"/>
  <c r="AO178" i="3"/>
  <c r="AP162" i="3"/>
  <c r="AP171" i="3" s="1"/>
  <c r="AP179" i="3" s="1"/>
  <c r="AP187" i="3" s="1"/>
  <c r="AP170" i="3"/>
  <c r="AP111" i="5"/>
  <c r="AP65" i="5"/>
  <c r="AP22" i="6" s="1"/>
  <c r="AP195" i="3"/>
  <c r="AP150" i="5" s="1"/>
  <c r="AP112" i="5"/>
  <c r="AP101" i="5"/>
  <c r="AP106" i="5" s="1"/>
  <c r="AP188" i="3"/>
  <c r="AN85" i="3"/>
  <c r="AN75" i="5" s="1"/>
  <c r="AN81" i="3"/>
  <c r="AR71" i="5"/>
  <c r="AR9" i="6"/>
  <c r="AP27" i="5"/>
  <c r="AP187" i="5" s="1"/>
  <c r="AP34" i="6" s="1"/>
  <c r="AP13" i="6"/>
  <c r="AQ19" i="5"/>
  <c r="AQ25" i="5" s="1"/>
  <c r="AQ15" i="6" s="1"/>
  <c r="AX10" i="2" s="1"/>
  <c r="AQ180" i="3"/>
  <c r="AQ114" i="3"/>
  <c r="AQ94" i="5" s="1"/>
  <c r="AQ70" i="3"/>
  <c r="AQ57" i="5" s="1"/>
  <c r="AQ62" i="5" s="1"/>
  <c r="AQ42" i="5"/>
  <c r="AQ43" i="5" s="1"/>
  <c r="AQ18" i="5"/>
  <c r="AQ24" i="5" s="1"/>
  <c r="AQ14" i="6" s="1"/>
  <c r="AX9" i="2" s="1"/>
  <c r="AQ104" i="3"/>
  <c r="AQ87" i="5" s="1"/>
  <c r="AQ172" i="3"/>
  <c r="AQ69" i="3"/>
  <c r="AQ56" i="5" s="1"/>
  <c r="AQ61" i="5" s="1"/>
  <c r="AQ38" i="5"/>
  <c r="AO164" i="5"/>
  <c r="AP207" i="3"/>
  <c r="AP130" i="5"/>
  <c r="AM171" i="5"/>
  <c r="W12" i="2"/>
  <c r="AN17" i="6"/>
  <c r="L122" i="6" s="1"/>
  <c r="L139" i="6" s="1"/>
  <c r="L96" i="6" s="1"/>
  <c r="AO139" i="5"/>
  <c r="AO213" i="3"/>
  <c r="AP121" i="5"/>
  <c r="AP201" i="3"/>
  <c r="AN213" i="3"/>
  <c r="AN139" i="5"/>
  <c r="AN171" i="5" s="1"/>
  <c r="AQ17" i="5"/>
  <c r="AQ23" i="5" s="1"/>
  <c r="AQ94" i="3"/>
  <c r="AQ80" i="5" s="1"/>
  <c r="AQ68" i="3"/>
  <c r="AQ55" i="5" s="1"/>
  <c r="AQ60" i="5" s="1"/>
  <c r="AQ164" i="3"/>
  <c r="AQ33" i="5"/>
  <c r="AQ20" i="5"/>
  <c r="AQ26" i="5" s="1"/>
  <c r="AQ16" i="6" s="1"/>
  <c r="AX11" i="2" s="1"/>
  <c r="AQ124" i="3"/>
  <c r="AQ47" i="5"/>
  <c r="AQ48" i="5" s="1"/>
  <c r="AQ71" i="3"/>
  <c r="AQ58" i="5" s="1"/>
  <c r="AQ63" i="5" s="1"/>
  <c r="AO157" i="5"/>
  <c r="AM126" i="5"/>
  <c r="AN126" i="5"/>
  <c r="AP50" i="5"/>
  <c r="AP21" i="6" s="1"/>
  <c r="AW16" i="2" s="1"/>
  <c r="AW46" i="2" s="1"/>
  <c r="AO106" i="5"/>
  <c r="AQ81" i="3"/>
  <c r="AQ85" i="3"/>
  <c r="AQ75" i="5" s="1"/>
  <c r="AQ76" i="5" s="1"/>
  <c r="AN135" i="5"/>
  <c r="AO18" i="6" l="1"/>
  <c r="AQ48" i="2"/>
  <c r="AQ19" i="2"/>
  <c r="AQ21" i="2" s="1"/>
  <c r="AQ22" i="2" s="1"/>
  <c r="AV13" i="2"/>
  <c r="AP17" i="6"/>
  <c r="AW8" i="2"/>
  <c r="AW12" i="2" s="1"/>
  <c r="AP117" i="5"/>
  <c r="AO129" i="5"/>
  <c r="AO135" i="5" s="1"/>
  <c r="AO186" i="3"/>
  <c r="AO138" i="5" s="1"/>
  <c r="AQ170" i="3"/>
  <c r="AQ111" i="5"/>
  <c r="AQ162" i="3"/>
  <c r="AQ171" i="3" s="1"/>
  <c r="AQ179" i="3" s="1"/>
  <c r="AQ187" i="3" s="1"/>
  <c r="AP178" i="3"/>
  <c r="AP120" i="5"/>
  <c r="AP126" i="5" s="1"/>
  <c r="AN186" i="3"/>
  <c r="AN138" i="5" s="1"/>
  <c r="AN129" i="5"/>
  <c r="AT22" i="3"/>
  <c r="AS18" i="3"/>
  <c r="AS20" i="3"/>
  <c r="AS21" i="3"/>
  <c r="AS19" i="3"/>
  <c r="L134" i="6"/>
  <c r="L83" i="6" s="1"/>
  <c r="L137" i="6"/>
  <c r="L85" i="6" s="1"/>
  <c r="AQ65" i="5"/>
  <c r="AQ22" i="6" s="1"/>
  <c r="AQ13" i="6"/>
  <c r="AQ27" i="5"/>
  <c r="AQ187" i="5" s="1"/>
  <c r="AQ34" i="6" s="1"/>
  <c r="AR17" i="5"/>
  <c r="AR23" i="5" s="1"/>
  <c r="AR33" i="5"/>
  <c r="AR94" i="3"/>
  <c r="AR80" i="5" s="1"/>
  <c r="AR68" i="3"/>
  <c r="AR55" i="5" s="1"/>
  <c r="AR60" i="5" s="1"/>
  <c r="AR164" i="3"/>
  <c r="AR81" i="3"/>
  <c r="AR85" i="3"/>
  <c r="AR75" i="5" s="1"/>
  <c r="AR76" i="5" s="1"/>
  <c r="AQ50" i="5"/>
  <c r="AQ21" i="6" s="1"/>
  <c r="AX16" i="2" s="1"/>
  <c r="AX46" i="2" s="1"/>
  <c r="AQ112" i="5"/>
  <c r="AQ195" i="3"/>
  <c r="AQ150" i="5" s="1"/>
  <c r="AN18" i="6"/>
  <c r="AM144" i="5"/>
  <c r="AM146" i="5" s="1"/>
  <c r="AN144" i="5"/>
  <c r="AN146" i="5" s="1"/>
  <c r="AQ130" i="5"/>
  <c r="AQ207" i="3"/>
  <c r="AL23" i="6"/>
  <c r="AR18" i="5"/>
  <c r="AR24" i="5" s="1"/>
  <c r="AR14" i="6" s="1"/>
  <c r="AY9" i="2" s="1"/>
  <c r="AR69" i="3"/>
  <c r="AR56" i="5" s="1"/>
  <c r="AR61" i="5" s="1"/>
  <c r="AR38" i="5"/>
  <c r="AR172" i="3"/>
  <c r="AR104" i="3"/>
  <c r="AR87" i="5" s="1"/>
  <c r="AS9" i="6"/>
  <c r="AS71" i="5"/>
  <c r="AM176" i="5"/>
  <c r="AN174" i="5"/>
  <c r="AN176" i="5" s="1"/>
  <c r="AO126" i="5"/>
  <c r="AQ101" i="5"/>
  <c r="AQ188" i="3"/>
  <c r="AP157" i="5"/>
  <c r="W13" i="2"/>
  <c r="AQ201" i="3"/>
  <c r="AQ121" i="5"/>
  <c r="AP164" i="5"/>
  <c r="AR19" i="5"/>
  <c r="AR25" i="5" s="1"/>
  <c r="AR15" i="6" s="1"/>
  <c r="AY10" i="2" s="1"/>
  <c r="AR70" i="3"/>
  <c r="AR57" i="5" s="1"/>
  <c r="AR62" i="5" s="1"/>
  <c r="AR180" i="3"/>
  <c r="AR42" i="5"/>
  <c r="AR43" i="5" s="1"/>
  <c r="AR114" i="3"/>
  <c r="AR94" i="5" s="1"/>
  <c r="AR20" i="5"/>
  <c r="AR26" i="5" s="1"/>
  <c r="AR16" i="6" s="1"/>
  <c r="AY11" i="2" s="1"/>
  <c r="AR124" i="3"/>
  <c r="AR47" i="5"/>
  <c r="AR48" i="5" s="1"/>
  <c r="AR71" i="3"/>
  <c r="AR58" i="5" s="1"/>
  <c r="AR63" i="5" s="1"/>
  <c r="AP139" i="5"/>
  <c r="AP213" i="3"/>
  <c r="AO171" i="5"/>
  <c r="AP18" i="6" l="1"/>
  <c r="AJ11" i="14"/>
  <c r="AJ22" i="14" s="1"/>
  <c r="AJ64" i="14" s="1"/>
  <c r="AL24" i="6"/>
  <c r="AL26" i="6" s="1"/>
  <c r="AS18" i="2"/>
  <c r="AW13" i="2"/>
  <c r="AQ17" i="6"/>
  <c r="AX8" i="2"/>
  <c r="AX12" i="2" s="1"/>
  <c r="AQ117" i="5"/>
  <c r="AQ120" i="5"/>
  <c r="AQ178" i="3"/>
  <c r="AU22" i="3"/>
  <c r="AT19" i="3"/>
  <c r="AT21" i="3"/>
  <c r="AT18" i="3"/>
  <c r="AT20" i="3"/>
  <c r="AP129" i="5"/>
  <c r="AP135" i="5" s="1"/>
  <c r="AP186" i="3"/>
  <c r="AP138" i="5" s="1"/>
  <c r="AP144" i="5" s="1"/>
  <c r="AR170" i="3"/>
  <c r="AR162" i="3"/>
  <c r="AR171" i="3" s="1"/>
  <c r="AR179" i="3" s="1"/>
  <c r="AR187" i="3" s="1"/>
  <c r="AR111" i="5"/>
  <c r="AR50" i="5"/>
  <c r="AR21" i="6" s="1"/>
  <c r="AY16" i="2" s="1"/>
  <c r="AY46" i="2" s="1"/>
  <c r="AT9" i="6"/>
  <c r="AT71" i="5"/>
  <c r="AO144" i="5"/>
  <c r="AO146" i="5" s="1"/>
  <c r="AR101" i="5"/>
  <c r="AR106" i="5" s="1"/>
  <c r="AR188" i="3"/>
  <c r="AR130" i="5"/>
  <c r="AR207" i="3"/>
  <c r="AS17" i="5"/>
  <c r="AS23" i="5" s="1"/>
  <c r="AS33" i="5"/>
  <c r="AS164" i="3"/>
  <c r="AS68" i="3"/>
  <c r="AS55" i="5" s="1"/>
  <c r="AS60" i="5" s="1"/>
  <c r="AS94" i="3"/>
  <c r="AS80" i="5" s="1"/>
  <c r="AR121" i="5"/>
  <c r="AR201" i="3"/>
  <c r="AO176" i="5"/>
  <c r="AQ157" i="5"/>
  <c r="AQ139" i="5"/>
  <c r="AQ213" i="3"/>
  <c r="AS19" i="5"/>
  <c r="AS25" i="5" s="1"/>
  <c r="AS15" i="6" s="1"/>
  <c r="AZ10" i="2" s="1"/>
  <c r="AS180" i="3"/>
  <c r="AS114" i="3"/>
  <c r="AS94" i="5" s="1"/>
  <c r="AS70" i="3"/>
  <c r="AS57" i="5" s="1"/>
  <c r="AS62" i="5" s="1"/>
  <c r="AS42" i="5"/>
  <c r="AS43" i="5" s="1"/>
  <c r="AQ164" i="5"/>
  <c r="AR112" i="5"/>
  <c r="AR195" i="3"/>
  <c r="AR150" i="5" s="1"/>
  <c r="AR13" i="6"/>
  <c r="AR27" i="5"/>
  <c r="AR187" i="5" s="1"/>
  <c r="AR34" i="6" s="1"/>
  <c r="AP171" i="5"/>
  <c r="AP176" i="5" s="1"/>
  <c r="AQ106" i="5"/>
  <c r="AS18" i="5"/>
  <c r="AS24" i="5" s="1"/>
  <c r="AS14" i="6" s="1"/>
  <c r="AZ9" i="2" s="1"/>
  <c r="AS172" i="3"/>
  <c r="AS104" i="3"/>
  <c r="AS87" i="5" s="1"/>
  <c r="AS69" i="3"/>
  <c r="AS56" i="5" s="1"/>
  <c r="AS61" i="5" s="1"/>
  <c r="AS38" i="5"/>
  <c r="AS81" i="3"/>
  <c r="AS85" i="3"/>
  <c r="AS75" i="5" s="1"/>
  <c r="AS76" i="5" s="1"/>
  <c r="AR65" i="5"/>
  <c r="AR22" i="6" s="1"/>
  <c r="AS20" i="5"/>
  <c r="AS26" i="5" s="1"/>
  <c r="AS16" i="6" s="1"/>
  <c r="AZ11" i="2" s="1"/>
  <c r="AS47" i="5"/>
  <c r="AS48" i="5" s="1"/>
  <c r="AS124" i="3"/>
  <c r="AS71" i="3"/>
  <c r="AS58" i="5" s="1"/>
  <c r="AS63" i="5" s="1"/>
  <c r="AQ18" i="6" l="1"/>
  <c r="AK11" i="14"/>
  <c r="AX13" i="2"/>
  <c r="AS48" i="2"/>
  <c r="AS19" i="2"/>
  <c r="AS21" i="2" s="1"/>
  <c r="AS22" i="2" s="1"/>
  <c r="AR17" i="6"/>
  <c r="AR18" i="6" s="1"/>
  <c r="AY8" i="2"/>
  <c r="AY12" i="2" s="1"/>
  <c r="AP146" i="5"/>
  <c r="AP178" i="5" s="1"/>
  <c r="AP180" i="5" s="1"/>
  <c r="AS111" i="5"/>
  <c r="AS170" i="3"/>
  <c r="AS162" i="3"/>
  <c r="AS171" i="3" s="1"/>
  <c r="AS179" i="3" s="1"/>
  <c r="AS187" i="3" s="1"/>
  <c r="AU20" i="3"/>
  <c r="AU19" i="3"/>
  <c r="AU21" i="3"/>
  <c r="AU18" i="3"/>
  <c r="BA18" i="3" s="1"/>
  <c r="AR178" i="3"/>
  <c r="AR120" i="5"/>
  <c r="AR126" i="5" s="1"/>
  <c r="AQ186" i="3"/>
  <c r="AQ138" i="5" s="1"/>
  <c r="AQ129" i="5"/>
  <c r="AQ135" i="5" s="1"/>
  <c r="AO178" i="5"/>
  <c r="AO180" i="5" s="1"/>
  <c r="AS130" i="5"/>
  <c r="AS207" i="3"/>
  <c r="AR157" i="5"/>
  <c r="AR164" i="5"/>
  <c r="AT17" i="5"/>
  <c r="AT23" i="5" s="1"/>
  <c r="AT33" i="5"/>
  <c r="AT68" i="3"/>
  <c r="AT55" i="5" s="1"/>
  <c r="AT60" i="5" s="1"/>
  <c r="AT164" i="3"/>
  <c r="AT94" i="3"/>
  <c r="AT80" i="5" s="1"/>
  <c r="AS101" i="5"/>
  <c r="AS188" i="3"/>
  <c r="AS13" i="6"/>
  <c r="AS27" i="5"/>
  <c r="AS187" i="5" s="1"/>
  <c r="AS34" i="6" s="1"/>
  <c r="AT81" i="3"/>
  <c r="AT85" i="3"/>
  <c r="AT75" i="5" s="1"/>
  <c r="AT76" i="5" s="1"/>
  <c r="AQ171" i="5"/>
  <c r="AQ176" i="5" s="1"/>
  <c r="AR139" i="5"/>
  <c r="AR213" i="3"/>
  <c r="AT19" i="5"/>
  <c r="AT25" i="5" s="1"/>
  <c r="AT15" i="6" s="1"/>
  <c r="BA10" i="2" s="1"/>
  <c r="AT70" i="3"/>
  <c r="AT57" i="5" s="1"/>
  <c r="AT62" i="5" s="1"/>
  <c r="AT42" i="5"/>
  <c r="AT43" i="5" s="1"/>
  <c r="AT114" i="3"/>
  <c r="AT94" i="5" s="1"/>
  <c r="AT180" i="3"/>
  <c r="AS50" i="5"/>
  <c r="AS21" i="6" s="1"/>
  <c r="AZ16" i="2" s="1"/>
  <c r="AZ46" i="2" s="1"/>
  <c r="AR117" i="5"/>
  <c r="AL27" i="6"/>
  <c r="AQ126" i="5"/>
  <c r="AS65" i="5"/>
  <c r="AS22" i="6" s="1"/>
  <c r="BA21" i="3"/>
  <c r="AU9" i="6"/>
  <c r="AU71" i="5"/>
  <c r="BA71" i="5" s="1"/>
  <c r="AS201" i="3"/>
  <c r="AS121" i="5"/>
  <c r="AS112" i="5"/>
  <c r="AS195" i="3"/>
  <c r="AS150" i="5" s="1"/>
  <c r="AT18" i="5"/>
  <c r="AT24" i="5" s="1"/>
  <c r="AT14" i="6" s="1"/>
  <c r="BA9" i="2" s="1"/>
  <c r="AT104" i="3"/>
  <c r="AT87" i="5" s="1"/>
  <c r="AT69" i="3"/>
  <c r="AT56" i="5" s="1"/>
  <c r="AT61" i="5" s="1"/>
  <c r="AT172" i="3"/>
  <c r="AT38" i="5"/>
  <c r="AT20" i="5"/>
  <c r="AT26" i="5" s="1"/>
  <c r="AT16" i="6" s="1"/>
  <c r="BA11" i="2" s="1"/>
  <c r="AT124" i="3"/>
  <c r="AT47" i="5"/>
  <c r="AT48" i="5" s="1"/>
  <c r="AT71" i="3"/>
  <c r="AT58" i="5" s="1"/>
  <c r="AT63" i="5" s="1"/>
  <c r="AL11" i="14" l="1"/>
  <c r="AK22" i="14"/>
  <c r="AK64" i="14" s="1"/>
  <c r="AY13" i="2"/>
  <c r="AS17" i="6"/>
  <c r="AS18" i="6" s="1"/>
  <c r="AZ8" i="2"/>
  <c r="AZ12" i="2" s="1"/>
  <c r="AP23" i="6"/>
  <c r="AS117" i="5"/>
  <c r="AO23" i="6"/>
  <c r="AR129" i="5"/>
  <c r="AR135" i="5" s="1"/>
  <c r="AR186" i="3"/>
  <c r="AR138" i="5" s="1"/>
  <c r="AR144" i="5" s="1"/>
  <c r="AS178" i="3"/>
  <c r="AS120" i="5"/>
  <c r="AT111" i="5"/>
  <c r="AT170" i="3"/>
  <c r="AT162" i="3"/>
  <c r="AT171" i="3" s="1"/>
  <c r="AT179" i="3" s="1"/>
  <c r="AT187" i="3" s="1"/>
  <c r="BN21" i="3"/>
  <c r="BA71" i="3"/>
  <c r="BA58" i="5" s="1"/>
  <c r="BA20" i="5"/>
  <c r="BA26" i="5" s="1"/>
  <c r="BA16" i="6" s="1"/>
  <c r="BH11" i="2" s="1"/>
  <c r="BA124" i="3"/>
  <c r="AU172" i="3"/>
  <c r="AU18" i="5"/>
  <c r="AU24" i="5" s="1"/>
  <c r="AU14" i="6" s="1"/>
  <c r="BB9" i="2" s="1"/>
  <c r="AU104" i="3"/>
  <c r="AU87" i="5" s="1"/>
  <c r="AU69" i="3"/>
  <c r="AU56" i="5" s="1"/>
  <c r="AU61" i="5" s="1"/>
  <c r="BA61" i="5" s="1"/>
  <c r="AU38" i="5"/>
  <c r="BA19" i="3"/>
  <c r="AU85" i="3"/>
  <c r="AU75" i="5" s="1"/>
  <c r="AU76" i="5" s="1"/>
  <c r="BA76" i="5" s="1"/>
  <c r="AU81" i="3"/>
  <c r="AS139" i="5"/>
  <c r="AS213" i="3"/>
  <c r="AT65" i="5"/>
  <c r="AT22" i="6" s="1"/>
  <c r="AT101" i="5"/>
  <c r="AT106" i="5" s="1"/>
  <c r="AT188" i="3"/>
  <c r="AT50" i="5"/>
  <c r="AT21" i="6" s="1"/>
  <c r="BA16" i="2" s="1"/>
  <c r="BA46" i="2" s="1"/>
  <c r="AT121" i="5"/>
  <c r="AT201" i="3"/>
  <c r="AU20" i="5"/>
  <c r="AU26" i="5" s="1"/>
  <c r="AU16" i="6" s="1"/>
  <c r="BB11" i="2" s="1"/>
  <c r="AU124" i="3"/>
  <c r="AU47" i="5"/>
  <c r="AU48" i="5" s="1"/>
  <c r="BA48" i="5" s="1"/>
  <c r="AU71" i="3"/>
  <c r="AU58" i="5" s="1"/>
  <c r="AU63" i="5" s="1"/>
  <c r="BA63" i="5" s="1"/>
  <c r="AR171" i="5"/>
  <c r="AR176" i="5" s="1"/>
  <c r="AQ144" i="5"/>
  <c r="AQ146" i="5" s="1"/>
  <c r="AQ178" i="5" s="1"/>
  <c r="AQ180" i="5" s="1"/>
  <c r="AS106" i="5"/>
  <c r="AS164" i="5"/>
  <c r="AU164" i="3"/>
  <c r="AU17" i="5"/>
  <c r="AU23" i="5" s="1"/>
  <c r="AU94" i="3"/>
  <c r="AU80" i="5" s="1"/>
  <c r="AU68" i="3"/>
  <c r="AU55" i="5" s="1"/>
  <c r="AU60" i="5" s="1"/>
  <c r="BA60" i="5" s="1"/>
  <c r="AU33" i="5"/>
  <c r="AT13" i="6"/>
  <c r="AT27" i="5"/>
  <c r="AT187" i="5" s="1"/>
  <c r="AT34" i="6" s="1"/>
  <c r="AS157" i="5"/>
  <c r="AU19" i="5"/>
  <c r="AU25" i="5" s="1"/>
  <c r="AU15" i="6" s="1"/>
  <c r="BB10" i="2" s="1"/>
  <c r="AU180" i="3"/>
  <c r="AU70" i="3"/>
  <c r="AU57" i="5" s="1"/>
  <c r="AU62" i="5" s="1"/>
  <c r="BA62" i="5" s="1"/>
  <c r="AU114" i="3"/>
  <c r="AU94" i="5" s="1"/>
  <c r="AU42" i="5"/>
  <c r="AU43" i="5" s="1"/>
  <c r="BA20" i="3"/>
  <c r="AT130" i="5"/>
  <c r="AT207" i="3"/>
  <c r="AT112" i="5"/>
  <c r="AT195" i="3"/>
  <c r="AT150" i="5" s="1"/>
  <c r="AM11" i="14" l="1"/>
  <c r="AL22" i="14"/>
  <c r="AL64" i="14" s="1"/>
  <c r="AZ13" i="2"/>
  <c r="AO24" i="6"/>
  <c r="AV18" i="2"/>
  <c r="AP24" i="6"/>
  <c r="AW18" i="2"/>
  <c r="AR146" i="5"/>
  <c r="AR178" i="5" s="1"/>
  <c r="AR180" i="5" s="1"/>
  <c r="AT17" i="6"/>
  <c r="AT18" i="6" s="1"/>
  <c r="BA8" i="2"/>
  <c r="BA12" i="2" s="1"/>
  <c r="AU111" i="5"/>
  <c r="AU170" i="3"/>
  <c r="AU162" i="3"/>
  <c r="AU171" i="3" s="1"/>
  <c r="AU179" i="3" s="1"/>
  <c r="AU187" i="3" s="1"/>
  <c r="AS129" i="5"/>
  <c r="AS135" i="5" s="1"/>
  <c r="AS186" i="3"/>
  <c r="AS138" i="5" s="1"/>
  <c r="AS144" i="5" s="1"/>
  <c r="AT117" i="5"/>
  <c r="AT120" i="5"/>
  <c r="AT178" i="3"/>
  <c r="AQ23" i="6"/>
  <c r="AU65" i="5"/>
  <c r="AU22" i="6" s="1"/>
  <c r="BA18" i="5"/>
  <c r="BA24" i="5" s="1"/>
  <c r="BA14" i="6" s="1"/>
  <c r="BH9" i="2" s="1"/>
  <c r="BA172" i="3"/>
  <c r="BN19" i="3"/>
  <c r="BA38" i="5"/>
  <c r="BA104" i="3"/>
  <c r="BA87" i="5" s="1"/>
  <c r="BA69" i="3"/>
  <c r="BA56" i="5" s="1"/>
  <c r="BA101" i="5"/>
  <c r="BA188" i="3"/>
  <c r="BN20" i="5"/>
  <c r="BN26" i="5" s="1"/>
  <c r="BN57" i="3"/>
  <c r="BN47" i="5" s="1"/>
  <c r="BN48" i="5" s="1"/>
  <c r="BN71" i="3"/>
  <c r="BN58" i="5" s="1"/>
  <c r="BN63" i="5" s="1"/>
  <c r="BN124" i="3"/>
  <c r="BB21" i="3"/>
  <c r="AT164" i="5"/>
  <c r="AS126" i="5"/>
  <c r="AT139" i="5"/>
  <c r="AT213" i="3"/>
  <c r="AU121" i="5"/>
  <c r="AU201" i="3"/>
  <c r="BA19" i="5"/>
  <c r="BA25" i="5" s="1"/>
  <c r="BA15" i="6" s="1"/>
  <c r="BH10" i="2" s="1"/>
  <c r="BN20" i="3"/>
  <c r="BA42" i="5"/>
  <c r="BA43" i="5" s="1"/>
  <c r="BA180" i="3"/>
  <c r="BA70" i="3"/>
  <c r="BA57" i="5" s="1"/>
  <c r="BA114" i="3"/>
  <c r="BA94" i="5" s="1"/>
  <c r="AU130" i="5"/>
  <c r="AU207" i="3"/>
  <c r="BA17" i="5"/>
  <c r="BA23" i="5" s="1"/>
  <c r="BA94" i="3"/>
  <c r="BA80" i="5" s="1"/>
  <c r="BA68" i="3"/>
  <c r="BA55" i="5" s="1"/>
  <c r="BA22" i="3"/>
  <c r="BA33" i="5"/>
  <c r="BA164" i="3"/>
  <c r="BN18" i="3"/>
  <c r="AU13" i="6"/>
  <c r="AU27" i="5"/>
  <c r="AU187" i="5" s="1"/>
  <c r="AU34" i="6" s="1"/>
  <c r="AU50" i="5"/>
  <c r="AU21" i="6" s="1"/>
  <c r="BB16" i="2" s="1"/>
  <c r="BB46" i="2" s="1"/>
  <c r="AT126" i="5"/>
  <c r="AT157" i="5"/>
  <c r="AU195" i="3"/>
  <c r="AU150" i="5" s="1"/>
  <c r="BA153" i="5" s="1"/>
  <c r="AU112" i="5"/>
  <c r="AU188" i="3"/>
  <c r="AU101" i="5"/>
  <c r="AS171" i="5"/>
  <c r="AP26" i="6" l="1"/>
  <c r="AP27" i="6" s="1"/>
  <c r="AO26" i="6"/>
  <c r="AO27" i="6" s="1"/>
  <c r="AI12" i="14"/>
  <c r="AJ12" i="14" s="1"/>
  <c r="AN11" i="14"/>
  <c r="AM22" i="14"/>
  <c r="AM64" i="14" s="1"/>
  <c r="AV19" i="2"/>
  <c r="AV21" i="2" s="1"/>
  <c r="AV22" i="2" s="1"/>
  <c r="AV48" i="2"/>
  <c r="AQ24" i="6"/>
  <c r="AQ26" i="6" s="1"/>
  <c r="AX18" i="2"/>
  <c r="AW48" i="2"/>
  <c r="AW19" i="2"/>
  <c r="AW21" i="2" s="1"/>
  <c r="AW22" i="2" s="1"/>
  <c r="BA13" i="2"/>
  <c r="AU17" i="6"/>
  <c r="AU18" i="6" s="1"/>
  <c r="BB8" i="2"/>
  <c r="BB12" i="2" s="1"/>
  <c r="AS146" i="5"/>
  <c r="AU117" i="5"/>
  <c r="AT186" i="3"/>
  <c r="AT138" i="5" s="1"/>
  <c r="AT144" i="5" s="1"/>
  <c r="AT129" i="5"/>
  <c r="AT135" i="5" s="1"/>
  <c r="AU178" i="3"/>
  <c r="AU120" i="5"/>
  <c r="BA170" i="3"/>
  <c r="BN161" i="3"/>
  <c r="BA111" i="5"/>
  <c r="BA162" i="3"/>
  <c r="BA171" i="3" s="1"/>
  <c r="BA179" i="3" s="1"/>
  <c r="BA187" i="3" s="1"/>
  <c r="BN16" i="6"/>
  <c r="AU139" i="5"/>
  <c r="AU213" i="3"/>
  <c r="AR23" i="6"/>
  <c r="BA112" i="5"/>
  <c r="BA195" i="3"/>
  <c r="BA150" i="5" s="1"/>
  <c r="BN19" i="5"/>
  <c r="BN25" i="5" s="1"/>
  <c r="BN114" i="3"/>
  <c r="BN94" i="5" s="1"/>
  <c r="BN70" i="3"/>
  <c r="BN57" i="5" s="1"/>
  <c r="BN62" i="5" s="1"/>
  <c r="BN180" i="3"/>
  <c r="BB20" i="3"/>
  <c r="BN51" i="3"/>
  <c r="BN42" i="5" s="1"/>
  <c r="BN43" i="5" s="1"/>
  <c r="BA50" i="5"/>
  <c r="BN18" i="5"/>
  <c r="BN24" i="5" s="1"/>
  <c r="BN172" i="3"/>
  <c r="BN104" i="3"/>
  <c r="BN87" i="5" s="1"/>
  <c r="BN42" i="3"/>
  <c r="BN37" i="5" s="1"/>
  <c r="BN38" i="5" s="1"/>
  <c r="BB19" i="3"/>
  <c r="BN69" i="3"/>
  <c r="BN56" i="5" s="1"/>
  <c r="BN61" i="5" s="1"/>
  <c r="BA27" i="5"/>
  <c r="BA187" i="5" s="1"/>
  <c r="BA34" i="6" s="1"/>
  <c r="BA13" i="6"/>
  <c r="BH8" i="2" s="1"/>
  <c r="BH12" i="2" s="1"/>
  <c r="AT171" i="5"/>
  <c r="AT176" i="5" s="1"/>
  <c r="BA201" i="3"/>
  <c r="BA121" i="5"/>
  <c r="BA157" i="5" s="1"/>
  <c r="BA9" i="6"/>
  <c r="BA207" i="3"/>
  <c r="BA130" i="5"/>
  <c r="BA164" i="5" s="1"/>
  <c r="AU157" i="5"/>
  <c r="BA160" i="5" s="1"/>
  <c r="AU126" i="5"/>
  <c r="BB20" i="5"/>
  <c r="BB26" i="5" s="1"/>
  <c r="BB71" i="3"/>
  <c r="BB58" i="5" s="1"/>
  <c r="BB63" i="5" s="1"/>
  <c r="BB57" i="3"/>
  <c r="BB47" i="5" s="1"/>
  <c r="BB48" i="5" s="1"/>
  <c r="BC21" i="3"/>
  <c r="BB124" i="3"/>
  <c r="AS176" i="5"/>
  <c r="AS178" i="5" s="1"/>
  <c r="AS180" i="5" s="1"/>
  <c r="AU106" i="5"/>
  <c r="BA106" i="5"/>
  <c r="BN17" i="5"/>
  <c r="BN23" i="5" s="1"/>
  <c r="BN68" i="3"/>
  <c r="BN55" i="5" s="1"/>
  <c r="BN60" i="5" s="1"/>
  <c r="BN94" i="3"/>
  <c r="BN80" i="5" s="1"/>
  <c r="BN164" i="3"/>
  <c r="BN33" i="3"/>
  <c r="BN32" i="5" s="1"/>
  <c r="BN33" i="5" s="1"/>
  <c r="BN22" i="3"/>
  <c r="BB18" i="3"/>
  <c r="BA65" i="5"/>
  <c r="BA22" i="6" s="1"/>
  <c r="AU164" i="5"/>
  <c r="BA167" i="5" s="1"/>
  <c r="BN101" i="5"/>
  <c r="BN188" i="3"/>
  <c r="BA213" i="3"/>
  <c r="BA139" i="5"/>
  <c r="BA171" i="5" s="1"/>
  <c r="AK12" i="14" l="1"/>
  <c r="AK23" i="14" s="1"/>
  <c r="AK75" i="14" s="1"/>
  <c r="AJ23" i="14"/>
  <c r="AJ75" i="14" s="1"/>
  <c r="AJ26" i="14"/>
  <c r="AJ76" i="14" s="1"/>
  <c r="AI23" i="14"/>
  <c r="AI75" i="14" s="1"/>
  <c r="AI26" i="14"/>
  <c r="AI76" i="14" s="1"/>
  <c r="AO11" i="14"/>
  <c r="AN22" i="14"/>
  <c r="AN64" i="14" s="1"/>
  <c r="AR24" i="6"/>
  <c r="AY18" i="2"/>
  <c r="AX19" i="2"/>
  <c r="AX21" i="2" s="1"/>
  <c r="AX22" i="2" s="1"/>
  <c r="AX48" i="2"/>
  <c r="BH13" i="2"/>
  <c r="BA21" i="6"/>
  <c r="BH16" i="2" s="1"/>
  <c r="BH46" i="2" s="1"/>
  <c r="BA117" i="5"/>
  <c r="BB13" i="2"/>
  <c r="BC13" i="2"/>
  <c r="AU129" i="5"/>
  <c r="AU186" i="3"/>
  <c r="AU138" i="5" s="1"/>
  <c r="AU144" i="5" s="1"/>
  <c r="BN111" i="5"/>
  <c r="BN162" i="3"/>
  <c r="BN171" i="3" s="1"/>
  <c r="BN179" i="3" s="1"/>
  <c r="BN187" i="3" s="1"/>
  <c r="BN170" i="3"/>
  <c r="BM161" i="3"/>
  <c r="BA120" i="5"/>
  <c r="BA178" i="3"/>
  <c r="BB16" i="6"/>
  <c r="BN14" i="6"/>
  <c r="BN15" i="6"/>
  <c r="BA126" i="5"/>
  <c r="BN65" i="5"/>
  <c r="BN22" i="6" s="1"/>
  <c r="BN139" i="5"/>
  <c r="BN171" i="5" s="1"/>
  <c r="BN213" i="3"/>
  <c r="BB17" i="5"/>
  <c r="BB23" i="5" s="1"/>
  <c r="BB94" i="3"/>
  <c r="BB80" i="5" s="1"/>
  <c r="BB83" i="5" s="1"/>
  <c r="BB164" i="3"/>
  <c r="BC18" i="3"/>
  <c r="BB33" i="3"/>
  <c r="BB32" i="5" s="1"/>
  <c r="BB33" i="5" s="1"/>
  <c r="BB22" i="3"/>
  <c r="BB68" i="3"/>
  <c r="BB55" i="5" s="1"/>
  <c r="BB60" i="5" s="1"/>
  <c r="BB188" i="3"/>
  <c r="BB101" i="5"/>
  <c r="BB104" i="5" s="1"/>
  <c r="X12" i="2"/>
  <c r="Y13" i="2" s="1"/>
  <c r="BA17" i="6"/>
  <c r="BB18" i="5"/>
  <c r="BB24" i="5" s="1"/>
  <c r="BB172" i="3"/>
  <c r="BB69" i="3"/>
  <c r="BB56" i="5" s="1"/>
  <c r="BB61" i="5" s="1"/>
  <c r="BC19" i="3"/>
  <c r="BB42" i="3"/>
  <c r="BB37" i="5" s="1"/>
  <c r="BB38" i="5" s="1"/>
  <c r="BB104" i="3"/>
  <c r="BB87" i="5" s="1"/>
  <c r="BB90" i="5" s="1"/>
  <c r="BB19" i="5"/>
  <c r="BB25" i="5" s="1"/>
  <c r="BB114" i="3"/>
  <c r="BB94" i="5" s="1"/>
  <c r="BB97" i="5" s="1"/>
  <c r="BB180" i="3"/>
  <c r="BC20" i="3"/>
  <c r="BB51" i="3"/>
  <c r="BB42" i="5" s="1"/>
  <c r="BB43" i="5" s="1"/>
  <c r="BB70" i="3"/>
  <c r="BB57" i="5" s="1"/>
  <c r="BB62" i="5" s="1"/>
  <c r="AU171" i="5"/>
  <c r="BN80" i="3"/>
  <c r="BN70" i="5"/>
  <c r="BN71" i="5" s="1"/>
  <c r="BN9" i="6"/>
  <c r="AS23" i="6"/>
  <c r="BC20" i="5"/>
  <c r="BC26" i="5" s="1"/>
  <c r="BC57" i="3"/>
  <c r="BC47" i="5" s="1"/>
  <c r="BC48" i="5" s="1"/>
  <c r="BD21" i="3"/>
  <c r="BC71" i="3"/>
  <c r="BC58" i="5" s="1"/>
  <c r="BC63" i="5" s="1"/>
  <c r="BC124" i="3"/>
  <c r="BN50" i="5"/>
  <c r="BN207" i="3"/>
  <c r="BN130" i="5"/>
  <c r="BN164" i="5" s="1"/>
  <c r="BN13" i="6"/>
  <c r="BN27" i="5"/>
  <c r="BN187" i="5" s="1"/>
  <c r="AQ27" i="6"/>
  <c r="BA81" i="3"/>
  <c r="BA85" i="3"/>
  <c r="BA75" i="5" s="1"/>
  <c r="AT146" i="5"/>
  <c r="BA144" i="5"/>
  <c r="BN195" i="3"/>
  <c r="BN150" i="5" s="1"/>
  <c r="BN112" i="5"/>
  <c r="BN201" i="3"/>
  <c r="BN121" i="5"/>
  <c r="BN157" i="5" s="1"/>
  <c r="AT178" i="5" l="1"/>
  <c r="AT180" i="5" s="1"/>
  <c r="AI78" i="14"/>
  <c r="AI83" i="14" s="1"/>
  <c r="AJ78" i="14"/>
  <c r="AJ83" i="14" s="1"/>
  <c r="AL12" i="14"/>
  <c r="AL23" i="14" s="1"/>
  <c r="AL75" i="14" s="1"/>
  <c r="AR26" i="6"/>
  <c r="AR27" i="6" s="1"/>
  <c r="AK26" i="14"/>
  <c r="AJ27" i="14"/>
  <c r="AI27" i="14"/>
  <c r="AP11" i="14"/>
  <c r="AO22" i="14"/>
  <c r="AO64" i="14" s="1"/>
  <c r="AS24" i="6"/>
  <c r="AZ18" i="2"/>
  <c r="AY48" i="2"/>
  <c r="AY19" i="2"/>
  <c r="AY21" i="2" s="1"/>
  <c r="AY22" i="2" s="1"/>
  <c r="AU135" i="5"/>
  <c r="AU146" i="5" s="1"/>
  <c r="BA135" i="5"/>
  <c r="BA146" i="5" s="1"/>
  <c r="BA186" i="3"/>
  <c r="BA138" i="5" s="1"/>
  <c r="BA129" i="5"/>
  <c r="BM111" i="5"/>
  <c r="BM162" i="3"/>
  <c r="BM171" i="3" s="1"/>
  <c r="BM179" i="3" s="1"/>
  <c r="BM187" i="3" s="1"/>
  <c r="BL161" i="3"/>
  <c r="BM170" i="3"/>
  <c r="BN120" i="5"/>
  <c r="BN178" i="3"/>
  <c r="BN17" i="6"/>
  <c r="BN18" i="6" s="1"/>
  <c r="BN21" i="6"/>
  <c r="BB14" i="6"/>
  <c r="BN34" i="6"/>
  <c r="BN36" i="6" s="1"/>
  <c r="BC16" i="6"/>
  <c r="BB15" i="6"/>
  <c r="BB50" i="5"/>
  <c r="BD20" i="5"/>
  <c r="BD26" i="5" s="1"/>
  <c r="BD71" i="3"/>
  <c r="BD58" i="5" s="1"/>
  <c r="BD63" i="5" s="1"/>
  <c r="BE21" i="3"/>
  <c r="BD57" i="3"/>
  <c r="BD47" i="5" s="1"/>
  <c r="BD48" i="5" s="1"/>
  <c r="BD124" i="3"/>
  <c r="BC19" i="5"/>
  <c r="BC25" i="5" s="1"/>
  <c r="BC180" i="3"/>
  <c r="BC114" i="3"/>
  <c r="BC94" i="5" s="1"/>
  <c r="BC97" i="5" s="1"/>
  <c r="BC70" i="3"/>
  <c r="BC57" i="5" s="1"/>
  <c r="BC62" i="5" s="1"/>
  <c r="BD20" i="3"/>
  <c r="BC51" i="3"/>
  <c r="BC42" i="5" s="1"/>
  <c r="BC43" i="5" s="1"/>
  <c r="BB121" i="5"/>
  <c r="BB201" i="3"/>
  <c r="BB139" i="5"/>
  <c r="BB213" i="3"/>
  <c r="BC17" i="5"/>
  <c r="BC23" i="5" s="1"/>
  <c r="BC164" i="3"/>
  <c r="BC68" i="3"/>
  <c r="BC55" i="5" s="1"/>
  <c r="BC60" i="5" s="1"/>
  <c r="BC33" i="3"/>
  <c r="BC32" i="5" s="1"/>
  <c r="BC33" i="5" s="1"/>
  <c r="BD18" i="3"/>
  <c r="BC22" i="3"/>
  <c r="BC94" i="3"/>
  <c r="BC80" i="5" s="1"/>
  <c r="BC83" i="5" s="1"/>
  <c r="AU176" i="5"/>
  <c r="BA174" i="5"/>
  <c r="BA176" i="5" s="1"/>
  <c r="BB130" i="5"/>
  <c r="BB207" i="3"/>
  <c r="BB65" i="5"/>
  <c r="BB22" i="6" s="1"/>
  <c r="BB195" i="3"/>
  <c r="BB150" i="5" s="1"/>
  <c r="BB153" i="5" s="1"/>
  <c r="BB112" i="5"/>
  <c r="BC101" i="5"/>
  <c r="BC104" i="5" s="1"/>
  <c r="BC188" i="3"/>
  <c r="BC18" i="5"/>
  <c r="BC24" i="5" s="1"/>
  <c r="BD19" i="3"/>
  <c r="BC42" i="3"/>
  <c r="BC37" i="5" s="1"/>
  <c r="BC38" i="5" s="1"/>
  <c r="BC69" i="3"/>
  <c r="BC56" i="5" s="1"/>
  <c r="BC61" i="5" s="1"/>
  <c r="BC104" i="3"/>
  <c r="BC87" i="5" s="1"/>
  <c r="BC90" i="5" s="1"/>
  <c r="BC172" i="3"/>
  <c r="BA18" i="6"/>
  <c r="M122" i="6"/>
  <c r="M139" i="6" s="1"/>
  <c r="M96" i="6" s="1"/>
  <c r="BB70" i="5"/>
  <c r="BB71" i="5" s="1"/>
  <c r="BB80" i="3"/>
  <c r="BB9" i="6"/>
  <c r="BN81" i="3"/>
  <c r="BN85" i="3"/>
  <c r="BN75" i="5" s="1"/>
  <c r="BN76" i="5" s="1"/>
  <c r="X13" i="2"/>
  <c r="BB106" i="5"/>
  <c r="BB13" i="6"/>
  <c r="BB27" i="5"/>
  <c r="BB187" i="5" s="1"/>
  <c r="AT23" i="6" l="1"/>
  <c r="AT24" i="6" s="1"/>
  <c r="AT26" i="6" s="1"/>
  <c r="AK27" i="14"/>
  <c r="AK29" i="14" s="1"/>
  <c r="AK42" i="14" s="1"/>
  <c r="AK76" i="14"/>
  <c r="AK78" i="14" s="1"/>
  <c r="AK83" i="14" s="1"/>
  <c r="AJ29" i="14"/>
  <c r="AJ42" i="14" s="1"/>
  <c r="AL26" i="14"/>
  <c r="AM12" i="14"/>
  <c r="AM26" i="14" s="1"/>
  <c r="AM76" i="14" s="1"/>
  <c r="AS26" i="6"/>
  <c r="AS27" i="6" s="1"/>
  <c r="AQ11" i="14"/>
  <c r="AP22" i="14"/>
  <c r="AP64" i="14" s="1"/>
  <c r="AZ19" i="2"/>
  <c r="AZ21" i="2" s="1"/>
  <c r="AZ22" i="2" s="1"/>
  <c r="AZ48" i="2"/>
  <c r="BA178" i="5"/>
  <c r="BB17" i="6"/>
  <c r="BB18" i="6" s="1"/>
  <c r="AU178" i="5"/>
  <c r="BN129" i="5"/>
  <c r="BN186" i="3"/>
  <c r="BN138" i="5" s="1"/>
  <c r="BM178" i="3"/>
  <c r="BM120" i="5"/>
  <c r="BL170" i="3"/>
  <c r="BK161" i="3"/>
  <c r="BL111" i="5"/>
  <c r="BL162" i="3"/>
  <c r="BL171" i="3" s="1"/>
  <c r="BL179" i="3" s="1"/>
  <c r="BL187" i="3" s="1"/>
  <c r="M137" i="6"/>
  <c r="M85" i="6" s="1"/>
  <c r="M134" i="6"/>
  <c r="M83" i="6" s="1"/>
  <c r="BB34" i="6"/>
  <c r="BB36" i="6" s="1"/>
  <c r="BD16" i="6"/>
  <c r="BB21" i="6"/>
  <c r="BC14" i="6"/>
  <c r="BC15" i="6"/>
  <c r="BD17" i="5"/>
  <c r="BD23" i="5" s="1"/>
  <c r="BD33" i="3"/>
  <c r="BD32" i="5" s="1"/>
  <c r="BD33" i="5" s="1"/>
  <c r="BE18" i="3"/>
  <c r="BD164" i="3"/>
  <c r="BD94" i="3"/>
  <c r="BD80" i="5" s="1"/>
  <c r="BD83" i="5" s="1"/>
  <c r="BD22" i="3"/>
  <c r="BD68" i="3"/>
  <c r="BD55" i="5" s="1"/>
  <c r="BD60" i="5" s="1"/>
  <c r="BC27" i="5"/>
  <c r="BC187" i="5" s="1"/>
  <c r="BC13" i="6"/>
  <c r="BB157" i="5"/>
  <c r="BB160" i="5" s="1"/>
  <c r="BD188" i="3"/>
  <c r="BD101" i="5"/>
  <c r="BD104" i="5" s="1"/>
  <c r="BC213" i="3"/>
  <c r="BC139" i="5"/>
  <c r="BC50" i="5"/>
  <c r="BC65" i="5"/>
  <c r="BC22" i="6" s="1"/>
  <c r="BB171" i="5"/>
  <c r="BB174" i="5" s="1"/>
  <c r="BC130" i="5"/>
  <c r="BC207" i="3"/>
  <c r="BE20" i="5"/>
  <c r="BE26" i="5" s="1"/>
  <c r="BE124" i="3"/>
  <c r="BE71" i="3"/>
  <c r="BE58" i="5" s="1"/>
  <c r="BE63" i="5" s="1"/>
  <c r="BF21" i="3"/>
  <c r="BE57" i="3"/>
  <c r="BE47" i="5" s="1"/>
  <c r="BE48" i="5" s="1"/>
  <c r="BB81" i="3"/>
  <c r="BB85" i="3"/>
  <c r="BB75" i="5" s="1"/>
  <c r="BB76" i="5" s="1"/>
  <c r="BC121" i="5"/>
  <c r="BC201" i="3"/>
  <c r="BD18" i="5"/>
  <c r="BD24" i="5" s="1"/>
  <c r="BD69" i="3"/>
  <c r="BD56" i="5" s="1"/>
  <c r="BD61" i="5" s="1"/>
  <c r="BD42" i="3"/>
  <c r="BD37" i="5" s="1"/>
  <c r="BD38" i="5" s="1"/>
  <c r="BE19" i="3"/>
  <c r="BD104" i="3"/>
  <c r="BD87" i="5" s="1"/>
  <c r="BD90" i="5" s="1"/>
  <c r="BD172" i="3"/>
  <c r="BC106" i="5"/>
  <c r="BB164" i="5"/>
  <c r="BB167" i="5" s="1"/>
  <c r="BC9" i="6"/>
  <c r="BC70" i="5"/>
  <c r="BC71" i="5" s="1"/>
  <c r="BC80" i="3"/>
  <c r="BC112" i="5"/>
  <c r="BC195" i="3"/>
  <c r="BC150" i="5" s="1"/>
  <c r="BC153" i="5" s="1"/>
  <c r="BE20" i="3"/>
  <c r="BD19" i="5"/>
  <c r="BD25" i="5" s="1"/>
  <c r="BD51" i="3"/>
  <c r="BD42" i="5" s="1"/>
  <c r="BD43" i="5" s="1"/>
  <c r="BD180" i="3"/>
  <c r="BD70" i="3"/>
  <c r="BD57" i="5" s="1"/>
  <c r="BD62" i="5" s="1"/>
  <c r="BD114" i="3"/>
  <c r="BD94" i="5" s="1"/>
  <c r="BD97" i="5" s="1"/>
  <c r="BA18" i="2" l="1"/>
  <c r="BA48" i="2" s="1"/>
  <c r="AL27" i="14"/>
  <c r="AL29" i="14" s="1"/>
  <c r="AL42" i="14" s="1"/>
  <c r="AL76" i="14"/>
  <c r="AL78" i="14" s="1"/>
  <c r="AL83" i="14" s="1"/>
  <c r="AM23" i="14"/>
  <c r="AN12" i="14"/>
  <c r="AR11" i="14"/>
  <c r="AQ22" i="14"/>
  <c r="AQ64" i="14" s="1"/>
  <c r="BA19" i="2"/>
  <c r="BA21" i="2" s="1"/>
  <c r="BA22" i="2" s="1"/>
  <c r="AU23" i="6"/>
  <c r="AU180" i="5"/>
  <c r="BA23" i="6"/>
  <c r="BH18" i="2" s="1"/>
  <c r="BA180" i="5"/>
  <c r="BM186" i="3"/>
  <c r="BM138" i="5" s="1"/>
  <c r="BM129" i="5"/>
  <c r="BK111" i="5"/>
  <c r="BK162" i="3"/>
  <c r="BK171" i="3" s="1"/>
  <c r="BK179" i="3" s="1"/>
  <c r="BK187" i="3" s="1"/>
  <c r="BK170" i="3"/>
  <c r="BJ161" i="3"/>
  <c r="BL120" i="5"/>
  <c r="BL178" i="3"/>
  <c r="BC17" i="6"/>
  <c r="BC18" i="6" s="1"/>
  <c r="BE16" i="6"/>
  <c r="BC34" i="6"/>
  <c r="BC36" i="6" s="1"/>
  <c r="BD15" i="6"/>
  <c r="BD14" i="6"/>
  <c r="BC21" i="6"/>
  <c r="BE19" i="5"/>
  <c r="BE25" i="5" s="1"/>
  <c r="BF20" i="3"/>
  <c r="BE70" i="3"/>
  <c r="BE57" i="5" s="1"/>
  <c r="BE62" i="5" s="1"/>
  <c r="BE114" i="3"/>
  <c r="BE94" i="5" s="1"/>
  <c r="BE97" i="5" s="1"/>
  <c r="BE180" i="3"/>
  <c r="BE51" i="3"/>
  <c r="BE42" i="5" s="1"/>
  <c r="BE43" i="5" s="1"/>
  <c r="BC157" i="5"/>
  <c r="BC160" i="5" s="1"/>
  <c r="BE101" i="5"/>
  <c r="BE104" i="5" s="1"/>
  <c r="BE188" i="3"/>
  <c r="BC171" i="5"/>
  <c r="BC174" i="5" s="1"/>
  <c r="BD139" i="5"/>
  <c r="BD213" i="3"/>
  <c r="BD112" i="5"/>
  <c r="BD195" i="3"/>
  <c r="BD150" i="5" s="1"/>
  <c r="BD153" i="5" s="1"/>
  <c r="BC85" i="3"/>
  <c r="BC75" i="5" s="1"/>
  <c r="BC76" i="5" s="1"/>
  <c r="BC81" i="3"/>
  <c r="BD201" i="3"/>
  <c r="BD121" i="5"/>
  <c r="BB176" i="5"/>
  <c r="BD65" i="5"/>
  <c r="BD22" i="6" s="1"/>
  <c r="BE164" i="3"/>
  <c r="BE17" i="5"/>
  <c r="BE23" i="5" s="1"/>
  <c r="BE33" i="3"/>
  <c r="BE32" i="5" s="1"/>
  <c r="BE33" i="5" s="1"/>
  <c r="BE94" i="3"/>
  <c r="BE80" i="5" s="1"/>
  <c r="BE83" i="5" s="1"/>
  <c r="BE68" i="3"/>
  <c r="BE55" i="5" s="1"/>
  <c r="BE60" i="5" s="1"/>
  <c r="BE22" i="3"/>
  <c r="BF18" i="3"/>
  <c r="BF57" i="3"/>
  <c r="BF47" i="5" s="1"/>
  <c r="BF48" i="5" s="1"/>
  <c r="BF20" i="5"/>
  <c r="BF26" i="5" s="1"/>
  <c r="BF124" i="3"/>
  <c r="BF71" i="3"/>
  <c r="BF58" i="5" s="1"/>
  <c r="BF63" i="5" s="1"/>
  <c r="BG21" i="3"/>
  <c r="BD9" i="6"/>
  <c r="BD70" i="5"/>
  <c r="BD71" i="5" s="1"/>
  <c r="BD80" i="3"/>
  <c r="AT27" i="6"/>
  <c r="BD207" i="3"/>
  <c r="BD130" i="5"/>
  <c r="BE18" i="5"/>
  <c r="BE24" i="5" s="1"/>
  <c r="BF19" i="3"/>
  <c r="BE104" i="3"/>
  <c r="BE87" i="5" s="1"/>
  <c r="BE90" i="5" s="1"/>
  <c r="BE42" i="3"/>
  <c r="BE37" i="5" s="1"/>
  <c r="BE38" i="5" s="1"/>
  <c r="BE172" i="3"/>
  <c r="BE69" i="3"/>
  <c r="BE56" i="5" s="1"/>
  <c r="BE61" i="5" s="1"/>
  <c r="BC164" i="5"/>
  <c r="BC167" i="5" s="1"/>
  <c r="BD50" i="5"/>
  <c r="BD106" i="5"/>
  <c r="BD13" i="6"/>
  <c r="BD27" i="5"/>
  <c r="BD187" i="5" s="1"/>
  <c r="AM27" i="14" l="1"/>
  <c r="AM29" i="14" s="1"/>
  <c r="AM42" i="14" s="1"/>
  <c r="AM75" i="14"/>
  <c r="AM78" i="14" s="1"/>
  <c r="AM83" i="14" s="1"/>
  <c r="BA24" i="6"/>
  <c r="BA26" i="6" s="1"/>
  <c r="AN23" i="14"/>
  <c r="AN75" i="14" s="1"/>
  <c r="AN26" i="14"/>
  <c r="AN76" i="14" s="1"/>
  <c r="AS11" i="14"/>
  <c r="AR22" i="14"/>
  <c r="AR64" i="14" s="1"/>
  <c r="AU24" i="6"/>
  <c r="AU26" i="6" s="1"/>
  <c r="AU27" i="6" s="1"/>
  <c r="BB18" i="2"/>
  <c r="BH19" i="2"/>
  <c r="BH21" i="2" s="1"/>
  <c r="BH22" i="2" s="1"/>
  <c r="BH48" i="2"/>
  <c r="BL186" i="3"/>
  <c r="BL138" i="5" s="1"/>
  <c r="BL129" i="5"/>
  <c r="BJ170" i="3"/>
  <c r="BJ111" i="5"/>
  <c r="BI161" i="3"/>
  <c r="BJ162" i="3"/>
  <c r="BJ171" i="3" s="1"/>
  <c r="BJ179" i="3" s="1"/>
  <c r="BJ187" i="3" s="1"/>
  <c r="BK178" i="3"/>
  <c r="BK120" i="5"/>
  <c r="BD17" i="6"/>
  <c r="BD18" i="6" s="1"/>
  <c r="BF16" i="6"/>
  <c r="BD34" i="6"/>
  <c r="BD36" i="6" s="1"/>
  <c r="BD21" i="6"/>
  <c r="BE14" i="6"/>
  <c r="BE15" i="6"/>
  <c r="X19" i="2"/>
  <c r="BE9" i="6"/>
  <c r="BE80" i="3"/>
  <c r="BE70" i="5"/>
  <c r="BE71" i="5" s="1"/>
  <c r="BE27" i="5"/>
  <c r="BE187" i="5" s="1"/>
  <c r="BE13" i="6"/>
  <c r="BD164" i="5"/>
  <c r="BD167" i="5" s="1"/>
  <c r="BF188" i="3"/>
  <c r="BF101" i="5"/>
  <c r="BF104" i="5" s="1"/>
  <c r="BE65" i="5"/>
  <c r="BE22" i="6" s="1"/>
  <c r="BE195" i="3"/>
  <c r="BE150" i="5" s="1"/>
  <c r="BE153" i="5" s="1"/>
  <c r="BE112" i="5"/>
  <c r="BC176" i="5"/>
  <c r="BE139" i="5"/>
  <c r="BE213" i="3"/>
  <c r="BF18" i="5"/>
  <c r="BF24" i="5" s="1"/>
  <c r="BF104" i="3"/>
  <c r="BF87" i="5" s="1"/>
  <c r="BF90" i="5" s="1"/>
  <c r="BG19" i="3"/>
  <c r="BF172" i="3"/>
  <c r="BF42" i="3"/>
  <c r="BF37" i="5" s="1"/>
  <c r="BF38" i="5" s="1"/>
  <c r="BF69" i="3"/>
  <c r="BF56" i="5" s="1"/>
  <c r="BF61" i="5" s="1"/>
  <c r="BD171" i="5"/>
  <c r="BD174" i="5" s="1"/>
  <c r="BE106" i="5"/>
  <c r="BF19" i="5"/>
  <c r="BF25" i="5" s="1"/>
  <c r="BG20" i="3"/>
  <c r="BF70" i="3"/>
  <c r="BF57" i="5" s="1"/>
  <c r="BF62" i="5" s="1"/>
  <c r="BF180" i="3"/>
  <c r="BF51" i="3"/>
  <c r="BF42" i="5" s="1"/>
  <c r="BF43" i="5" s="1"/>
  <c r="BF114" i="3"/>
  <c r="BF94" i="5" s="1"/>
  <c r="BF97" i="5" s="1"/>
  <c r="BE201" i="3"/>
  <c r="BE121" i="5"/>
  <c r="BD85" i="3"/>
  <c r="BD75" i="5" s="1"/>
  <c r="BD76" i="5" s="1"/>
  <c r="BD81" i="3"/>
  <c r="BG20" i="5"/>
  <c r="BG26" i="5" s="1"/>
  <c r="BG71" i="3"/>
  <c r="BG58" i="5" s="1"/>
  <c r="BG63" i="5" s="1"/>
  <c r="BG124" i="3"/>
  <c r="BH21" i="3"/>
  <c r="BG57" i="3"/>
  <c r="BG47" i="5" s="1"/>
  <c r="BG48" i="5" s="1"/>
  <c r="BF17" i="5"/>
  <c r="BF23" i="5" s="1"/>
  <c r="BF33" i="3"/>
  <c r="BF32" i="5" s="1"/>
  <c r="BF33" i="5" s="1"/>
  <c r="BF164" i="3"/>
  <c r="BF22" i="3"/>
  <c r="BF68" i="3"/>
  <c r="BF55" i="5" s="1"/>
  <c r="BF60" i="5" s="1"/>
  <c r="BG18" i="3"/>
  <c r="BF94" i="3"/>
  <c r="BF80" i="5" s="1"/>
  <c r="BF83" i="5" s="1"/>
  <c r="BE50" i="5"/>
  <c r="BD157" i="5"/>
  <c r="BD160" i="5" s="1"/>
  <c r="BE207" i="3"/>
  <c r="BE130" i="5"/>
  <c r="M123" i="6" l="1"/>
  <c r="M128" i="6" s="1"/>
  <c r="BH68" i="2" s="1"/>
  <c r="BH70" i="2" s="1"/>
  <c r="AN78" i="14"/>
  <c r="AN83" i="14" s="1"/>
  <c r="AN27" i="14"/>
  <c r="AO12" i="14"/>
  <c r="AT11" i="14"/>
  <c r="AT22" i="14" s="1"/>
  <c r="AT64" i="14" s="1"/>
  <c r="AS22" i="14"/>
  <c r="AS64" i="14" s="1"/>
  <c r="BB48" i="2"/>
  <c r="BB19" i="2"/>
  <c r="BB21" i="2" s="1"/>
  <c r="BB22" i="2" s="1"/>
  <c r="BK186" i="3"/>
  <c r="BK138" i="5" s="1"/>
  <c r="BK129" i="5"/>
  <c r="BJ120" i="5"/>
  <c r="BJ178" i="3"/>
  <c r="BI111" i="5"/>
  <c r="BI162" i="3"/>
  <c r="BI171" i="3" s="1"/>
  <c r="BI179" i="3" s="1"/>
  <c r="BI187" i="3" s="1"/>
  <c r="BH161" i="3"/>
  <c r="BI170" i="3"/>
  <c r="M84" i="6"/>
  <c r="X21" i="2"/>
  <c r="X22" i="2" s="1"/>
  <c r="BE17" i="6"/>
  <c r="BE21" i="6"/>
  <c r="BE34" i="6"/>
  <c r="BE36" i="6" s="1"/>
  <c r="BG16" i="6"/>
  <c r="BF15" i="6"/>
  <c r="BF14" i="6"/>
  <c r="BF65" i="5"/>
  <c r="BF22" i="6" s="1"/>
  <c r="BF80" i="3"/>
  <c r="BF9" i="6"/>
  <c r="BF70" i="5"/>
  <c r="BF71" i="5" s="1"/>
  <c r="BF130" i="5"/>
  <c r="BF207" i="3"/>
  <c r="BF121" i="5"/>
  <c r="BF201" i="3"/>
  <c r="BF195" i="3"/>
  <c r="BF150" i="5" s="1"/>
  <c r="BF153" i="5" s="1"/>
  <c r="BF112" i="5"/>
  <c r="BF50" i="5"/>
  <c r="BE157" i="5"/>
  <c r="BE160" i="5" s="1"/>
  <c r="BG18" i="5"/>
  <c r="BG24" i="5" s="1"/>
  <c r="BG172" i="3"/>
  <c r="BH19" i="3"/>
  <c r="BG42" i="3"/>
  <c r="BG37" i="5" s="1"/>
  <c r="BG38" i="5" s="1"/>
  <c r="BG104" i="3"/>
  <c r="BG87" i="5" s="1"/>
  <c r="BG90" i="5" s="1"/>
  <c r="BG69" i="3"/>
  <c r="BG56" i="5" s="1"/>
  <c r="BG61" i="5" s="1"/>
  <c r="BG101" i="5"/>
  <c r="BG104" i="5" s="1"/>
  <c r="BG188" i="3"/>
  <c r="BG17" i="5"/>
  <c r="BG23" i="5" s="1"/>
  <c r="BG22" i="3"/>
  <c r="BG94" i="3"/>
  <c r="BG80" i="5" s="1"/>
  <c r="BG83" i="5" s="1"/>
  <c r="BG33" i="3"/>
  <c r="BG32" i="5" s="1"/>
  <c r="BG33" i="5" s="1"/>
  <c r="BG164" i="3"/>
  <c r="BG68" i="3"/>
  <c r="BG55" i="5" s="1"/>
  <c r="BG60" i="5" s="1"/>
  <c r="BH18" i="3"/>
  <c r="BG180" i="3"/>
  <c r="BH20" i="3"/>
  <c r="BG51" i="3"/>
  <c r="BG42" i="5" s="1"/>
  <c r="BG43" i="5" s="1"/>
  <c r="BG19" i="5"/>
  <c r="BG25" i="5" s="1"/>
  <c r="BG70" i="3"/>
  <c r="BG57" i="5" s="1"/>
  <c r="BG62" i="5" s="1"/>
  <c r="BG114" i="3"/>
  <c r="BG94" i="5" s="1"/>
  <c r="BG97" i="5" s="1"/>
  <c r="BD176" i="5"/>
  <c r="BF106" i="5"/>
  <c r="BE164" i="5"/>
  <c r="BE167" i="5" s="1"/>
  <c r="BF13" i="6"/>
  <c r="BF27" i="5"/>
  <c r="BF187" i="5" s="1"/>
  <c r="BH20" i="5"/>
  <c r="BH26" i="5" s="1"/>
  <c r="BH124" i="3"/>
  <c r="BI21" i="3"/>
  <c r="BH71" i="3"/>
  <c r="BH58" i="5" s="1"/>
  <c r="BH63" i="5" s="1"/>
  <c r="BH57" i="3"/>
  <c r="BH47" i="5" s="1"/>
  <c r="BH48" i="5" s="1"/>
  <c r="BF213" i="3"/>
  <c r="BF139" i="5"/>
  <c r="BE171" i="5"/>
  <c r="BE174" i="5" s="1"/>
  <c r="BE85" i="3"/>
  <c r="BE75" i="5" s="1"/>
  <c r="BE76" i="5" s="1"/>
  <c r="BE81" i="3"/>
  <c r="BA27" i="6"/>
  <c r="M138" i="6" l="1"/>
  <c r="M95" i="6" s="1"/>
  <c r="M135" i="6"/>
  <c r="M94" i="6" s="1"/>
  <c r="AN29" i="14"/>
  <c r="AN42" i="14" s="1"/>
  <c r="AP12" i="14"/>
  <c r="AO23" i="14"/>
  <c r="AO75" i="14" s="1"/>
  <c r="AO26" i="14"/>
  <c r="AO76" i="14" s="1"/>
  <c r="BI120" i="5"/>
  <c r="BI178" i="3"/>
  <c r="BJ186" i="3"/>
  <c r="BJ138" i="5" s="1"/>
  <c r="BJ129" i="5"/>
  <c r="BH162" i="3"/>
  <c r="BH171" i="3" s="1"/>
  <c r="BH179" i="3" s="1"/>
  <c r="BH187" i="3" s="1"/>
  <c r="BH111" i="5"/>
  <c r="BG161" i="3"/>
  <c r="BH170" i="3"/>
  <c r="BE18" i="6"/>
  <c r="BH16" i="6"/>
  <c r="BF17" i="6"/>
  <c r="BF18" i="6" s="1"/>
  <c r="BF34" i="6"/>
  <c r="BF36" i="6" s="1"/>
  <c r="BG15" i="6"/>
  <c r="BF21" i="6"/>
  <c r="BG14" i="6"/>
  <c r="BE176" i="5"/>
  <c r="BG207" i="3"/>
  <c r="BG130" i="5"/>
  <c r="BG195" i="3"/>
  <c r="BG150" i="5" s="1"/>
  <c r="BG153" i="5" s="1"/>
  <c r="BG112" i="5"/>
  <c r="BG13" i="6"/>
  <c r="BG27" i="5"/>
  <c r="BG187" i="5" s="1"/>
  <c r="BH18" i="5"/>
  <c r="BH24" i="5" s="1"/>
  <c r="BI19" i="3"/>
  <c r="BH172" i="3"/>
  <c r="BH69" i="3"/>
  <c r="BH56" i="5" s="1"/>
  <c r="BH61" i="5" s="1"/>
  <c r="BH104" i="3"/>
  <c r="BH87" i="5" s="1"/>
  <c r="BH90" i="5" s="1"/>
  <c r="BH42" i="3"/>
  <c r="BH37" i="5" s="1"/>
  <c r="BH38" i="5" s="1"/>
  <c r="BF157" i="5"/>
  <c r="BF160" i="5" s="1"/>
  <c r="BI57" i="3"/>
  <c r="BI47" i="5" s="1"/>
  <c r="BI48" i="5" s="1"/>
  <c r="BI124" i="3"/>
  <c r="BJ21" i="3"/>
  <c r="BI20" i="5"/>
  <c r="BI26" i="5" s="1"/>
  <c r="BI71" i="3"/>
  <c r="BI58" i="5" s="1"/>
  <c r="BI63" i="5" s="1"/>
  <c r="BG139" i="5"/>
  <c r="BG213" i="3"/>
  <c r="BG201" i="3"/>
  <c r="BG121" i="5"/>
  <c r="BF171" i="5"/>
  <c r="BF174" i="5" s="1"/>
  <c r="BH101" i="5"/>
  <c r="BH104" i="5" s="1"/>
  <c r="BH188" i="3"/>
  <c r="BG50" i="5"/>
  <c r="BH17" i="5"/>
  <c r="BH23" i="5" s="1"/>
  <c r="BH68" i="3"/>
  <c r="BH55" i="5" s="1"/>
  <c r="BH60" i="5" s="1"/>
  <c r="BH164" i="3"/>
  <c r="BH33" i="3"/>
  <c r="BH32" i="5" s="1"/>
  <c r="BH33" i="5" s="1"/>
  <c r="BH22" i="3"/>
  <c r="BH94" i="3"/>
  <c r="BH80" i="5" s="1"/>
  <c r="BH83" i="5" s="1"/>
  <c r="BI18" i="3"/>
  <c r="BG106" i="5"/>
  <c r="BF164" i="5"/>
  <c r="BF167" i="5" s="1"/>
  <c r="BH19" i="5"/>
  <c r="BH25" i="5" s="1"/>
  <c r="BI20" i="3"/>
  <c r="BH114" i="3"/>
  <c r="BH94" i="5" s="1"/>
  <c r="BH97" i="5" s="1"/>
  <c r="BH51" i="3"/>
  <c r="BH42" i="5" s="1"/>
  <c r="BH43" i="5" s="1"/>
  <c r="BH180" i="3"/>
  <c r="BH70" i="3"/>
  <c r="BH57" i="5" s="1"/>
  <c r="BH62" i="5" s="1"/>
  <c r="BG65" i="5"/>
  <c r="BG22" i="6" s="1"/>
  <c r="BG70" i="5"/>
  <c r="BG71" i="5" s="1"/>
  <c r="BG9" i="6"/>
  <c r="BG80" i="3"/>
  <c r="BF81" i="3"/>
  <c r="BF85" i="3"/>
  <c r="BF75" i="5" s="1"/>
  <c r="BF76" i="5" s="1"/>
  <c r="M97" i="6" l="1"/>
  <c r="M102" i="6" s="1"/>
  <c r="BH59" i="2" s="1"/>
  <c r="M140" i="6"/>
  <c r="AO78" i="14"/>
  <c r="AO83" i="14" s="1"/>
  <c r="AO27" i="14"/>
  <c r="AQ12" i="14"/>
  <c r="AP23" i="14"/>
  <c r="AP75" i="14" s="1"/>
  <c r="AP26" i="14"/>
  <c r="AP76" i="14" s="1"/>
  <c r="BF161" i="3"/>
  <c r="BG170" i="3"/>
  <c r="BG162" i="3"/>
  <c r="BG171" i="3" s="1"/>
  <c r="BG179" i="3" s="1"/>
  <c r="BG187" i="3" s="1"/>
  <c r="BG111" i="5"/>
  <c r="BG115" i="5" s="1"/>
  <c r="BG117" i="5" s="1"/>
  <c r="BI186" i="3"/>
  <c r="BI138" i="5" s="1"/>
  <c r="BI129" i="5"/>
  <c r="BH178" i="3"/>
  <c r="BH120" i="5"/>
  <c r="BI16" i="6"/>
  <c r="BG34" i="6"/>
  <c r="BG36" i="6" s="1"/>
  <c r="BH15" i="6"/>
  <c r="BH14" i="6"/>
  <c r="BG17" i="6"/>
  <c r="BG21" i="6"/>
  <c r="BH65" i="5"/>
  <c r="BH22" i="6" s="1"/>
  <c r="BF176" i="5"/>
  <c r="BG157" i="5"/>
  <c r="BG160" i="5" s="1"/>
  <c r="BH70" i="5"/>
  <c r="BH71" i="5" s="1"/>
  <c r="BH9" i="6"/>
  <c r="BH80" i="3"/>
  <c r="BH27" i="5"/>
  <c r="BH187" i="5" s="1"/>
  <c r="BH13" i="6"/>
  <c r="BH213" i="3"/>
  <c r="BH139" i="5"/>
  <c r="BJ20" i="5"/>
  <c r="BJ26" i="5" s="1"/>
  <c r="BK21" i="3"/>
  <c r="BJ57" i="3"/>
  <c r="BJ47" i="5" s="1"/>
  <c r="BJ48" i="5" s="1"/>
  <c r="BJ124" i="3"/>
  <c r="BJ71" i="3"/>
  <c r="BJ58" i="5" s="1"/>
  <c r="BJ63" i="5" s="1"/>
  <c r="BI19" i="5"/>
  <c r="BI25" i="5" s="1"/>
  <c r="BJ20" i="3"/>
  <c r="BI70" i="3"/>
  <c r="BI57" i="5" s="1"/>
  <c r="BI62" i="5" s="1"/>
  <c r="BI51" i="3"/>
  <c r="BI42" i="5" s="1"/>
  <c r="BI43" i="5" s="1"/>
  <c r="BI180" i="3"/>
  <c r="BI114" i="3"/>
  <c r="BI94" i="5" s="1"/>
  <c r="BI97" i="5" s="1"/>
  <c r="BH106" i="5"/>
  <c r="BI101" i="5"/>
  <c r="BI104" i="5" s="1"/>
  <c r="BI188" i="3"/>
  <c r="BH121" i="5"/>
  <c r="BH201" i="3"/>
  <c r="BG85" i="3"/>
  <c r="BG75" i="5" s="1"/>
  <c r="BG76" i="5" s="1"/>
  <c r="BG81" i="3"/>
  <c r="BH130" i="5"/>
  <c r="BH207" i="3"/>
  <c r="BH50" i="5"/>
  <c r="BI17" i="5"/>
  <c r="BI23" i="5" s="1"/>
  <c r="BI164" i="3"/>
  <c r="BI33" i="3"/>
  <c r="BI32" i="5" s="1"/>
  <c r="BI33" i="5" s="1"/>
  <c r="BI22" i="3"/>
  <c r="BI94" i="3"/>
  <c r="BI80" i="5" s="1"/>
  <c r="BI83" i="5" s="1"/>
  <c r="BJ18" i="3"/>
  <c r="BI68" i="3"/>
  <c r="BI55" i="5" s="1"/>
  <c r="BI60" i="5" s="1"/>
  <c r="BH195" i="3"/>
  <c r="BH150" i="5" s="1"/>
  <c r="BH153" i="5" s="1"/>
  <c r="BH112" i="5"/>
  <c r="BH115" i="5" s="1"/>
  <c r="BH117" i="5" s="1"/>
  <c r="BG171" i="5"/>
  <c r="BG174" i="5" s="1"/>
  <c r="BI18" i="5"/>
  <c r="BI24" i="5" s="1"/>
  <c r="BJ19" i="3"/>
  <c r="BI104" i="3"/>
  <c r="BI87" i="5" s="1"/>
  <c r="BI90" i="5" s="1"/>
  <c r="BI42" i="3"/>
  <c r="BI37" i="5" s="1"/>
  <c r="BI38" i="5" s="1"/>
  <c r="BI172" i="3"/>
  <c r="BI69" i="3"/>
  <c r="BI56" i="5" s="1"/>
  <c r="BI61" i="5" s="1"/>
  <c r="BG164" i="5"/>
  <c r="BG167" i="5" s="1"/>
  <c r="AP78" i="14" l="1"/>
  <c r="AP83" i="14" s="1"/>
  <c r="AO29" i="14"/>
  <c r="AO42" i="14" s="1"/>
  <c r="AP27" i="14"/>
  <c r="AR12" i="14"/>
  <c r="AQ23" i="14"/>
  <c r="AQ75" i="14" s="1"/>
  <c r="AQ26" i="14"/>
  <c r="AQ76" i="14" s="1"/>
  <c r="BH186" i="3"/>
  <c r="BH138" i="5" s="1"/>
  <c r="BH129" i="5"/>
  <c r="BG178" i="3"/>
  <c r="BG120" i="5"/>
  <c r="BG124" i="5" s="1"/>
  <c r="BG126" i="5" s="1"/>
  <c r="BF111" i="5"/>
  <c r="BF115" i="5" s="1"/>
  <c r="BF117" i="5" s="1"/>
  <c r="BE161" i="3"/>
  <c r="BF162" i="3"/>
  <c r="BF171" i="3" s="1"/>
  <c r="BF179" i="3" s="1"/>
  <c r="BF187" i="3" s="1"/>
  <c r="BF170" i="3"/>
  <c r="BH17" i="6"/>
  <c r="BH18" i="6" s="1"/>
  <c r="BI14" i="6"/>
  <c r="BJ16" i="6"/>
  <c r="BG18" i="6"/>
  <c r="BH21" i="6"/>
  <c r="BI15" i="6"/>
  <c r="BH34" i="6"/>
  <c r="BH36" i="6" s="1"/>
  <c r="BG176" i="5"/>
  <c r="BJ17" i="5"/>
  <c r="BJ23" i="5" s="1"/>
  <c r="BJ164" i="3"/>
  <c r="BK18" i="3"/>
  <c r="BJ68" i="3"/>
  <c r="BJ55" i="5" s="1"/>
  <c r="BJ60" i="5" s="1"/>
  <c r="BJ22" i="3"/>
  <c r="BJ33" i="3"/>
  <c r="BJ32" i="5" s="1"/>
  <c r="BJ33" i="5" s="1"/>
  <c r="BJ94" i="3"/>
  <c r="BJ80" i="5" s="1"/>
  <c r="BJ83" i="5" s="1"/>
  <c r="BI195" i="3"/>
  <c r="BI150" i="5" s="1"/>
  <c r="BI153" i="5" s="1"/>
  <c r="BI112" i="5"/>
  <c r="BI115" i="5" s="1"/>
  <c r="BI117" i="5" s="1"/>
  <c r="BI139" i="5"/>
  <c r="BI213" i="3"/>
  <c r="BI121" i="5"/>
  <c r="BI201" i="3"/>
  <c r="BI50" i="5"/>
  <c r="BI13" i="6"/>
  <c r="BI27" i="5"/>
  <c r="BI187" i="5" s="1"/>
  <c r="BI106" i="5"/>
  <c r="BK20" i="5"/>
  <c r="BK26" i="5" s="1"/>
  <c r="BK124" i="3"/>
  <c r="BK57" i="3"/>
  <c r="BK47" i="5" s="1"/>
  <c r="BK48" i="5" s="1"/>
  <c r="BK71" i="3"/>
  <c r="BK58" i="5" s="1"/>
  <c r="BK63" i="5" s="1"/>
  <c r="BL21" i="3"/>
  <c r="BH171" i="5"/>
  <c r="BH174" i="5" s="1"/>
  <c r="BH142" i="5"/>
  <c r="BH144" i="5" s="1"/>
  <c r="BH81" i="3"/>
  <c r="BH85" i="3"/>
  <c r="BH75" i="5" s="1"/>
  <c r="BH76" i="5" s="1"/>
  <c r="BI9" i="6"/>
  <c r="BI80" i="3"/>
  <c r="BI70" i="5"/>
  <c r="BI71" i="5" s="1"/>
  <c r="BH164" i="5"/>
  <c r="BH167" i="5" s="1"/>
  <c r="BH133" i="5"/>
  <c r="BH135" i="5" s="1"/>
  <c r="BJ19" i="5"/>
  <c r="BJ25" i="5" s="1"/>
  <c r="BJ180" i="3"/>
  <c r="BJ114" i="3"/>
  <c r="BJ94" i="5" s="1"/>
  <c r="BJ97" i="5" s="1"/>
  <c r="BJ51" i="3"/>
  <c r="BJ42" i="5" s="1"/>
  <c r="BJ43" i="5" s="1"/>
  <c r="BK20" i="3"/>
  <c r="BJ70" i="3"/>
  <c r="BJ57" i="5" s="1"/>
  <c r="BJ62" i="5" s="1"/>
  <c r="BJ18" i="5"/>
  <c r="BJ24" i="5" s="1"/>
  <c r="BJ172" i="3"/>
  <c r="BK19" i="3"/>
  <c r="BJ69" i="3"/>
  <c r="BJ56" i="5" s="1"/>
  <c r="BJ61" i="5" s="1"/>
  <c r="BJ104" i="3"/>
  <c r="BJ87" i="5" s="1"/>
  <c r="BJ90" i="5" s="1"/>
  <c r="BJ42" i="3"/>
  <c r="BJ37" i="5" s="1"/>
  <c r="BJ38" i="5" s="1"/>
  <c r="BI65" i="5"/>
  <c r="BI22" i="6" s="1"/>
  <c r="BH157" i="5"/>
  <c r="BH160" i="5" s="1"/>
  <c r="BH124" i="5"/>
  <c r="BH126" i="5" s="1"/>
  <c r="BI207" i="3"/>
  <c r="BI130" i="5"/>
  <c r="BJ188" i="3"/>
  <c r="BJ101" i="5"/>
  <c r="BJ104" i="5" s="1"/>
  <c r="AQ78" i="14" l="1"/>
  <c r="AQ83" i="14" s="1"/>
  <c r="AP29" i="14"/>
  <c r="AP42" i="14" s="1"/>
  <c r="AQ27" i="14"/>
  <c r="AS12" i="14"/>
  <c r="AR23" i="14"/>
  <c r="AR75" i="14" s="1"/>
  <c r="AR26" i="14"/>
  <c r="AR76" i="14" s="1"/>
  <c r="BF178" i="3"/>
  <c r="BF120" i="5"/>
  <c r="BF124" i="5" s="1"/>
  <c r="BF126" i="5" s="1"/>
  <c r="BG129" i="5"/>
  <c r="BG133" i="5" s="1"/>
  <c r="BG135" i="5" s="1"/>
  <c r="BG186" i="3"/>
  <c r="BG138" i="5" s="1"/>
  <c r="BG142" i="5" s="1"/>
  <c r="BG144" i="5" s="1"/>
  <c r="BE111" i="5"/>
  <c r="BE115" i="5" s="1"/>
  <c r="BE117" i="5" s="1"/>
  <c r="BE162" i="3"/>
  <c r="BE171" i="3" s="1"/>
  <c r="BE179" i="3" s="1"/>
  <c r="BE187" i="3" s="1"/>
  <c r="BD161" i="3"/>
  <c r="BE170" i="3"/>
  <c r="BJ14" i="6"/>
  <c r="BI21" i="6"/>
  <c r="BK16" i="6"/>
  <c r="BI34" i="6"/>
  <c r="BI36" i="6" s="1"/>
  <c r="BJ15" i="6"/>
  <c r="BI17" i="6"/>
  <c r="BI18" i="6" s="1"/>
  <c r="BI164" i="5"/>
  <c r="BI167" i="5" s="1"/>
  <c r="BI133" i="5"/>
  <c r="BI135" i="5" s="1"/>
  <c r="BJ9" i="6"/>
  <c r="BJ80" i="3"/>
  <c r="BJ70" i="5"/>
  <c r="BJ71" i="5" s="1"/>
  <c r="BJ27" i="5"/>
  <c r="BJ187" i="5" s="1"/>
  <c r="BJ13" i="6"/>
  <c r="BH146" i="5"/>
  <c r="BI124" i="5"/>
  <c r="BI157" i="5"/>
  <c r="BI160" i="5" s="1"/>
  <c r="BI142" i="5"/>
  <c r="BI144" i="5" s="1"/>
  <c r="BI171" i="5"/>
  <c r="BI174" i="5" s="1"/>
  <c r="BJ65" i="5"/>
  <c r="BJ22" i="6" s="1"/>
  <c r="BJ106" i="5"/>
  <c r="BK18" i="5"/>
  <c r="BK24" i="5" s="1"/>
  <c r="BK69" i="3"/>
  <c r="BK56" i="5" s="1"/>
  <c r="BK61" i="5" s="1"/>
  <c r="BK172" i="3"/>
  <c r="BK104" i="3"/>
  <c r="BK87" i="5" s="1"/>
  <c r="BK90" i="5" s="1"/>
  <c r="BL19" i="3"/>
  <c r="BK42" i="3"/>
  <c r="BK37" i="5" s="1"/>
  <c r="BK38" i="5" s="1"/>
  <c r="BJ130" i="5"/>
  <c r="BJ207" i="3"/>
  <c r="BI81" i="3"/>
  <c r="BI85" i="3"/>
  <c r="BI75" i="5" s="1"/>
  <c r="BI76" i="5" s="1"/>
  <c r="BH176" i="5"/>
  <c r="BK188" i="3"/>
  <c r="BK101" i="5"/>
  <c r="BK104" i="5" s="1"/>
  <c r="BJ50" i="5"/>
  <c r="BK22" i="3"/>
  <c r="BL18" i="3"/>
  <c r="BK164" i="3"/>
  <c r="BK68" i="3"/>
  <c r="BK55" i="5" s="1"/>
  <c r="BK60" i="5" s="1"/>
  <c r="BK94" i="3"/>
  <c r="BK80" i="5" s="1"/>
  <c r="BK83" i="5" s="1"/>
  <c r="BK17" i="5"/>
  <c r="BK23" i="5" s="1"/>
  <c r="BK33" i="3"/>
  <c r="BK32" i="5" s="1"/>
  <c r="BK33" i="5" s="1"/>
  <c r="BJ139" i="5"/>
  <c r="BJ213" i="3"/>
  <c r="BJ121" i="5"/>
  <c r="BJ201" i="3"/>
  <c r="BK19" i="5"/>
  <c r="BK25" i="5" s="1"/>
  <c r="BK180" i="3"/>
  <c r="BK51" i="3"/>
  <c r="BK42" i="5" s="1"/>
  <c r="BK43" i="5" s="1"/>
  <c r="BL20" i="3"/>
  <c r="BK70" i="3"/>
  <c r="BK57" i="5" s="1"/>
  <c r="BK62" i="5" s="1"/>
  <c r="BK114" i="3"/>
  <c r="BK94" i="5" s="1"/>
  <c r="BK97" i="5" s="1"/>
  <c r="BL20" i="5"/>
  <c r="BL26" i="5" s="1"/>
  <c r="BL71" i="3"/>
  <c r="BL58" i="5" s="1"/>
  <c r="BL63" i="5" s="1"/>
  <c r="BL124" i="3"/>
  <c r="BL57" i="3"/>
  <c r="BL47" i="5" s="1"/>
  <c r="BL48" i="5" s="1"/>
  <c r="BM21" i="3"/>
  <c r="BJ112" i="5"/>
  <c r="BJ115" i="5" s="1"/>
  <c r="BJ117" i="5" s="1"/>
  <c r="BJ195" i="3"/>
  <c r="BJ150" i="5" s="1"/>
  <c r="BJ153" i="5" s="1"/>
  <c r="AR78" i="14" l="1"/>
  <c r="AR83" i="14" s="1"/>
  <c r="AQ29" i="14"/>
  <c r="AQ42" i="14" s="1"/>
  <c r="AR27" i="14"/>
  <c r="AT12" i="14"/>
  <c r="AS23" i="14"/>
  <c r="AS75" i="14" s="1"/>
  <c r="AS26" i="14"/>
  <c r="AS76" i="14" s="1"/>
  <c r="BG146" i="5"/>
  <c r="BG178" i="5" s="1"/>
  <c r="BG23" i="6" s="1"/>
  <c r="BG24" i="6" s="1"/>
  <c r="BH178" i="5"/>
  <c r="BH23" i="6" s="1"/>
  <c r="BH24" i="6" s="1"/>
  <c r="BE178" i="3"/>
  <c r="BE120" i="5"/>
  <c r="BE124" i="5" s="1"/>
  <c r="BE126" i="5" s="1"/>
  <c r="BC161" i="3"/>
  <c r="BD170" i="3"/>
  <c r="BD162" i="3"/>
  <c r="BD171" i="3" s="1"/>
  <c r="BD179" i="3" s="1"/>
  <c r="BD187" i="3" s="1"/>
  <c r="BD111" i="5"/>
  <c r="BD115" i="5" s="1"/>
  <c r="BD117" i="5" s="1"/>
  <c r="BF186" i="3"/>
  <c r="BF138" i="5" s="1"/>
  <c r="BF142" i="5" s="1"/>
  <c r="BF144" i="5" s="1"/>
  <c r="BF129" i="5"/>
  <c r="BF133" i="5" s="1"/>
  <c r="BF135" i="5" s="1"/>
  <c r="BJ17" i="6"/>
  <c r="BJ18" i="6" s="1"/>
  <c r="BL16" i="6"/>
  <c r="BJ21" i="6"/>
  <c r="BK15" i="6"/>
  <c r="BK14" i="6"/>
  <c r="BJ34" i="6"/>
  <c r="BJ36" i="6" s="1"/>
  <c r="BI176" i="5"/>
  <c r="BK207" i="3"/>
  <c r="BK130" i="5"/>
  <c r="BL180" i="3"/>
  <c r="BL51" i="3"/>
  <c r="BL42" i="5" s="1"/>
  <c r="BL43" i="5" s="1"/>
  <c r="BL19" i="5"/>
  <c r="BL25" i="5" s="1"/>
  <c r="BM20" i="3"/>
  <c r="BL70" i="3"/>
  <c r="BL57" i="5" s="1"/>
  <c r="BL62" i="5" s="1"/>
  <c r="BL114" i="3"/>
  <c r="BL94" i="5" s="1"/>
  <c r="BL97" i="5" s="1"/>
  <c r="BJ171" i="5"/>
  <c r="BJ174" i="5" s="1"/>
  <c r="BJ142" i="5"/>
  <c r="BJ144" i="5" s="1"/>
  <c r="BK65" i="5"/>
  <c r="BK22" i="6" s="1"/>
  <c r="BI126" i="5"/>
  <c r="BI146" i="5" s="1"/>
  <c r="BI178" i="5" s="1"/>
  <c r="BM20" i="5"/>
  <c r="BM26" i="5" s="1"/>
  <c r="BM71" i="3"/>
  <c r="BM58" i="5" s="1"/>
  <c r="BM63" i="5" s="1"/>
  <c r="BM124" i="3"/>
  <c r="BM57" i="3"/>
  <c r="BM47" i="5" s="1"/>
  <c r="BM48" i="5" s="1"/>
  <c r="BJ157" i="5"/>
  <c r="BJ160" i="5" s="1"/>
  <c r="BJ124" i="5"/>
  <c r="BJ126" i="5" s="1"/>
  <c r="BK112" i="5"/>
  <c r="BK115" i="5" s="1"/>
  <c r="BK117" i="5" s="1"/>
  <c r="BK195" i="3"/>
  <c r="BK150" i="5" s="1"/>
  <c r="BK153" i="5" s="1"/>
  <c r="BK106" i="5"/>
  <c r="BJ164" i="5"/>
  <c r="BJ167" i="5" s="1"/>
  <c r="BJ133" i="5"/>
  <c r="BJ135" i="5" s="1"/>
  <c r="BK201" i="3"/>
  <c r="BK121" i="5"/>
  <c r="BK27" i="5"/>
  <c r="BK187" i="5" s="1"/>
  <c r="BK13" i="6"/>
  <c r="BL17" i="5"/>
  <c r="BL23" i="5" s="1"/>
  <c r="BL68" i="3"/>
  <c r="BL55" i="5" s="1"/>
  <c r="BL60" i="5" s="1"/>
  <c r="BL164" i="3"/>
  <c r="BL22" i="3"/>
  <c r="BL94" i="3"/>
  <c r="BL80" i="5" s="1"/>
  <c r="BL83" i="5" s="1"/>
  <c r="BL33" i="3"/>
  <c r="BL32" i="5" s="1"/>
  <c r="BL33" i="5" s="1"/>
  <c r="BM18" i="3"/>
  <c r="BK213" i="3"/>
  <c r="BK139" i="5"/>
  <c r="BK50" i="5"/>
  <c r="BL188" i="3"/>
  <c r="BL101" i="5"/>
  <c r="BL104" i="5" s="1"/>
  <c r="BK70" i="5"/>
  <c r="BK71" i="5" s="1"/>
  <c r="BK80" i="3"/>
  <c r="BK9" i="6"/>
  <c r="BM19" i="3"/>
  <c r="BL69" i="3"/>
  <c r="BL56" i="5" s="1"/>
  <c r="BL61" i="5" s="1"/>
  <c r="BL18" i="5"/>
  <c r="BL24" i="5" s="1"/>
  <c r="BL172" i="3"/>
  <c r="BL42" i="3"/>
  <c r="BL37" i="5" s="1"/>
  <c r="BL38" i="5" s="1"/>
  <c r="BL104" i="3"/>
  <c r="BL87" i="5" s="1"/>
  <c r="BL90" i="5" s="1"/>
  <c r="BJ81" i="3"/>
  <c r="BJ85" i="3"/>
  <c r="BJ75" i="5" s="1"/>
  <c r="BJ76" i="5" s="1"/>
  <c r="BG180" i="5" l="1"/>
  <c r="AS78" i="14"/>
  <c r="AS83" i="14" s="1"/>
  <c r="AR29" i="14"/>
  <c r="AR42" i="14" s="1"/>
  <c r="AS27" i="14"/>
  <c r="AT23" i="14"/>
  <c r="AT75" i="14" s="1"/>
  <c r="AT26" i="14"/>
  <c r="AT76" i="14" s="1"/>
  <c r="BH180" i="5"/>
  <c r="BF146" i="5"/>
  <c r="BF178" i="5" s="1"/>
  <c r="BF23" i="6" s="1"/>
  <c r="BF24" i="6" s="1"/>
  <c r="BF26" i="6" s="1"/>
  <c r="BD120" i="5"/>
  <c r="BD124" i="5" s="1"/>
  <c r="BD126" i="5" s="1"/>
  <c r="BD178" i="3"/>
  <c r="BC111" i="5"/>
  <c r="BC115" i="5" s="1"/>
  <c r="BC117" i="5" s="1"/>
  <c r="BC162" i="3"/>
  <c r="BC171" i="3" s="1"/>
  <c r="BC179" i="3" s="1"/>
  <c r="BC187" i="3" s="1"/>
  <c r="BB161" i="3"/>
  <c r="BC170" i="3"/>
  <c r="BE186" i="3"/>
  <c r="BE138" i="5" s="1"/>
  <c r="BE142" i="5" s="1"/>
  <c r="BE144" i="5" s="1"/>
  <c r="BE129" i="5"/>
  <c r="BE133" i="5" s="1"/>
  <c r="BE135" i="5" s="1"/>
  <c r="BK17" i="6"/>
  <c r="BK18" i="6" s="1"/>
  <c r="BK34" i="6"/>
  <c r="BK36" i="6" s="1"/>
  <c r="BL15" i="6"/>
  <c r="BK21" i="6"/>
  <c r="BM16" i="6"/>
  <c r="BL14" i="6"/>
  <c r="BI180" i="5"/>
  <c r="BI23" i="6"/>
  <c r="BI24" i="6" s="1"/>
  <c r="BG26" i="6"/>
  <c r="BL106" i="5"/>
  <c r="BL65" i="5"/>
  <c r="BL22" i="6" s="1"/>
  <c r="BK124" i="5"/>
  <c r="BK126" i="5" s="1"/>
  <c r="BK157" i="5"/>
  <c r="BK160" i="5" s="1"/>
  <c r="BM101" i="5"/>
  <c r="BM104" i="5" s="1"/>
  <c r="BM188" i="3"/>
  <c r="BL50" i="5"/>
  <c r="BJ176" i="5"/>
  <c r="BL139" i="5"/>
  <c r="BL213" i="3"/>
  <c r="BK142" i="5"/>
  <c r="BK144" i="5" s="1"/>
  <c r="BK171" i="5"/>
  <c r="BK174" i="5" s="1"/>
  <c r="BL13" i="6"/>
  <c r="BL27" i="5"/>
  <c r="BL187" i="5" s="1"/>
  <c r="BK164" i="5"/>
  <c r="BK167" i="5" s="1"/>
  <c r="BK133" i="5"/>
  <c r="BK135" i="5" s="1"/>
  <c r="BM18" i="5"/>
  <c r="BM24" i="5" s="1"/>
  <c r="BM172" i="3"/>
  <c r="BM104" i="3"/>
  <c r="BM87" i="5" s="1"/>
  <c r="BM90" i="5" s="1"/>
  <c r="BN90" i="5" s="1"/>
  <c r="BM69" i="3"/>
  <c r="BM56" i="5" s="1"/>
  <c r="BM61" i="5" s="1"/>
  <c r="BM42" i="3"/>
  <c r="BM37" i="5" s="1"/>
  <c r="BM38" i="5" s="1"/>
  <c r="BK85" i="3"/>
  <c r="BK75" i="5" s="1"/>
  <c r="BK76" i="5" s="1"/>
  <c r="BK81" i="3"/>
  <c r="BL9" i="6"/>
  <c r="BL70" i="5"/>
  <c r="BL71" i="5" s="1"/>
  <c r="BL80" i="3"/>
  <c r="BL130" i="5"/>
  <c r="BL207" i="3"/>
  <c r="BL121" i="5"/>
  <c r="BL201" i="3"/>
  <c r="BM17" i="5"/>
  <c r="BM23" i="5" s="1"/>
  <c r="BM164" i="3"/>
  <c r="BM94" i="3"/>
  <c r="BM80" i="5" s="1"/>
  <c r="BM83" i="5" s="1"/>
  <c r="BN83" i="5" s="1"/>
  <c r="BM68" i="3"/>
  <c r="BM55" i="5" s="1"/>
  <c r="BM60" i="5" s="1"/>
  <c r="BM22" i="3"/>
  <c r="BM33" i="3"/>
  <c r="BM32" i="5" s="1"/>
  <c r="BM33" i="5" s="1"/>
  <c r="BL112" i="5"/>
  <c r="BL115" i="5" s="1"/>
  <c r="BL117" i="5" s="1"/>
  <c r="BL195" i="3"/>
  <c r="BL150" i="5" s="1"/>
  <c r="BL153" i="5" s="1"/>
  <c r="BH26" i="6"/>
  <c r="BJ146" i="5"/>
  <c r="BM19" i="5"/>
  <c r="BM25" i="5" s="1"/>
  <c r="BM51" i="3"/>
  <c r="BM42" i="5" s="1"/>
  <c r="BM43" i="5" s="1"/>
  <c r="BM70" i="3"/>
  <c r="BM57" i="5" s="1"/>
  <c r="BM62" i="5" s="1"/>
  <c r="BM180" i="3"/>
  <c r="BM114" i="3"/>
  <c r="BM94" i="5" s="1"/>
  <c r="BM97" i="5" s="1"/>
  <c r="BN97" i="5" s="1"/>
  <c r="AT78" i="14" l="1"/>
  <c r="AT83" i="14" s="1"/>
  <c r="AS29" i="14"/>
  <c r="AS42" i="14" s="1"/>
  <c r="AT27" i="14"/>
  <c r="AT29" i="14" s="1"/>
  <c r="AT42" i="14" s="1"/>
  <c r="BF27" i="6"/>
  <c r="BF37" i="6"/>
  <c r="BF38" i="6" s="1"/>
  <c r="BF180" i="5"/>
  <c r="BC178" i="3"/>
  <c r="BC120" i="5"/>
  <c r="BC124" i="5" s="1"/>
  <c r="BC126" i="5" s="1"/>
  <c r="BB111" i="5"/>
  <c r="BB115" i="5" s="1"/>
  <c r="BB117" i="5" s="1"/>
  <c r="BB162" i="3"/>
  <c r="BB171" i="3" s="1"/>
  <c r="BB179" i="3" s="1"/>
  <c r="BB187" i="3" s="1"/>
  <c r="BB170" i="3"/>
  <c r="BE146" i="5"/>
  <c r="BE178" i="5" s="1"/>
  <c r="BD186" i="3"/>
  <c r="BD138" i="5" s="1"/>
  <c r="BD142" i="5" s="1"/>
  <c r="BD144" i="5" s="1"/>
  <c r="BD129" i="5"/>
  <c r="BD133" i="5" s="1"/>
  <c r="BD135" i="5" s="1"/>
  <c r="BM14" i="6"/>
  <c r="BL34" i="6"/>
  <c r="BL36" i="6" s="1"/>
  <c r="BL17" i="6"/>
  <c r="BL18" i="6" s="1"/>
  <c r="BM15" i="6"/>
  <c r="BL21" i="6"/>
  <c r="BM65" i="5"/>
  <c r="BM22" i="6" s="1"/>
  <c r="BM207" i="3"/>
  <c r="BM130" i="5"/>
  <c r="BL124" i="5"/>
  <c r="BL126" i="5" s="1"/>
  <c r="BL157" i="5"/>
  <c r="BL160" i="5" s="1"/>
  <c r="BL171" i="5"/>
  <c r="BL174" i="5" s="1"/>
  <c r="BL142" i="5"/>
  <c r="BL144" i="5" s="1"/>
  <c r="BM106" i="5"/>
  <c r="BN104" i="5"/>
  <c r="BN106" i="5" s="1"/>
  <c r="BH37" i="6"/>
  <c r="BH27" i="6"/>
  <c r="BM195" i="3"/>
  <c r="BM150" i="5" s="1"/>
  <c r="BM153" i="5" s="1"/>
  <c r="BN153" i="5" s="1"/>
  <c r="BM112" i="5"/>
  <c r="BM115" i="5" s="1"/>
  <c r="BL81" i="3"/>
  <c r="BL85" i="3"/>
  <c r="BL75" i="5" s="1"/>
  <c r="BL76" i="5" s="1"/>
  <c r="BM121" i="5"/>
  <c r="BM201" i="3"/>
  <c r="BK176" i="5"/>
  <c r="BI26" i="6"/>
  <c r="BM50" i="5"/>
  <c r="BM9" i="6"/>
  <c r="BM80" i="3"/>
  <c r="BM70" i="5"/>
  <c r="BM71" i="5" s="1"/>
  <c r="BM13" i="6"/>
  <c r="BM27" i="5"/>
  <c r="BM187" i="5" s="1"/>
  <c r="BK146" i="5"/>
  <c r="BL133" i="5"/>
  <c r="BL135" i="5" s="1"/>
  <c r="BL164" i="5"/>
  <c r="BL167" i="5" s="1"/>
  <c r="BJ178" i="5"/>
  <c r="BM213" i="3"/>
  <c r="BM139" i="5"/>
  <c r="BG27" i="6"/>
  <c r="BG37" i="6"/>
  <c r="BF41" i="6" l="1"/>
  <c r="BF45" i="6" s="1"/>
  <c r="BD146" i="5"/>
  <c r="BD178" i="5" s="1"/>
  <c r="BD180" i="5" s="1"/>
  <c r="BE23" i="6"/>
  <c r="BE24" i="6" s="1"/>
  <c r="BE26" i="6" s="1"/>
  <c r="BE180" i="5"/>
  <c r="BB178" i="3"/>
  <c r="BB120" i="5"/>
  <c r="BB124" i="5" s="1"/>
  <c r="BB126" i="5" s="1"/>
  <c r="BC186" i="3"/>
  <c r="BC138" i="5" s="1"/>
  <c r="BC142" i="5" s="1"/>
  <c r="BC144" i="5" s="1"/>
  <c r="BC129" i="5"/>
  <c r="BC133" i="5" s="1"/>
  <c r="BC135" i="5" s="1"/>
  <c r="BM34" i="6"/>
  <c r="BM36" i="6" s="1"/>
  <c r="BM17" i="6"/>
  <c r="BM18" i="6" s="1"/>
  <c r="BM21" i="6"/>
  <c r="BM142" i="5"/>
  <c r="BM171" i="5"/>
  <c r="BM174" i="5" s="1"/>
  <c r="BI27" i="6"/>
  <c r="BI37" i="6"/>
  <c r="BM124" i="5"/>
  <c r="BM157" i="5"/>
  <c r="BM160" i="5" s="1"/>
  <c r="BN160" i="5" s="1"/>
  <c r="BM133" i="5"/>
  <c r="BM164" i="5"/>
  <c r="BM167" i="5" s="1"/>
  <c r="BN167" i="5" s="1"/>
  <c r="BG41" i="6"/>
  <c r="BG38" i="6"/>
  <c r="BJ23" i="6"/>
  <c r="BJ24" i="6" s="1"/>
  <c r="BJ180" i="5"/>
  <c r="BM117" i="5"/>
  <c r="BN115" i="5"/>
  <c r="BN117" i="5" s="1"/>
  <c r="BL146" i="5"/>
  <c r="BM81" i="3"/>
  <c r="BM85" i="3"/>
  <c r="BM75" i="5" s="1"/>
  <c r="BM76" i="5" s="1"/>
  <c r="BK178" i="5"/>
  <c r="BH41" i="6"/>
  <c r="BH38" i="6"/>
  <c r="BL176" i="5"/>
  <c r="BF42" i="6" l="1"/>
  <c r="BD23" i="6"/>
  <c r="BD24" i="6" s="1"/>
  <c r="BD26" i="6" s="1"/>
  <c r="BD27" i="6" s="1"/>
  <c r="BC146" i="5"/>
  <c r="BC178" i="5" s="1"/>
  <c r="BC23" i="6" s="1"/>
  <c r="BC24" i="6" s="1"/>
  <c r="BC26" i="6" s="1"/>
  <c r="BE37" i="6"/>
  <c r="BE27" i="6"/>
  <c r="BB186" i="3"/>
  <c r="BB138" i="5" s="1"/>
  <c r="BB142" i="5" s="1"/>
  <c r="BB144" i="5" s="1"/>
  <c r="BB129" i="5"/>
  <c r="BB133" i="5" s="1"/>
  <c r="BB135" i="5" s="1"/>
  <c r="BL178" i="5"/>
  <c r="BK180" i="5"/>
  <c r="BK23" i="6"/>
  <c r="BK24" i="6" s="1"/>
  <c r="BG45" i="6"/>
  <c r="BG42" i="6"/>
  <c r="BI38" i="6"/>
  <c r="BI41" i="6"/>
  <c r="BJ26" i="6"/>
  <c r="BM135" i="5"/>
  <c r="BM176" i="5"/>
  <c r="BN174" i="5"/>
  <c r="BN176" i="5" s="1"/>
  <c r="BH45" i="6"/>
  <c r="BH42" i="6"/>
  <c r="BF46" i="6"/>
  <c r="BF48" i="6"/>
  <c r="BF49" i="6" s="1"/>
  <c r="BM126" i="5"/>
  <c r="BN124" i="5"/>
  <c r="BN126" i="5" s="1"/>
  <c r="BM144" i="5"/>
  <c r="BC180" i="5" l="1"/>
  <c r="BN133" i="5"/>
  <c r="BN135" i="5" s="1"/>
  <c r="BD37" i="6"/>
  <c r="BD38" i="6" s="1"/>
  <c r="BB146" i="5"/>
  <c r="BB178" i="5" s="1"/>
  <c r="BB180" i="5" s="1"/>
  <c r="BC27" i="6"/>
  <c r="BC37" i="6"/>
  <c r="BN142" i="5"/>
  <c r="BN144" i="5" s="1"/>
  <c r="BE41" i="6"/>
  <c r="BE38" i="6"/>
  <c r="BM146" i="5"/>
  <c r="BM178" i="5" s="1"/>
  <c r="BF50" i="6"/>
  <c r="BF166" i="6" s="1"/>
  <c r="BF171" i="6"/>
  <c r="BF165" i="6"/>
  <c r="BF167" i="6" s="1"/>
  <c r="BF172" i="6" s="1"/>
  <c r="BH46" i="6"/>
  <c r="BH48" i="6"/>
  <c r="BH49" i="6" s="1"/>
  <c r="BK26" i="6"/>
  <c r="BJ37" i="6"/>
  <c r="BJ27" i="6"/>
  <c r="BI45" i="6"/>
  <c r="BI42" i="6"/>
  <c r="BG46" i="6"/>
  <c r="BG48" i="6"/>
  <c r="BG49" i="6" s="1"/>
  <c r="BL23" i="6"/>
  <c r="BL24" i="6" s="1"/>
  <c r="BL180" i="5"/>
  <c r="BN146" i="5" l="1"/>
  <c r="BN178" i="5" s="1"/>
  <c r="BN23" i="6" s="1"/>
  <c r="BN24" i="6" s="1"/>
  <c r="BD41" i="6"/>
  <c r="BD42" i="6" s="1"/>
  <c r="BB23" i="6"/>
  <c r="BB24" i="6" s="1"/>
  <c r="BB26" i="6" s="1"/>
  <c r="BB27" i="6" s="1"/>
  <c r="BE45" i="6"/>
  <c r="BE42" i="6"/>
  <c r="BC38" i="6"/>
  <c r="BC41" i="6"/>
  <c r="BH165" i="6"/>
  <c r="BH167" i="6" s="1"/>
  <c r="BH172" i="6" s="1"/>
  <c r="BH171" i="6"/>
  <c r="BH50" i="6"/>
  <c r="BH166" i="6" s="1"/>
  <c r="BG165" i="6"/>
  <c r="BG167" i="6" s="1"/>
  <c r="BG172" i="6" s="1"/>
  <c r="BG50" i="6"/>
  <c r="BG166" i="6" s="1"/>
  <c r="BG171" i="6"/>
  <c r="BJ41" i="6"/>
  <c r="BJ38" i="6"/>
  <c r="BM23" i="6"/>
  <c r="BM24" i="6" s="1"/>
  <c r="BM180" i="5"/>
  <c r="BL26" i="6"/>
  <c r="BI48" i="6"/>
  <c r="BI49" i="6" s="1"/>
  <c r="BI46" i="6"/>
  <c r="BK37" i="6"/>
  <c r="BK27" i="6"/>
  <c r="BN180" i="5" l="1"/>
  <c r="BD45" i="6"/>
  <c r="BD46" i="6" s="1"/>
  <c r="BB37" i="6"/>
  <c r="BB38" i="6" s="1"/>
  <c r="BC42" i="6"/>
  <c r="BC45" i="6"/>
  <c r="BE48" i="6"/>
  <c r="BE49" i="6" s="1"/>
  <c r="BE46" i="6"/>
  <c r="BI171" i="6"/>
  <c r="BI165" i="6"/>
  <c r="BI167" i="6" s="1"/>
  <c r="BI172" i="6" s="1"/>
  <c r="BI50" i="6"/>
  <c r="BI166" i="6" s="1"/>
  <c r="BN26" i="6"/>
  <c r="BK41" i="6"/>
  <c r="BK38" i="6"/>
  <c r="BM26" i="6"/>
  <c r="BL37" i="6"/>
  <c r="BL27" i="6"/>
  <c r="BJ45" i="6"/>
  <c r="BJ42" i="6"/>
  <c r="BD48" i="6" l="1"/>
  <c r="BD49" i="6" s="1"/>
  <c r="BD165" i="6" s="1"/>
  <c r="BD167" i="6" s="1"/>
  <c r="BD172" i="6" s="1"/>
  <c r="BB41" i="6"/>
  <c r="BB42" i="6" s="1"/>
  <c r="BE165" i="6"/>
  <c r="BE167" i="6" s="1"/>
  <c r="BE172" i="6" s="1"/>
  <c r="BE50" i="6"/>
  <c r="BE166" i="6" s="1"/>
  <c r="BE171" i="6"/>
  <c r="BC46" i="6"/>
  <c r="BC48" i="6"/>
  <c r="BC49" i="6" s="1"/>
  <c r="BL41" i="6"/>
  <c r="BL38" i="6"/>
  <c r="BK45" i="6"/>
  <c r="BK42" i="6"/>
  <c r="BJ48" i="6"/>
  <c r="BJ49" i="6" s="1"/>
  <c r="BJ46" i="6"/>
  <c r="BM37" i="6"/>
  <c r="BM27" i="6"/>
  <c r="BN27" i="6"/>
  <c r="BN37" i="6"/>
  <c r="BD50" i="6" l="1"/>
  <c r="BD166" i="6" s="1"/>
  <c r="BD171" i="6"/>
  <c r="BB45" i="6"/>
  <c r="BB48" i="6" s="1"/>
  <c r="BB49" i="6" s="1"/>
  <c r="BC171" i="6"/>
  <c r="BC165" i="6"/>
  <c r="BC167" i="6" s="1"/>
  <c r="BC172" i="6" s="1"/>
  <c r="BC50" i="6"/>
  <c r="BC166" i="6" s="1"/>
  <c r="BN41" i="6"/>
  <c r="BN38" i="6"/>
  <c r="BK48" i="6"/>
  <c r="BK49" i="6" s="1"/>
  <c r="BK46" i="6"/>
  <c r="BJ50" i="6"/>
  <c r="BJ166" i="6" s="1"/>
  <c r="BJ171" i="6"/>
  <c r="BJ165" i="6"/>
  <c r="BJ167" i="6" s="1"/>
  <c r="BJ172" i="6" s="1"/>
  <c r="BL45" i="6"/>
  <c r="BL42" i="6"/>
  <c r="BM41" i="6"/>
  <c r="BM38" i="6"/>
  <c r="BB46" i="6" l="1"/>
  <c r="BB50" i="6"/>
  <c r="BB166" i="6" s="1"/>
  <c r="BB171" i="6"/>
  <c r="BB165" i="6"/>
  <c r="BB167" i="6" s="1"/>
  <c r="BB172" i="6" s="1"/>
  <c r="BK171" i="6"/>
  <c r="BK50" i="6"/>
  <c r="BK166" i="6" s="1"/>
  <c r="BK165" i="6"/>
  <c r="BK167" i="6" s="1"/>
  <c r="BK172" i="6" s="1"/>
  <c r="BM45" i="6"/>
  <c r="BM42" i="6"/>
  <c r="BL48" i="6"/>
  <c r="BL49" i="6" s="1"/>
  <c r="BL46" i="6"/>
  <c r="BN42" i="6"/>
  <c r="BN45" i="6"/>
  <c r="BL171" i="6" l="1"/>
  <c r="BL165" i="6"/>
  <c r="BL167" i="6" s="1"/>
  <c r="BL172" i="6" s="1"/>
  <c r="BL50" i="6"/>
  <c r="BL166" i="6" s="1"/>
  <c r="BN48" i="6"/>
  <c r="BN49" i="6" s="1"/>
  <c r="BN46" i="6"/>
  <c r="BM46" i="6"/>
  <c r="BM48" i="6"/>
  <c r="BM49" i="6" s="1"/>
  <c r="BM50" i="6" l="1"/>
  <c r="BM166" i="6" s="1"/>
  <c r="BM171" i="6"/>
  <c r="BM165" i="6"/>
  <c r="BM167" i="6" s="1"/>
  <c r="BM172" i="6" s="1"/>
  <c r="BN50" i="6"/>
  <c r="BN166" i="6" s="1"/>
  <c r="BN171" i="6"/>
  <c r="BN165" i="6"/>
  <c r="BN167" i="6" s="1"/>
  <c r="BN172" i="6" s="1"/>
  <c r="N184" i="5" l="1"/>
  <c r="N31" i="6" s="1"/>
  <c r="M184" i="5"/>
  <c r="L184" i="5"/>
  <c r="L31" i="6" s="1"/>
  <c r="K184" i="5"/>
  <c r="K31" i="6" s="1"/>
  <c r="M31" i="6" l="1"/>
  <c r="C76" i="7"/>
  <c r="D16" i="7" l="1"/>
  <c r="J184" i="5"/>
  <c r="J31" i="6" s="1"/>
  <c r="I219" i="3"/>
  <c r="H219" i="3" s="1"/>
  <c r="G219" i="3" s="1"/>
  <c r="D19" i="7" l="1"/>
  <c r="E19" i="7" s="1"/>
  <c r="D17" i="7"/>
  <c r="E17" i="7" s="1"/>
  <c r="D18" i="7"/>
  <c r="E18" i="7" s="1"/>
  <c r="E16" i="7"/>
  <c r="N49" i="10" l="1"/>
  <c r="M49" i="10"/>
  <c r="T106" i="5" l="1"/>
  <c r="T178" i="5" s="1"/>
  <c r="T180" i="5" s="1"/>
  <c r="P49" i="10"/>
  <c r="V106" i="5" s="1"/>
  <c r="V178" i="5" s="1"/>
  <c r="V180" i="5" s="1"/>
  <c r="V23" i="6" l="1"/>
  <c r="T23" i="6"/>
  <c r="O49" i="10"/>
  <c r="Q49" i="10"/>
  <c r="V24" i="6" l="1"/>
  <c r="V26" i="6" s="1"/>
  <c r="V27" i="6" s="1"/>
  <c r="AC18" i="2"/>
  <c r="T24" i="6"/>
  <c r="P12" i="14" s="1"/>
  <c r="AA18" i="2"/>
  <c r="R49" i="10"/>
  <c r="P23" i="14" l="1"/>
  <c r="P75" i="14" s="1"/>
  <c r="Q12" i="14"/>
  <c r="R12" i="14" s="1"/>
  <c r="P26" i="14"/>
  <c r="P76" i="14" s="1"/>
  <c r="T26" i="6"/>
  <c r="T27" i="6" s="1"/>
  <c r="AA48" i="2"/>
  <c r="AA19" i="2"/>
  <c r="AA21" i="2" s="1"/>
  <c r="AA22" i="2" s="1"/>
  <c r="AC48" i="2"/>
  <c r="AC19" i="2"/>
  <c r="AC21" i="2" s="1"/>
  <c r="AC22" i="2" s="1"/>
  <c r="X106" i="5"/>
  <c r="X178" i="5" s="1"/>
  <c r="X180" i="5" s="1"/>
  <c r="S49" i="10"/>
  <c r="P78" i="14" l="1"/>
  <c r="P83" i="14" s="1"/>
  <c r="S12" i="14"/>
  <c r="R23" i="14"/>
  <c r="R75" i="14" s="1"/>
  <c r="R26" i="14"/>
  <c r="R76" i="14" s="1"/>
  <c r="Q26" i="14"/>
  <c r="Q76" i="14" s="1"/>
  <c r="Q23" i="14"/>
  <c r="Q75" i="14" s="1"/>
  <c r="P27" i="14"/>
  <c r="X23" i="6"/>
  <c r="T49" i="10"/>
  <c r="U49" i="10" s="1"/>
  <c r="Q78" i="14" l="1"/>
  <c r="Q83" i="14" s="1"/>
  <c r="R78" i="14"/>
  <c r="R83" i="14" s="1"/>
  <c r="P29" i="14"/>
  <c r="P42" i="14" s="1"/>
  <c r="R27" i="14"/>
  <c r="Q27" i="14"/>
  <c r="S26" i="14"/>
  <c r="S76" i="14" s="1"/>
  <c r="S23" i="14"/>
  <c r="S75" i="14" s="1"/>
  <c r="X24" i="6"/>
  <c r="AE18" i="2"/>
  <c r="Z106" i="5"/>
  <c r="Z178" i="5" s="1"/>
  <c r="Z180" i="5" s="1"/>
  <c r="AA178" i="5"/>
  <c r="AA180" i="5" s="1"/>
  <c r="V49" i="10"/>
  <c r="S78" i="14" l="1"/>
  <c r="S83" i="14" s="1"/>
  <c r="R29" i="14"/>
  <c r="R42" i="14" s="1"/>
  <c r="Q29" i="14"/>
  <c r="Q42" i="14" s="1"/>
  <c r="S27" i="14"/>
  <c r="X26" i="6"/>
  <c r="X27" i="6" s="1"/>
  <c r="T12" i="14"/>
  <c r="AE48" i="2"/>
  <c r="AE19" i="2"/>
  <c r="AE21" i="2" s="1"/>
  <c r="AE22" i="2" s="1"/>
  <c r="AA23" i="6"/>
  <c r="AH18" i="2" s="1"/>
  <c r="Z23" i="6"/>
  <c r="W49" i="10"/>
  <c r="AC106" i="5" s="1"/>
  <c r="AC178" i="5" s="1"/>
  <c r="AC180" i="5" s="1"/>
  <c r="S29" i="14" l="1"/>
  <c r="S42" i="14" s="1"/>
  <c r="U12" i="14"/>
  <c r="T26" i="14"/>
  <c r="T76" i="14" s="1"/>
  <c r="T23" i="14"/>
  <c r="T75" i="14" s="1"/>
  <c r="AH19" i="2"/>
  <c r="AH21" i="2" s="1"/>
  <c r="AH22" i="2" s="1"/>
  <c r="AH48" i="2"/>
  <c r="Z24" i="6"/>
  <c r="AG18" i="2"/>
  <c r="AC23" i="6"/>
  <c r="AA24" i="6"/>
  <c r="X49" i="10"/>
  <c r="T78" i="14" l="1"/>
  <c r="T83" i="14" s="1"/>
  <c r="T27" i="14"/>
  <c r="Z26" i="6"/>
  <c r="Z27" i="6" s="1"/>
  <c r="V12" i="14"/>
  <c r="U23" i="14"/>
  <c r="U75" i="14" s="1"/>
  <c r="U26" i="14"/>
  <c r="U76" i="14" s="1"/>
  <c r="AG48" i="2"/>
  <c r="AG19" i="2"/>
  <c r="AG21" i="2" s="1"/>
  <c r="AG22" i="2" s="1"/>
  <c r="AC24" i="6"/>
  <c r="AJ18" i="2"/>
  <c r="K123" i="6"/>
  <c r="AA26" i="6"/>
  <c r="AA190" i="5" s="1"/>
  <c r="Z190" i="5" s="1"/>
  <c r="V19" i="2"/>
  <c r="Y49" i="10"/>
  <c r="AE106" i="5" s="1"/>
  <c r="AE178" i="5" s="1"/>
  <c r="AE180" i="5" s="1"/>
  <c r="Y190" i="5" l="1"/>
  <c r="G14" i="8"/>
  <c r="U78" i="14"/>
  <c r="U83" i="14" s="1"/>
  <c r="T29" i="14"/>
  <c r="T42" i="14" s="1"/>
  <c r="AC26" i="6"/>
  <c r="AC27" i="6" s="1"/>
  <c r="X12" i="14"/>
  <c r="U27" i="14"/>
  <c r="V23" i="14"/>
  <c r="V75" i="14" s="1"/>
  <c r="V26" i="14"/>
  <c r="V76" i="14" s="1"/>
  <c r="K128" i="6"/>
  <c r="AH68" i="2" s="1"/>
  <c r="AH70" i="2" s="1"/>
  <c r="K138" i="6"/>
  <c r="K95" i="6" s="1"/>
  <c r="AJ19" i="2"/>
  <c r="AJ21" i="2" s="1"/>
  <c r="AJ22" i="2" s="1"/>
  <c r="AJ48" i="2"/>
  <c r="AE23" i="6"/>
  <c r="V21" i="2"/>
  <c r="V22" i="2" s="1"/>
  <c r="AA27" i="6"/>
  <c r="K135" i="6"/>
  <c r="K94" i="6" s="1"/>
  <c r="Z49" i="10"/>
  <c r="G18" i="8" l="1"/>
  <c r="G16" i="8"/>
  <c r="V78" i="14"/>
  <c r="V83" i="14" s="1"/>
  <c r="V27" i="14"/>
  <c r="V29" i="14" s="1"/>
  <c r="V42" i="14" s="1"/>
  <c r="U29" i="14"/>
  <c r="U42" i="14" s="1"/>
  <c r="X23" i="14"/>
  <c r="X75" i="14" s="1"/>
  <c r="X26" i="14"/>
  <c r="X76" i="14" s="1"/>
  <c r="Y12" i="14"/>
  <c r="AE24" i="6"/>
  <c r="AL18" i="2"/>
  <c r="K97" i="6"/>
  <c r="K102" i="6" s="1"/>
  <c r="AH59" i="2" s="1"/>
  <c r="AN190" i="5"/>
  <c r="AA35" i="6"/>
  <c r="AA36" i="6" s="1"/>
  <c r="AH25" i="2" s="1"/>
  <c r="K140" i="6"/>
  <c r="K142" i="6" s="1"/>
  <c r="K84" i="6"/>
  <c r="AA49" i="10"/>
  <c r="AG106" i="5" s="1"/>
  <c r="AG178" i="5" s="1"/>
  <c r="AG180" i="5" s="1"/>
  <c r="P79" i="2" l="1"/>
  <c r="X78" i="14"/>
  <c r="X83" i="14" s="1"/>
  <c r="W29" i="14"/>
  <c r="W42" i="14" s="1"/>
  <c r="V30" i="14"/>
  <c r="Z12" i="14"/>
  <c r="Z26" i="14" s="1"/>
  <c r="Z76" i="14" s="1"/>
  <c r="Y23" i="14"/>
  <c r="Y75" i="14" s="1"/>
  <c r="Y26" i="14"/>
  <c r="Y76" i="14" s="1"/>
  <c r="AE26" i="6"/>
  <c r="AE27" i="6" s="1"/>
  <c r="X27" i="14"/>
  <c r="AL48" i="2"/>
  <c r="AL19" i="2"/>
  <c r="AL21" i="2" s="1"/>
  <c r="AL22" i="2" s="1"/>
  <c r="AG23" i="6"/>
  <c r="Z35" i="6"/>
  <c r="Z36" i="6" s="1"/>
  <c r="AA37" i="6"/>
  <c r="AH28" i="2" s="1"/>
  <c r="AH29" i="2" s="1"/>
  <c r="AN35" i="6"/>
  <c r="AN36" i="6" s="1"/>
  <c r="AU25" i="2" s="1"/>
  <c r="BA190" i="5"/>
  <c r="AB190" i="5"/>
  <c r="K60" i="6"/>
  <c r="AH61" i="2" s="1"/>
  <c r="AB49" i="10"/>
  <c r="P77" i="2" l="1"/>
  <c r="J69" i="6"/>
  <c r="J165" i="6"/>
  <c r="Y78" i="14"/>
  <c r="Y83" i="14" s="1"/>
  <c r="AA12" i="14"/>
  <c r="AA23" i="14" s="1"/>
  <c r="AA75" i="14" s="1"/>
  <c r="X29" i="14"/>
  <c r="X42" i="14" s="1"/>
  <c r="Z23" i="14"/>
  <c r="Y27" i="14"/>
  <c r="Z37" i="6"/>
  <c r="AG28" i="2" s="1"/>
  <c r="AG29" i="2" s="1"/>
  <c r="AG25" i="2"/>
  <c r="AG24" i="6"/>
  <c r="AG26" i="6" s="1"/>
  <c r="AG27" i="6" s="1"/>
  <c r="AN18" i="2"/>
  <c r="M8" i="8"/>
  <c r="BN190" i="5"/>
  <c r="BB190" i="5" s="1"/>
  <c r="BC190" i="5" s="1"/>
  <c r="BD190" i="5" s="1"/>
  <c r="BE190" i="5" s="1"/>
  <c r="BF190" i="5" s="1"/>
  <c r="BG190" i="5" s="1"/>
  <c r="BH190" i="5" s="1"/>
  <c r="BI190" i="5" s="1"/>
  <c r="BJ190" i="5" s="1"/>
  <c r="BK190" i="5" s="1"/>
  <c r="BL190" i="5" s="1"/>
  <c r="BM190" i="5" s="1"/>
  <c r="AO190" i="5"/>
  <c r="BA35" i="6"/>
  <c r="BA36" i="6" s="1"/>
  <c r="BH25" i="2" s="1"/>
  <c r="X190" i="5"/>
  <c r="Y35" i="6"/>
  <c r="Y36" i="6" s="1"/>
  <c r="AC190" i="5"/>
  <c r="AB35" i="6"/>
  <c r="AB36" i="6" s="1"/>
  <c r="AA38" i="6"/>
  <c r="AA41" i="6"/>
  <c r="AC49" i="10"/>
  <c r="AI106" i="5" s="1"/>
  <c r="AI178" i="5" s="1"/>
  <c r="AI180" i="5" s="1"/>
  <c r="AA26" i="14" l="1"/>
  <c r="AA76" i="14" s="1"/>
  <c r="AA78" i="14" s="1"/>
  <c r="AA83" i="14" s="1"/>
  <c r="Z27" i="14"/>
  <c r="Z29" i="14" s="1"/>
  <c r="Z42" i="14" s="1"/>
  <c r="Z75" i="14"/>
  <c r="Z78" i="14" s="1"/>
  <c r="Z83" i="14" s="1"/>
  <c r="Y29" i="14"/>
  <c r="Y42" i="14" s="1"/>
  <c r="Z38" i="6"/>
  <c r="AB12" i="14"/>
  <c r="AB37" i="6"/>
  <c r="AI28" i="2" s="1"/>
  <c r="AI29" i="2" s="1"/>
  <c r="AI25" i="2"/>
  <c r="AN19" i="2"/>
  <c r="AN21" i="2" s="1"/>
  <c r="AN22" i="2" s="1"/>
  <c r="AN48" i="2"/>
  <c r="Y37" i="6"/>
  <c r="AF28" i="2" s="1"/>
  <c r="AF29" i="2" s="1"/>
  <c r="AF25" i="2"/>
  <c r="Z41" i="6"/>
  <c r="Z42" i="6" s="1"/>
  <c r="F8" i="9"/>
  <c r="F10" i="9" s="1"/>
  <c r="J167" i="6"/>
  <c r="M9" i="8"/>
  <c r="L11" i="8" s="1"/>
  <c r="AI23" i="6"/>
  <c r="BA37" i="6"/>
  <c r="BH28" i="2" s="1"/>
  <c r="BH29" i="2" s="1"/>
  <c r="X35" i="6"/>
  <c r="X36" i="6" s="1"/>
  <c r="W190" i="5"/>
  <c r="AA42" i="6"/>
  <c r="AA45" i="6"/>
  <c r="AC35" i="6"/>
  <c r="AC36" i="6" s="1"/>
  <c r="AD190" i="5"/>
  <c r="AP190" i="5"/>
  <c r="AO35" i="6"/>
  <c r="AO36" i="6" s="1"/>
  <c r="AD49" i="10"/>
  <c r="AB38" i="6" l="1"/>
  <c r="AA27" i="14"/>
  <c r="AA29" i="14" s="1"/>
  <c r="AA42" i="14" s="1"/>
  <c r="J172" i="6"/>
  <c r="G150" i="14"/>
  <c r="J71" i="6"/>
  <c r="G51" i="14"/>
  <c r="G53" i="14" s="1"/>
  <c r="Y38" i="6"/>
  <c r="Y41" i="6"/>
  <c r="Y45" i="6" s="1"/>
  <c r="AB41" i="6"/>
  <c r="AB45" i="6" s="1"/>
  <c r="Z45" i="6"/>
  <c r="Z48" i="6" s="1"/>
  <c r="Z49" i="6" s="1"/>
  <c r="V41" i="14" s="1"/>
  <c r="AC12" i="14"/>
  <c r="AB23" i="14"/>
  <c r="AB75" i="14" s="1"/>
  <c r="AB26" i="14"/>
  <c r="AB76" i="14" s="1"/>
  <c r="X37" i="6"/>
  <c r="AE28" i="2" s="1"/>
  <c r="AE29" i="2" s="1"/>
  <c r="AE25" i="2"/>
  <c r="AI24" i="6"/>
  <c r="AI26" i="6" s="1"/>
  <c r="AI27" i="6" s="1"/>
  <c r="AP18" i="2"/>
  <c r="AC37" i="6"/>
  <c r="AJ28" i="2" s="1"/>
  <c r="AJ29" i="2" s="1"/>
  <c r="AJ25" i="2"/>
  <c r="AO37" i="6"/>
  <c r="AV28" i="2" s="1"/>
  <c r="AV29" i="2" s="1"/>
  <c r="AV25" i="2"/>
  <c r="D21" i="9"/>
  <c r="AD35" i="6"/>
  <c r="AD36" i="6" s="1"/>
  <c r="AE190" i="5"/>
  <c r="W35" i="6"/>
  <c r="W36" i="6" s="1"/>
  <c r="V190" i="5"/>
  <c r="AA48" i="6"/>
  <c r="AA49" i="6" s="1"/>
  <c r="K171" i="6" s="1"/>
  <c r="AA46" i="6"/>
  <c r="BA38" i="6"/>
  <c r="BA41" i="6"/>
  <c r="AQ190" i="5"/>
  <c r="AP35" i="6"/>
  <c r="AP36" i="6" s="1"/>
  <c r="AE49" i="10"/>
  <c r="AK106" i="5" s="1"/>
  <c r="AK178" i="5" s="1"/>
  <c r="AK180" i="5" s="1"/>
  <c r="D22" i="9" l="1"/>
  <c r="D24" i="9" s="1"/>
  <c r="J157" i="6"/>
  <c r="K157" i="6" s="1"/>
  <c r="AB78" i="14"/>
  <c r="AB83" i="14" s="1"/>
  <c r="Y42" i="6"/>
  <c r="V154" i="14"/>
  <c r="V43" i="14"/>
  <c r="G155" i="14"/>
  <c r="H150" i="14"/>
  <c r="Z46" i="6"/>
  <c r="AB42" i="6"/>
  <c r="AB27" i="14"/>
  <c r="X41" i="6"/>
  <c r="X42" i="6" s="1"/>
  <c r="AD12" i="14"/>
  <c r="AC23" i="14"/>
  <c r="AC75" i="14" s="1"/>
  <c r="AC26" i="14"/>
  <c r="AC76" i="14" s="1"/>
  <c r="X38" i="6"/>
  <c r="AO38" i="6"/>
  <c r="AO41" i="6"/>
  <c r="AO42" i="6" s="1"/>
  <c r="D30" i="9"/>
  <c r="AC38" i="6"/>
  <c r="AD37" i="6"/>
  <c r="AK28" i="2" s="1"/>
  <c r="AK29" i="2" s="1"/>
  <c r="AK25" i="2"/>
  <c r="AP48" i="2"/>
  <c r="AP19" i="2"/>
  <c r="AP21" i="2" s="1"/>
  <c r="AP22" i="2" s="1"/>
  <c r="W37" i="6"/>
  <c r="AD28" i="2" s="1"/>
  <c r="AD29" i="2" s="1"/>
  <c r="AD25" i="2"/>
  <c r="AC41" i="6"/>
  <c r="AC45" i="6" s="1"/>
  <c r="AP37" i="6"/>
  <c r="AW28" i="2" s="1"/>
  <c r="AW29" i="2" s="1"/>
  <c r="AW25" i="2"/>
  <c r="Z50" i="6"/>
  <c r="AK23" i="6"/>
  <c r="AE35" i="6"/>
  <c r="AE36" i="6" s="1"/>
  <c r="AF190" i="5"/>
  <c r="AR190" i="5"/>
  <c r="AQ35" i="6"/>
  <c r="AQ36" i="6" s="1"/>
  <c r="BA45" i="6"/>
  <c r="BA42" i="6"/>
  <c r="U190" i="5"/>
  <c r="V35" i="6"/>
  <c r="V36" i="6" s="1"/>
  <c r="AA50" i="6"/>
  <c r="K59" i="6"/>
  <c r="K61" i="6" s="1"/>
  <c r="K166" i="6"/>
  <c r="AB46" i="6"/>
  <c r="AB48" i="6"/>
  <c r="AB49" i="6" s="1"/>
  <c r="W41" i="14" s="1"/>
  <c r="Y48" i="6"/>
  <c r="Y49" i="6" s="1"/>
  <c r="U41" i="14" s="1"/>
  <c r="Y46" i="6"/>
  <c r="AF49" i="10"/>
  <c r="K167" i="6" l="1"/>
  <c r="K172" i="6" s="1"/>
  <c r="K70" i="6" s="1"/>
  <c r="AC78" i="14"/>
  <c r="AC83" i="14" s="1"/>
  <c r="G144" i="14"/>
  <c r="G146" i="14" s="1"/>
  <c r="W154" i="14"/>
  <c r="W43" i="14"/>
  <c r="W55" i="14" s="1"/>
  <c r="U154" i="14"/>
  <c r="U43" i="14"/>
  <c r="U55" i="14" s="1"/>
  <c r="H155" i="14"/>
  <c r="I150" i="14"/>
  <c r="AB29" i="14"/>
  <c r="AB42" i="14" s="1"/>
  <c r="X45" i="6"/>
  <c r="X48" i="6" s="1"/>
  <c r="X49" i="6" s="1"/>
  <c r="T41" i="14" s="1"/>
  <c r="AC27" i="14"/>
  <c r="AD38" i="6"/>
  <c r="AP38" i="6"/>
  <c r="W41" i="6"/>
  <c r="W45" i="6" s="1"/>
  <c r="AO45" i="6"/>
  <c r="AO48" i="6" s="1"/>
  <c r="AO49" i="6" s="1"/>
  <c r="AE12" i="14"/>
  <c r="AD23" i="14"/>
  <c r="AD75" i="14" s="1"/>
  <c r="AD26" i="14"/>
  <c r="AD76" i="14" s="1"/>
  <c r="AD41" i="6"/>
  <c r="AD42" i="6" s="1"/>
  <c r="G9" i="9"/>
  <c r="G10" i="9" s="1"/>
  <c r="V144" i="14"/>
  <c r="J159" i="6"/>
  <c r="J105" i="6" s="1"/>
  <c r="W38" i="6"/>
  <c r="AC42" i="6"/>
  <c r="AP41" i="6"/>
  <c r="AP45" i="6" s="1"/>
  <c r="AQ37" i="6"/>
  <c r="AX28" i="2" s="1"/>
  <c r="AX29" i="2" s="1"/>
  <c r="AX25" i="2"/>
  <c r="V37" i="6"/>
  <c r="AC28" i="2" s="1"/>
  <c r="AC29" i="2" s="1"/>
  <c r="AC25" i="2"/>
  <c r="AE37" i="6"/>
  <c r="AL28" i="2" s="1"/>
  <c r="AL29" i="2" s="1"/>
  <c r="AL25" i="2"/>
  <c r="AK24" i="6"/>
  <c r="AK26" i="6" s="1"/>
  <c r="AK27" i="6" s="1"/>
  <c r="AR18" i="2"/>
  <c r="AB50" i="6"/>
  <c r="Y50" i="6"/>
  <c r="AC46" i="6"/>
  <c r="AC48" i="6"/>
  <c r="AC49" i="6" s="1"/>
  <c r="X41" i="14" s="1"/>
  <c r="BA46" i="6"/>
  <c r="BA48" i="6"/>
  <c r="BA49" i="6" s="1"/>
  <c r="U35" i="6"/>
  <c r="U36" i="6" s="1"/>
  <c r="T190" i="5"/>
  <c r="AS190" i="5"/>
  <c r="AR35" i="6"/>
  <c r="AR36" i="6" s="1"/>
  <c r="AF35" i="6"/>
  <c r="AF36" i="6" s="1"/>
  <c r="AG190" i="5"/>
  <c r="AG49" i="10"/>
  <c r="V150" i="14" l="1"/>
  <c r="V155" i="14" s="1"/>
  <c r="V52" i="14"/>
  <c r="H144" i="14"/>
  <c r="I144" i="14" s="1"/>
  <c r="J144" i="14" s="1"/>
  <c r="K144" i="14" s="1"/>
  <c r="L144" i="14" s="1"/>
  <c r="M144" i="14" s="1"/>
  <c r="N144" i="14" s="1"/>
  <c r="O144" i="14" s="1"/>
  <c r="P144" i="14" s="1"/>
  <c r="Q144" i="14" s="1"/>
  <c r="R144" i="14" s="1"/>
  <c r="S144" i="14" s="1"/>
  <c r="T144" i="14" s="1"/>
  <c r="U144" i="14" s="1"/>
  <c r="AD78" i="14"/>
  <c r="AD83" i="14" s="1"/>
  <c r="X46" i="6"/>
  <c r="T154" i="14"/>
  <c r="T43" i="14"/>
  <c r="T55" i="14" s="1"/>
  <c r="X154" i="14"/>
  <c r="X43" i="14"/>
  <c r="X55" i="14" s="1"/>
  <c r="AO50" i="6"/>
  <c r="AI41" i="14"/>
  <c r="AI154" i="14" s="1"/>
  <c r="I155" i="14"/>
  <c r="J150" i="14"/>
  <c r="G86" i="14"/>
  <c r="H146" i="14"/>
  <c r="G148" i="14"/>
  <c r="J161" i="6"/>
  <c r="W144" i="14"/>
  <c r="X144" i="14" s="1"/>
  <c r="Y144" i="14" s="1"/>
  <c r="Z144" i="14" s="1"/>
  <c r="AA144" i="14" s="1"/>
  <c r="AB144" i="14" s="1"/>
  <c r="AC144" i="14" s="1"/>
  <c r="AD144" i="14" s="1"/>
  <c r="AE144" i="14" s="1"/>
  <c r="AF144" i="14" s="1"/>
  <c r="AG144" i="14" s="1"/>
  <c r="V146" i="14"/>
  <c r="AC29" i="14"/>
  <c r="AC42" i="14" s="1"/>
  <c r="AP42" i="6"/>
  <c r="AD45" i="6"/>
  <c r="AD46" i="6" s="1"/>
  <c r="AO46" i="6"/>
  <c r="W42" i="6"/>
  <c r="AD27" i="14"/>
  <c r="AF12" i="14"/>
  <c r="AE23" i="14"/>
  <c r="AE75" i="14" s="1"/>
  <c r="AE26" i="14"/>
  <c r="AE76" i="14" s="1"/>
  <c r="L157" i="6"/>
  <c r="K159" i="6"/>
  <c r="K161" i="6" s="1"/>
  <c r="AQ38" i="6"/>
  <c r="K69" i="6"/>
  <c r="V41" i="6"/>
  <c r="V42" i="6" s="1"/>
  <c r="V38" i="6"/>
  <c r="AE38" i="6"/>
  <c r="AE41" i="6"/>
  <c r="AE42" i="6" s="1"/>
  <c r="AQ41" i="6"/>
  <c r="AQ42" i="6" s="1"/>
  <c r="AR19" i="2"/>
  <c r="AR21" i="2" s="1"/>
  <c r="AR22" i="2" s="1"/>
  <c r="AR48" i="2"/>
  <c r="U37" i="6"/>
  <c r="AB28" i="2" s="1"/>
  <c r="AB29" i="2" s="1"/>
  <c r="AB25" i="2"/>
  <c r="AR37" i="6"/>
  <c r="AY28" i="2" s="1"/>
  <c r="AY29" i="2" s="1"/>
  <c r="AY25" i="2"/>
  <c r="AF37" i="6"/>
  <c r="AM28" i="2" s="1"/>
  <c r="AM29" i="2" s="1"/>
  <c r="AM25" i="2"/>
  <c r="AC50" i="6"/>
  <c r="X50" i="6"/>
  <c r="AH74" i="2"/>
  <c r="AH49" i="10"/>
  <c r="AN106" i="5" s="1"/>
  <c r="AN178" i="5" s="1"/>
  <c r="AM106" i="5"/>
  <c r="AM178" i="5" s="1"/>
  <c r="AM180" i="5" s="1"/>
  <c r="AG35" i="6"/>
  <c r="AG36" i="6" s="1"/>
  <c r="AH190" i="5"/>
  <c r="W46" i="6"/>
  <c r="W48" i="6"/>
  <c r="W49" i="6" s="1"/>
  <c r="S41" i="14" s="1"/>
  <c r="S190" i="5"/>
  <c r="T35" i="6"/>
  <c r="T36" i="6" s="1"/>
  <c r="M59" i="6"/>
  <c r="M171" i="6"/>
  <c r="M166" i="6" s="1"/>
  <c r="M167" i="6" s="1"/>
  <c r="BA50" i="6"/>
  <c r="AP46" i="6"/>
  <c r="AP48" i="6"/>
  <c r="AP49" i="6" s="1"/>
  <c r="AT190" i="5"/>
  <c r="AS35" i="6"/>
  <c r="AS36" i="6" s="1"/>
  <c r="AE78" i="14" l="1"/>
  <c r="AE83" i="14" s="1"/>
  <c r="AP50" i="6"/>
  <c r="AJ41" i="14"/>
  <c r="S154" i="14"/>
  <c r="S43" i="14"/>
  <c r="S55" i="14" s="1"/>
  <c r="K150" i="14"/>
  <c r="J155" i="14"/>
  <c r="I146" i="14"/>
  <c r="H86" i="14"/>
  <c r="H148" i="14"/>
  <c r="K71" i="6"/>
  <c r="K73" i="6" s="1"/>
  <c r="V51" i="14"/>
  <c r="V53" i="14" s="1"/>
  <c r="V55" i="14" s="1"/>
  <c r="W146" i="14"/>
  <c r="V86" i="14"/>
  <c r="V148" i="14"/>
  <c r="I9" i="9"/>
  <c r="I10" i="9" s="1"/>
  <c r="AT150" i="14"/>
  <c r="AT155" i="14" s="1"/>
  <c r="L69" i="6"/>
  <c r="AH51" i="14" s="1"/>
  <c r="AH144" i="14"/>
  <c r="AD29" i="14"/>
  <c r="AD42" i="14" s="1"/>
  <c r="AD48" i="6"/>
  <c r="AD49" i="6" s="1"/>
  <c r="Y41" i="14" s="1"/>
  <c r="V45" i="6"/>
  <c r="V48" i="6" s="1"/>
  <c r="V49" i="6" s="1"/>
  <c r="R41" i="14" s="1"/>
  <c r="AE27" i="14"/>
  <c r="AQ45" i="6"/>
  <c r="AQ48" i="6" s="1"/>
  <c r="AQ49" i="6" s="1"/>
  <c r="AG12" i="14"/>
  <c r="AF23" i="14"/>
  <c r="AF75" i="14" s="1"/>
  <c r="AF26" i="14"/>
  <c r="AF76" i="14" s="1"/>
  <c r="K105" i="6"/>
  <c r="AE45" i="6"/>
  <c r="AE46" i="6" s="1"/>
  <c r="L159" i="6"/>
  <c r="M157" i="6"/>
  <c r="M69" i="6" s="1"/>
  <c r="AR41" i="6"/>
  <c r="AR45" i="6" s="1"/>
  <c r="U38" i="6"/>
  <c r="AF38" i="6"/>
  <c r="AF41" i="6"/>
  <c r="AF42" i="6" s="1"/>
  <c r="U41" i="6"/>
  <c r="U42" i="6" s="1"/>
  <c r="AR38" i="6"/>
  <c r="AG37" i="6"/>
  <c r="AN28" i="2" s="1"/>
  <c r="AN29" i="2" s="1"/>
  <c r="AN25" i="2"/>
  <c r="T37" i="6"/>
  <c r="AA28" i="2" s="1"/>
  <c r="AA29" i="2" s="1"/>
  <c r="AA25" i="2"/>
  <c r="AN23" i="6"/>
  <c r="AU18" i="2" s="1"/>
  <c r="AN180" i="5"/>
  <c r="AS37" i="6"/>
  <c r="AZ28" i="2" s="1"/>
  <c r="AZ29" i="2" s="1"/>
  <c r="AZ25" i="2"/>
  <c r="W50" i="6"/>
  <c r="AM23" i="6"/>
  <c r="M172" i="6"/>
  <c r="M70" i="6" s="1"/>
  <c r="AT52" i="14" s="1"/>
  <c r="R190" i="5"/>
  <c r="S35" i="6"/>
  <c r="S36" i="6" s="1"/>
  <c r="AU190" i="5"/>
  <c r="AT35" i="6"/>
  <c r="AT36" i="6" s="1"/>
  <c r="AI190" i="5"/>
  <c r="AH35" i="6"/>
  <c r="AH36" i="6" s="1"/>
  <c r="BH74" i="2" l="1"/>
  <c r="V46" i="6"/>
  <c r="AF78" i="14"/>
  <c r="AF83" i="14" s="1"/>
  <c r="AE48" i="6"/>
  <c r="AE49" i="6" s="1"/>
  <c r="Z41" i="14" s="1"/>
  <c r="Z154" i="14" s="1"/>
  <c r="AD50" i="6"/>
  <c r="AJ154" i="14"/>
  <c r="AJ43" i="14"/>
  <c r="AJ55" i="14" s="1"/>
  <c r="AQ50" i="6"/>
  <c r="AK41" i="14"/>
  <c r="R154" i="14"/>
  <c r="R43" i="14"/>
  <c r="R55" i="14" s="1"/>
  <c r="Y154" i="14"/>
  <c r="Y43" i="14"/>
  <c r="Y55" i="14" s="1"/>
  <c r="I86" i="14"/>
  <c r="J146" i="14"/>
  <c r="I148" i="14"/>
  <c r="L150" i="14"/>
  <c r="K155" i="14"/>
  <c r="W86" i="14"/>
  <c r="X146" i="14"/>
  <c r="W148" i="14"/>
  <c r="M159" i="6"/>
  <c r="M105" i="6" s="1"/>
  <c r="AT144" i="14"/>
  <c r="AT146" i="14" s="1"/>
  <c r="AH146" i="14"/>
  <c r="AI144" i="14"/>
  <c r="AJ144" i="14" s="1"/>
  <c r="AK144" i="14" s="1"/>
  <c r="AL144" i="14" s="1"/>
  <c r="AM144" i="14" s="1"/>
  <c r="AN144" i="14" s="1"/>
  <c r="AO144" i="14" s="1"/>
  <c r="AP144" i="14" s="1"/>
  <c r="AQ144" i="14" s="1"/>
  <c r="AR144" i="14" s="1"/>
  <c r="AS144" i="14" s="1"/>
  <c r="AE29" i="14"/>
  <c r="AE42" i="14" s="1"/>
  <c r="AQ46" i="6"/>
  <c r="AR42" i="6"/>
  <c r="AF27" i="14"/>
  <c r="AG23" i="14"/>
  <c r="AG75" i="14" s="1"/>
  <c r="AG26" i="14"/>
  <c r="AG76" i="14" s="1"/>
  <c r="AG41" i="6"/>
  <c r="AG45" i="6" s="1"/>
  <c r="L161" i="6"/>
  <c r="L105" i="6"/>
  <c r="AF45" i="6"/>
  <c r="AF48" i="6" s="1"/>
  <c r="AF49" i="6" s="1"/>
  <c r="AA41" i="14" s="1"/>
  <c r="AG38" i="6"/>
  <c r="U45" i="6"/>
  <c r="U48" i="6" s="1"/>
  <c r="U49" i="6" s="1"/>
  <c r="Q41" i="14" s="1"/>
  <c r="T38" i="6"/>
  <c r="AS38" i="6"/>
  <c r="AM24" i="6"/>
  <c r="AM26" i="6" s="1"/>
  <c r="AM27" i="6" s="1"/>
  <c r="AT18" i="2"/>
  <c r="AU48" i="2"/>
  <c r="AU19" i="2"/>
  <c r="AU21" i="2" s="1"/>
  <c r="AU22" i="2" s="1"/>
  <c r="AH37" i="6"/>
  <c r="AO28" i="2" s="1"/>
  <c r="AO29" i="2" s="1"/>
  <c r="AO25" i="2"/>
  <c r="T41" i="6"/>
  <c r="T45" i="6" s="1"/>
  <c r="AT37" i="6"/>
  <c r="BA28" i="2" s="1"/>
  <c r="BA29" i="2" s="1"/>
  <c r="BA25" i="2"/>
  <c r="S37" i="6"/>
  <c r="Z28" i="2" s="1"/>
  <c r="Z29" i="2" s="1"/>
  <c r="Z25" i="2"/>
  <c r="AS41" i="6"/>
  <c r="AS42" i="6" s="1"/>
  <c r="AN24" i="6"/>
  <c r="AN26" i="6" s="1"/>
  <c r="V50" i="6"/>
  <c r="W19" i="2"/>
  <c r="R35" i="6"/>
  <c r="R36" i="6" s="1"/>
  <c r="Q190" i="5"/>
  <c r="P190" i="5" s="1"/>
  <c r="O190" i="5" s="1"/>
  <c r="M190" i="5" s="1"/>
  <c r="L190" i="5" s="1"/>
  <c r="K190" i="5" s="1"/>
  <c r="J190" i="5" s="1"/>
  <c r="N190" i="5" s="1"/>
  <c r="AU35" i="6"/>
  <c r="AU36" i="6" s="1"/>
  <c r="AV190" i="5"/>
  <c r="AR46" i="6"/>
  <c r="AR48" i="6"/>
  <c r="AR49" i="6" s="1"/>
  <c r="AI35" i="6"/>
  <c r="AI36" i="6" s="1"/>
  <c r="AJ190" i="5"/>
  <c r="AG78" i="14" l="1"/>
  <c r="AG83" i="14" s="1"/>
  <c r="AE50" i="6"/>
  <c r="Z43" i="14"/>
  <c r="Z55" i="14" s="1"/>
  <c r="AR50" i="6"/>
  <c r="AL41" i="14"/>
  <c r="Q154" i="14"/>
  <c r="Q43" i="14"/>
  <c r="Q55" i="14" s="1"/>
  <c r="AK154" i="14"/>
  <c r="AK43" i="14"/>
  <c r="AK55" i="14" s="1"/>
  <c r="AA154" i="14"/>
  <c r="AA43" i="14"/>
  <c r="AA55" i="14" s="1"/>
  <c r="J86" i="14"/>
  <c r="J148" i="14"/>
  <c r="K146" i="14"/>
  <c r="M150" i="14"/>
  <c r="L155" i="14"/>
  <c r="M161" i="6"/>
  <c r="X86" i="14"/>
  <c r="Y146" i="14"/>
  <c r="X148" i="14"/>
  <c r="AT86" i="14"/>
  <c r="AT148" i="14"/>
  <c r="AH86" i="14"/>
  <c r="AI146" i="14"/>
  <c r="AH148" i="14"/>
  <c r="M71" i="6"/>
  <c r="AT51" i="14"/>
  <c r="AT53" i="14" s="1"/>
  <c r="AF29" i="14"/>
  <c r="AF42" i="14" s="1"/>
  <c r="AG42" i="6"/>
  <c r="U46" i="6"/>
  <c r="AF46" i="6"/>
  <c r="AG27" i="14"/>
  <c r="AH12" i="14"/>
  <c r="AH41" i="6"/>
  <c r="AH45" i="6" s="1"/>
  <c r="AT41" i="6"/>
  <c r="AT45" i="6" s="1"/>
  <c r="T42" i="6"/>
  <c r="L123" i="6"/>
  <c r="L135" i="6" s="1"/>
  <c r="L94" i="6" s="1"/>
  <c r="S38" i="6"/>
  <c r="AS45" i="6"/>
  <c r="AS46" i="6" s="1"/>
  <c r="AH38" i="6"/>
  <c r="S41" i="6"/>
  <c r="S42" i="6" s="1"/>
  <c r="AU37" i="6"/>
  <c r="BB28" i="2" s="1"/>
  <c r="BB29" i="2" s="1"/>
  <c r="BB25" i="2"/>
  <c r="AT48" i="2"/>
  <c r="AT19" i="2"/>
  <c r="AT21" i="2" s="1"/>
  <c r="AT22" i="2" s="1"/>
  <c r="AT38" i="6"/>
  <c r="AI37" i="6"/>
  <c r="AP28" i="2" s="1"/>
  <c r="AP29" i="2" s="1"/>
  <c r="AP25" i="2"/>
  <c r="R37" i="6"/>
  <c r="Y28" i="2" s="1"/>
  <c r="Y29" i="2" s="1"/>
  <c r="Y25" i="2"/>
  <c r="AF50" i="6"/>
  <c r="U50" i="6"/>
  <c r="L128" i="6"/>
  <c r="AU68" i="2" s="1"/>
  <c r="AU70" i="2" s="1"/>
  <c r="AN27" i="6"/>
  <c r="AN37" i="6"/>
  <c r="AU28" i="2" s="1"/>
  <c r="AU29" i="2" s="1"/>
  <c r="W21" i="2"/>
  <c r="W22" i="2" s="1"/>
  <c r="AV35" i="6"/>
  <c r="AV36" i="6" s="1"/>
  <c r="AW190" i="5"/>
  <c r="AJ35" i="6"/>
  <c r="AJ36" i="6" s="1"/>
  <c r="AK190" i="5"/>
  <c r="Q35" i="6"/>
  <c r="Q36" i="6" s="1"/>
  <c r="T48" i="6"/>
  <c r="T49" i="6" s="1"/>
  <c r="P41" i="14" s="1"/>
  <c r="T46" i="6"/>
  <c r="AG48" i="6"/>
  <c r="AG49" i="6" s="1"/>
  <c r="AG46" i="6"/>
  <c r="AL154" i="14" l="1"/>
  <c r="AL43" i="14"/>
  <c r="AL55" i="14" s="1"/>
  <c r="AG50" i="6"/>
  <c r="AB41" i="14"/>
  <c r="P154" i="14"/>
  <c r="P43" i="14"/>
  <c r="P55" i="14" s="1"/>
  <c r="N150" i="14"/>
  <c r="M155" i="14"/>
  <c r="K86" i="14"/>
  <c r="L146" i="14"/>
  <c r="K148" i="14"/>
  <c r="Y86" i="14"/>
  <c r="Z146" i="14"/>
  <c r="Y148" i="14"/>
  <c r="AI86" i="14"/>
  <c r="AJ146" i="14"/>
  <c r="AI148" i="14"/>
  <c r="AG29" i="14"/>
  <c r="AG42" i="14" s="1"/>
  <c r="AH42" i="6"/>
  <c r="AU41" i="6"/>
  <c r="AU42" i="6" s="1"/>
  <c r="L138" i="6"/>
  <c r="L95" i="6" s="1"/>
  <c r="L97" i="6" s="1"/>
  <c r="L102" i="6" s="1"/>
  <c r="AU59" i="2" s="1"/>
  <c r="AH23" i="14"/>
  <c r="AH75" i="14" s="1"/>
  <c r="AH26" i="14"/>
  <c r="AH76" i="14" s="1"/>
  <c r="AT42" i="6"/>
  <c r="S45" i="6"/>
  <c r="S46" i="6" s="1"/>
  <c r="AI41" i="6"/>
  <c r="AI45" i="6" s="1"/>
  <c r="AU38" i="6"/>
  <c r="AI38" i="6"/>
  <c r="AS48" i="6"/>
  <c r="AS49" i="6" s="1"/>
  <c r="R38" i="6"/>
  <c r="R41" i="6"/>
  <c r="R42" i="6" s="1"/>
  <c r="Q37" i="6"/>
  <c r="X28" i="2" s="1"/>
  <c r="X29" i="2" s="1"/>
  <c r="X25" i="2"/>
  <c r="AJ37" i="6"/>
  <c r="AQ28" i="2" s="1"/>
  <c r="AQ29" i="2" s="1"/>
  <c r="AQ25" i="2"/>
  <c r="AV37" i="6"/>
  <c r="BC28" i="2" s="1"/>
  <c r="BC29" i="2" s="1"/>
  <c r="BC25" i="2"/>
  <c r="G28" i="7"/>
  <c r="T50" i="6"/>
  <c r="L84" i="6"/>
  <c r="AN41" i="6"/>
  <c r="AN38" i="6"/>
  <c r="AX190" i="5"/>
  <c r="AW35" i="6"/>
  <c r="AW36" i="6" s="1"/>
  <c r="AT48" i="6"/>
  <c r="AT49" i="6" s="1"/>
  <c r="AT46" i="6"/>
  <c r="AL190" i="5"/>
  <c r="AK35" i="6"/>
  <c r="AK36" i="6" s="1"/>
  <c r="P35" i="6"/>
  <c r="P36" i="6" s="1"/>
  <c r="AH48" i="6"/>
  <c r="AH49" i="6" s="1"/>
  <c r="AH46" i="6"/>
  <c r="AH78" i="14" l="1"/>
  <c r="AH83" i="14" s="1"/>
  <c r="AH50" i="6"/>
  <c r="AC41" i="14"/>
  <c r="AS50" i="6"/>
  <c r="AM41" i="14"/>
  <c r="AT50" i="6"/>
  <c r="AN41" i="14"/>
  <c r="AB154" i="14"/>
  <c r="AB43" i="14"/>
  <c r="AB55" i="14" s="1"/>
  <c r="L86" i="14"/>
  <c r="M146" i="14"/>
  <c r="L148" i="14"/>
  <c r="O150" i="14"/>
  <c r="N155" i="14"/>
  <c r="Z86" i="14"/>
  <c r="AA146" i="14"/>
  <c r="Z148" i="14"/>
  <c r="AJ86" i="14"/>
  <c r="AK146" i="14"/>
  <c r="AJ148" i="14"/>
  <c r="AU45" i="6"/>
  <c r="AU46" i="6" s="1"/>
  <c r="S48" i="6"/>
  <c r="S49" i="6" s="1"/>
  <c r="O41" i="14" s="1"/>
  <c r="L140" i="6"/>
  <c r="L142" i="6" s="1"/>
  <c r="L60" i="6" s="1"/>
  <c r="AU61" i="2" s="1"/>
  <c r="AJ38" i="6"/>
  <c r="AI42" i="6"/>
  <c r="AH27" i="14"/>
  <c r="Q38" i="6"/>
  <c r="R45" i="6"/>
  <c r="R46" i="6" s="1"/>
  <c r="AV41" i="6"/>
  <c r="AV45" i="6" s="1"/>
  <c r="P37" i="6"/>
  <c r="W28" i="2" s="1"/>
  <c r="W29" i="2" s="1"/>
  <c r="W25" i="2"/>
  <c r="AJ41" i="6"/>
  <c r="AJ42" i="6" s="1"/>
  <c r="AK37" i="6"/>
  <c r="AR28" i="2" s="1"/>
  <c r="AR29" i="2" s="1"/>
  <c r="AR25" i="2"/>
  <c r="AV38" i="6"/>
  <c r="Q41" i="6"/>
  <c r="Q45" i="6" s="1"/>
  <c r="AW37" i="6"/>
  <c r="BD28" i="2" s="1"/>
  <c r="BD29" i="2" s="1"/>
  <c r="BD25" i="2"/>
  <c r="AN42" i="6"/>
  <c r="AN45" i="6"/>
  <c r="AL35" i="6"/>
  <c r="AL36" i="6" s="1"/>
  <c r="AM190" i="5"/>
  <c r="AM35" i="6" s="1"/>
  <c r="AM36" i="6" s="1"/>
  <c r="AI46" i="6"/>
  <c r="AI48" i="6"/>
  <c r="AI49" i="6" s="1"/>
  <c r="O35" i="6"/>
  <c r="O36" i="6" s="1"/>
  <c r="AY190" i="5"/>
  <c r="AX35" i="6"/>
  <c r="AX36" i="6" s="1"/>
  <c r="S50" i="6" l="1"/>
  <c r="AU48" i="6"/>
  <c r="AU49" i="6" s="1"/>
  <c r="AU50" i="6" s="1"/>
  <c r="R48" i="6"/>
  <c r="R49" i="6" s="1"/>
  <c r="N41" i="14" s="1"/>
  <c r="N154" i="14" s="1"/>
  <c r="M142" i="6"/>
  <c r="M60" i="6" s="1"/>
  <c r="AN154" i="14"/>
  <c r="AN43" i="14"/>
  <c r="AN55" i="14" s="1"/>
  <c r="AC154" i="14"/>
  <c r="AC43" i="14"/>
  <c r="AC55" i="14" s="1"/>
  <c r="O154" i="14"/>
  <c r="O43" i="14"/>
  <c r="O55" i="14" s="1"/>
  <c r="AI50" i="6"/>
  <c r="AD41" i="14"/>
  <c r="AM154" i="14"/>
  <c r="AM43" i="14"/>
  <c r="AM55" i="14" s="1"/>
  <c r="M86" i="14"/>
  <c r="N146" i="14"/>
  <c r="M148" i="14"/>
  <c r="P150" i="14"/>
  <c r="O155" i="14"/>
  <c r="AA86" i="14"/>
  <c r="AB146" i="14"/>
  <c r="AA148" i="14"/>
  <c r="AK86" i="14"/>
  <c r="AL146" i="14"/>
  <c r="AK148" i="14"/>
  <c r="AI29" i="14"/>
  <c r="AI42" i="14" s="1"/>
  <c r="AI43" i="14" s="1"/>
  <c r="AI55" i="14" s="1"/>
  <c r="AH29" i="14"/>
  <c r="AH42" i="14" s="1"/>
  <c r="P38" i="6"/>
  <c r="AV42" i="6"/>
  <c r="AT30" i="14"/>
  <c r="AH30" i="14"/>
  <c r="P41" i="6"/>
  <c r="P42" i="6" s="1"/>
  <c r="Q42" i="6"/>
  <c r="AK38" i="6"/>
  <c r="AW38" i="6"/>
  <c r="AK41" i="6"/>
  <c r="AK42" i="6" s="1"/>
  <c r="AW41" i="6"/>
  <c r="AW45" i="6" s="1"/>
  <c r="AJ45" i="6"/>
  <c r="AJ46" i="6" s="1"/>
  <c r="AM37" i="6"/>
  <c r="AT28" i="2" s="1"/>
  <c r="AT29" i="2" s="1"/>
  <c r="AT25" i="2"/>
  <c r="AX37" i="6"/>
  <c r="BE28" i="2" s="1"/>
  <c r="BE29" i="2" s="1"/>
  <c r="BE25" i="2"/>
  <c r="O37" i="6"/>
  <c r="V28" i="2" s="1"/>
  <c r="V29" i="2" s="1"/>
  <c r="V25" i="2"/>
  <c r="AL37" i="6"/>
  <c r="AS28" i="2" s="1"/>
  <c r="AS29" i="2" s="1"/>
  <c r="AS25" i="2"/>
  <c r="AN48" i="6"/>
  <c r="AN49" i="6" s="1"/>
  <c r="AN46" i="6"/>
  <c r="M35" i="6"/>
  <c r="M36" i="6" s="1"/>
  <c r="T25" i="2" s="1"/>
  <c r="Q46" i="6"/>
  <c r="Q48" i="6"/>
  <c r="Q49" i="6" s="1"/>
  <c r="M41" i="14" s="1"/>
  <c r="AZ190" i="5"/>
  <c r="AZ35" i="6" s="1"/>
  <c r="AZ36" i="6" s="1"/>
  <c r="AY35" i="6"/>
  <c r="AY36" i="6" s="1"/>
  <c r="AV48" i="6"/>
  <c r="AV49" i="6" s="1"/>
  <c r="AV46" i="6"/>
  <c r="AO41" i="14" l="1"/>
  <c r="AO154" i="14" s="1"/>
  <c r="R50" i="6"/>
  <c r="N43" i="14"/>
  <c r="N55" i="14" s="1"/>
  <c r="M61" i="6"/>
  <c r="M73" i="6" s="1"/>
  <c r="BH61" i="2"/>
  <c r="AV50" i="6"/>
  <c r="AP41" i="14"/>
  <c r="M154" i="14"/>
  <c r="M43" i="14"/>
  <c r="M55" i="14" s="1"/>
  <c r="AD154" i="14"/>
  <c r="AD43" i="14"/>
  <c r="AD55" i="14" s="1"/>
  <c r="N86" i="14"/>
  <c r="O146" i="14"/>
  <c r="N148" i="14"/>
  <c r="Q150" i="14"/>
  <c r="P155" i="14"/>
  <c r="AB86" i="14"/>
  <c r="AC146" i="14"/>
  <c r="AB148" i="14"/>
  <c r="AL86" i="14"/>
  <c r="AM146" i="14"/>
  <c r="AL148" i="14"/>
  <c r="P45" i="6"/>
  <c r="P46" i="6" s="1"/>
  <c r="AJ48" i="6"/>
  <c r="AJ49" i="6" s="1"/>
  <c r="AK45" i="6"/>
  <c r="AK48" i="6" s="1"/>
  <c r="AK49" i="6" s="1"/>
  <c r="O38" i="6"/>
  <c r="AM38" i="6"/>
  <c r="AW42" i="6"/>
  <c r="AX38" i="6"/>
  <c r="AX41" i="6"/>
  <c r="AX45" i="6" s="1"/>
  <c r="AL41" i="6"/>
  <c r="AL42" i="6" s="1"/>
  <c r="AM41" i="6"/>
  <c r="AM45" i="6" s="1"/>
  <c r="AY37" i="6"/>
  <c r="BF28" i="2" s="1"/>
  <c r="BF29" i="2" s="1"/>
  <c r="BF25" i="2"/>
  <c r="AZ37" i="6"/>
  <c r="BG28" i="2" s="1"/>
  <c r="BG29" i="2" s="1"/>
  <c r="BG25" i="2"/>
  <c r="AL38" i="6"/>
  <c r="O41" i="6"/>
  <c r="O42" i="6" s="1"/>
  <c r="Q50" i="6"/>
  <c r="AN50" i="6"/>
  <c r="L59" i="6"/>
  <c r="L61" i="6" s="1"/>
  <c r="L171" i="6"/>
  <c r="L166" i="6" s="1"/>
  <c r="L167" i="6" s="1"/>
  <c r="AW48" i="6"/>
  <c r="AW49" i="6" s="1"/>
  <c r="AW46" i="6"/>
  <c r="M37" i="6"/>
  <c r="T28" i="2" s="1"/>
  <c r="L35" i="6"/>
  <c r="L36" i="6" s="1"/>
  <c r="S25" i="2" s="1"/>
  <c r="P48" i="6" l="1"/>
  <c r="P49" i="6" s="1"/>
  <c r="L41" i="14" s="1"/>
  <c r="L154" i="14" s="1"/>
  <c r="AO43" i="14"/>
  <c r="AO55" i="14" s="1"/>
  <c r="AJ50" i="6"/>
  <c r="AE41" i="14"/>
  <c r="AP154" i="14"/>
  <c r="AP43" i="14"/>
  <c r="AP55" i="14" s="1"/>
  <c r="AW50" i="6"/>
  <c r="AQ41" i="14"/>
  <c r="AK50" i="6"/>
  <c r="AF41" i="14"/>
  <c r="R150" i="14"/>
  <c r="Q155" i="14"/>
  <c r="O86" i="14"/>
  <c r="P146" i="14"/>
  <c r="O148" i="14"/>
  <c r="AC86" i="14"/>
  <c r="AD146" i="14"/>
  <c r="AC148" i="14"/>
  <c r="H9" i="9"/>
  <c r="H10" i="9" s="1"/>
  <c r="AH150" i="14"/>
  <c r="AH155" i="14" s="1"/>
  <c r="AM86" i="14"/>
  <c r="AN146" i="14"/>
  <c r="AM148" i="14"/>
  <c r="AK46" i="6"/>
  <c r="AX42" i="6"/>
  <c r="O45" i="6"/>
  <c r="O48" i="6" s="1"/>
  <c r="O49" i="6" s="1"/>
  <c r="K41" i="14" s="1"/>
  <c r="AL45" i="6"/>
  <c r="AL46" i="6" s="1"/>
  <c r="AZ41" i="6"/>
  <c r="AZ42" i="6" s="1"/>
  <c r="AM42" i="6"/>
  <c r="AY41" i="6"/>
  <c r="AY45" i="6" s="1"/>
  <c r="AY38" i="6"/>
  <c r="AZ38" i="6"/>
  <c r="L172" i="6"/>
  <c r="L70" i="6" s="1"/>
  <c r="L37" i="6"/>
  <c r="S28" i="2" s="1"/>
  <c r="AX48" i="6"/>
  <c r="AX49" i="6" s="1"/>
  <c r="AX46" i="6"/>
  <c r="K35" i="6"/>
  <c r="K36" i="6" s="1"/>
  <c r="R25" i="2" s="1"/>
  <c r="AM46" i="6"/>
  <c r="AM48" i="6"/>
  <c r="AM49" i="6" s="1"/>
  <c r="M38" i="6"/>
  <c r="T29" i="2"/>
  <c r="M41" i="6"/>
  <c r="P50" i="6" l="1"/>
  <c r="L43" i="14"/>
  <c r="L55" i="14" s="1"/>
  <c r="AX50" i="6"/>
  <c r="AR41" i="14"/>
  <c r="AQ154" i="14"/>
  <c r="AQ43" i="14"/>
  <c r="AQ55" i="14" s="1"/>
  <c r="K154" i="14"/>
  <c r="K43" i="14"/>
  <c r="K55" i="14" s="1"/>
  <c r="AF154" i="14"/>
  <c r="AF43" i="14"/>
  <c r="AF55" i="14" s="1"/>
  <c r="AE154" i="14"/>
  <c r="AE43" i="14"/>
  <c r="AE55" i="14" s="1"/>
  <c r="AZ45" i="6"/>
  <c r="AZ46" i="6" s="1"/>
  <c r="AM50" i="6"/>
  <c r="AH41" i="14"/>
  <c r="P86" i="14"/>
  <c r="P148" i="14"/>
  <c r="Q146" i="14"/>
  <c r="E12" i="9"/>
  <c r="S150" i="14"/>
  <c r="R155" i="14"/>
  <c r="AD86" i="14"/>
  <c r="AE146" i="14"/>
  <c r="AD148" i="14"/>
  <c r="L71" i="6"/>
  <c r="L73" i="6" s="1"/>
  <c r="AH52" i="14"/>
  <c r="AH53" i="14" s="1"/>
  <c r="AN86" i="14"/>
  <c r="AO146" i="14"/>
  <c r="AN148" i="14"/>
  <c r="O46" i="6"/>
  <c r="AL48" i="6"/>
  <c r="AL49" i="6" s="1"/>
  <c r="AY42" i="6"/>
  <c r="O50" i="6"/>
  <c r="AU74" i="2"/>
  <c r="E14" i="9"/>
  <c r="P74" i="2" s="1"/>
  <c r="E16" i="9"/>
  <c r="J35" i="6"/>
  <c r="J36" i="6" s="1"/>
  <c r="Q25" i="2" s="1"/>
  <c r="N35" i="6"/>
  <c r="N36" i="6" s="1"/>
  <c r="U25" i="2" s="1"/>
  <c r="K37" i="6"/>
  <c r="R28" i="2" s="1"/>
  <c r="AY46" i="6"/>
  <c r="AY48" i="6"/>
  <c r="AY49" i="6" s="1"/>
  <c r="M45" i="6"/>
  <c r="M42" i="6"/>
  <c r="L41" i="6"/>
  <c r="S29" i="2"/>
  <c r="L38" i="6"/>
  <c r="P72" i="2" l="1"/>
  <c r="G12" i="9"/>
  <c r="I12" i="9"/>
  <c r="H12" i="9"/>
  <c r="AZ48" i="6"/>
  <c r="AZ49" i="6" s="1"/>
  <c r="AZ50" i="6" s="1"/>
  <c r="AR154" i="14"/>
  <c r="AR43" i="14"/>
  <c r="AR55" i="14" s="1"/>
  <c r="AY50" i="6"/>
  <c r="AS41" i="14"/>
  <c r="AL50" i="6"/>
  <c r="AG41" i="14"/>
  <c r="AH154" i="14"/>
  <c r="AH43" i="14"/>
  <c r="AH55" i="14" s="1"/>
  <c r="P73" i="2"/>
  <c r="T150" i="14"/>
  <c r="S155" i="14"/>
  <c r="Q86" i="14"/>
  <c r="R146" i="14"/>
  <c r="Q148" i="14"/>
  <c r="AE86" i="14"/>
  <c r="AF146" i="14"/>
  <c r="AE148" i="14"/>
  <c r="AO86" i="14"/>
  <c r="AP146" i="14"/>
  <c r="AO148" i="14"/>
  <c r="K41" i="6"/>
  <c r="R29" i="2"/>
  <c r="K38" i="6"/>
  <c r="L45" i="6"/>
  <c r="L42" i="6"/>
  <c r="M46" i="6"/>
  <c r="M48" i="6"/>
  <c r="M49" i="6" s="1"/>
  <c r="J41" i="14" s="1"/>
  <c r="N37" i="6"/>
  <c r="U28" i="2" s="1"/>
  <c r="J37" i="6"/>
  <c r="Q28" i="2" s="1"/>
  <c r="Q29" i="2" s="1"/>
  <c r="AT41" i="14" l="1"/>
  <c r="AT154" i="14" s="1"/>
  <c r="AG154" i="14"/>
  <c r="AG43" i="14"/>
  <c r="AG55" i="14" s="1"/>
  <c r="AS154" i="14"/>
  <c r="AS43" i="14"/>
  <c r="AS55" i="14" s="1"/>
  <c r="U150" i="14"/>
  <c r="U155" i="14" s="1"/>
  <c r="T155" i="14"/>
  <c r="R86" i="14"/>
  <c r="R148" i="14"/>
  <c r="S146" i="14"/>
  <c r="AF86" i="14"/>
  <c r="AG146" i="14"/>
  <c r="AF148" i="14"/>
  <c r="AP86" i="14"/>
  <c r="AQ146" i="14"/>
  <c r="AP148" i="14"/>
  <c r="J43" i="14"/>
  <c r="J55" i="14" s="1"/>
  <c r="J154" i="14"/>
  <c r="M50" i="6"/>
  <c r="L48" i="6"/>
  <c r="L49" i="6" s="1"/>
  <c r="I41" i="14" s="1"/>
  <c r="L46" i="6"/>
  <c r="J41" i="6"/>
  <c r="J38" i="6"/>
  <c r="U29" i="2"/>
  <c r="N41" i="6"/>
  <c r="N38" i="6"/>
  <c r="K45" i="6"/>
  <c r="K42" i="6"/>
  <c r="AT43" i="14" l="1"/>
  <c r="AT55" i="14" s="1"/>
  <c r="S86" i="14"/>
  <c r="T146" i="14"/>
  <c r="S148" i="14"/>
  <c r="AG86" i="14"/>
  <c r="AG148" i="14"/>
  <c r="AQ86" i="14"/>
  <c r="AR146" i="14"/>
  <c r="AQ148" i="14"/>
  <c r="I43" i="14"/>
  <c r="I55" i="14" s="1"/>
  <c r="I154" i="14"/>
  <c r="L50" i="6"/>
  <c r="J45" i="6"/>
  <c r="J42" i="6"/>
  <c r="N45" i="6"/>
  <c r="N42" i="6"/>
  <c r="K46" i="6"/>
  <c r="K48" i="6"/>
  <c r="K49" i="6" s="1"/>
  <c r="H41" i="14" s="1"/>
  <c r="T86" i="14" l="1"/>
  <c r="T148" i="14"/>
  <c r="U146" i="14"/>
  <c r="AR86" i="14"/>
  <c r="AS146" i="14"/>
  <c r="AR148" i="14"/>
  <c r="H43" i="14"/>
  <c r="H55" i="14" s="1"/>
  <c r="H154" i="14"/>
  <c r="K50" i="6"/>
  <c r="N46" i="6"/>
  <c r="N48" i="6"/>
  <c r="N49" i="6" s="1"/>
  <c r="J46" i="6"/>
  <c r="J48" i="6"/>
  <c r="J49" i="6" s="1"/>
  <c r="G41" i="14" s="1"/>
  <c r="U148" i="14" l="1"/>
  <c r="U86" i="14"/>
  <c r="AS86" i="14"/>
  <c r="AS148" i="14"/>
  <c r="G43" i="14"/>
  <c r="G55" i="14" s="1"/>
  <c r="G57" i="14" s="1"/>
  <c r="G154" i="14"/>
  <c r="G156" i="14" s="1"/>
  <c r="J50" i="6"/>
  <c r="J171" i="6"/>
  <c r="N50" i="6"/>
  <c r="J59" i="6"/>
  <c r="J61" i="6" s="1"/>
  <c r="H56" i="14" l="1"/>
  <c r="H57" i="14" s="1"/>
  <c r="G63" i="14"/>
  <c r="G67" i="14" s="1"/>
  <c r="G72" i="14" s="1"/>
  <c r="H153" i="14"/>
  <c r="H156" i="14" s="1"/>
  <c r="G87" i="14"/>
  <c r="G88" i="14" s="1"/>
  <c r="G90" i="14" s="1"/>
  <c r="J73" i="6"/>
  <c r="J75" i="6" s="1"/>
  <c r="J173" i="6"/>
  <c r="J166" i="6"/>
  <c r="I153" i="14" l="1"/>
  <c r="I156" i="14" s="1"/>
  <c r="H87" i="14"/>
  <c r="H88" i="14" s="1"/>
  <c r="H90" i="14" s="1"/>
  <c r="G92" i="14"/>
  <c r="K74" i="6"/>
  <c r="K75" i="6" s="1"/>
  <c r="AH62" i="2" s="1"/>
  <c r="U62" i="2"/>
  <c r="I56" i="14"/>
  <c r="I57" i="14" s="1"/>
  <c r="H63" i="14"/>
  <c r="H67" i="14" s="1"/>
  <c r="H72" i="14" s="1"/>
  <c r="J82" i="6"/>
  <c r="J106" i="6"/>
  <c r="J107" i="6" s="1"/>
  <c r="K170" i="6"/>
  <c r="K173" i="6" s="1"/>
  <c r="H92" i="14" l="1"/>
  <c r="L74" i="6"/>
  <c r="L75" i="6" s="1"/>
  <c r="AU62" i="2" s="1"/>
  <c r="J56" i="14"/>
  <c r="J57" i="14" s="1"/>
  <c r="I63" i="14"/>
  <c r="I67" i="14" s="1"/>
  <c r="I72" i="14" s="1"/>
  <c r="J109" i="6"/>
  <c r="U60" i="2"/>
  <c r="K82" i="6"/>
  <c r="J86" i="6"/>
  <c r="J91" i="6" s="1"/>
  <c r="U58" i="2" s="1"/>
  <c r="U66" i="2" s="1"/>
  <c r="U65" i="2"/>
  <c r="J153" i="14"/>
  <c r="J156" i="14" s="1"/>
  <c r="I87" i="14"/>
  <c r="I88" i="14" s="1"/>
  <c r="I90" i="14" s="1"/>
  <c r="K106" i="6"/>
  <c r="K107" i="6" s="1"/>
  <c r="L170" i="6"/>
  <c r="L173" i="6" s="1"/>
  <c r="L82" i="6" l="1"/>
  <c r="AU65" i="2" s="1"/>
  <c r="M74" i="6"/>
  <c r="M75" i="6" s="1"/>
  <c r="M82" i="6" s="1"/>
  <c r="I92" i="14"/>
  <c r="J111" i="6"/>
  <c r="U64" i="2"/>
  <c r="K153" i="14"/>
  <c r="K156" i="14" s="1"/>
  <c r="J87" i="14"/>
  <c r="J88" i="14" s="1"/>
  <c r="J90" i="14" s="1"/>
  <c r="K109" i="6"/>
  <c r="AH60" i="2"/>
  <c r="K86" i="6"/>
  <c r="K91" i="6" s="1"/>
  <c r="AH58" i="2" s="1"/>
  <c r="AH65" i="2"/>
  <c r="K56" i="14"/>
  <c r="K57" i="14" s="1"/>
  <c r="J63" i="14"/>
  <c r="J67" i="14" s="1"/>
  <c r="J72" i="14" s="1"/>
  <c r="M170" i="6"/>
  <c r="M173" i="6" s="1"/>
  <c r="L106" i="6"/>
  <c r="L107" i="6" s="1"/>
  <c r="L86" i="6" l="1"/>
  <c r="L91" i="6" s="1"/>
  <c r="AU58" i="2" s="1"/>
  <c r="AU64" i="2" s="1"/>
  <c r="J92" i="14"/>
  <c r="BH62" i="2"/>
  <c r="AH64" i="2"/>
  <c r="AH66" i="2"/>
  <c r="K111" i="6"/>
  <c r="L109" i="6"/>
  <c r="AU60" i="2"/>
  <c r="L56" i="14"/>
  <c r="L57" i="14" s="1"/>
  <c r="K63" i="14"/>
  <c r="K67" i="14" s="1"/>
  <c r="K72" i="14" s="1"/>
  <c r="M86" i="6"/>
  <c r="M91" i="6" s="1"/>
  <c r="BH58" i="2" s="1"/>
  <c r="BH65" i="2"/>
  <c r="L153" i="14"/>
  <c r="L156" i="14" s="1"/>
  <c r="K87" i="14"/>
  <c r="K88" i="14" s="1"/>
  <c r="K90" i="14" s="1"/>
  <c r="M106" i="6"/>
  <c r="M107" i="6" s="1"/>
  <c r="BB170" i="6"/>
  <c r="BB173" i="6" s="1"/>
  <c r="BC170" i="6" s="1"/>
  <c r="BC173" i="6" s="1"/>
  <c r="BD170" i="6" s="1"/>
  <c r="BD173" i="6" s="1"/>
  <c r="BE170" i="6" s="1"/>
  <c r="BE173" i="6" s="1"/>
  <c r="BF170" i="6" s="1"/>
  <c r="BF173" i="6" s="1"/>
  <c r="BG170" i="6" s="1"/>
  <c r="BG173" i="6" s="1"/>
  <c r="BH170" i="6" s="1"/>
  <c r="BH173" i="6" s="1"/>
  <c r="BI170" i="6" s="1"/>
  <c r="BI173" i="6" s="1"/>
  <c r="BJ170" i="6" s="1"/>
  <c r="BJ173" i="6" s="1"/>
  <c r="BK170" i="6" s="1"/>
  <c r="BK173" i="6" s="1"/>
  <c r="BL170" i="6" s="1"/>
  <c r="BL173" i="6" s="1"/>
  <c r="BM170" i="6" s="1"/>
  <c r="BM173" i="6" s="1"/>
  <c r="BN170" i="6" s="1"/>
  <c r="BN173" i="6" s="1"/>
  <c r="BH66" i="2" l="1"/>
  <c r="AU66" i="2"/>
  <c r="L111" i="6"/>
  <c r="BB109" i="6" s="1"/>
  <c r="BH64" i="2"/>
  <c r="K92" i="14"/>
  <c r="M153" i="14"/>
  <c r="M156" i="14" s="1"/>
  <c r="L87" i="14"/>
  <c r="L88" i="14" s="1"/>
  <c r="L90" i="14" s="1"/>
  <c r="M56" i="14"/>
  <c r="M57" i="14" s="1"/>
  <c r="L63" i="14"/>
  <c r="L67" i="14" s="1"/>
  <c r="L72" i="14" s="1"/>
  <c r="M109" i="6"/>
  <c r="M111" i="6" s="1"/>
  <c r="BC109" i="6" s="1"/>
  <c r="BH60" i="2"/>
  <c r="L113" i="6" l="1"/>
  <c r="L92" i="14"/>
  <c r="N153" i="14"/>
  <c r="N156" i="14" s="1"/>
  <c r="M87" i="14"/>
  <c r="M88" i="14" s="1"/>
  <c r="M90" i="14" s="1"/>
  <c r="N56" i="14"/>
  <c r="N57" i="14" s="1"/>
  <c r="M63" i="14"/>
  <c r="M67" i="14" s="1"/>
  <c r="M72" i="14" s="1"/>
  <c r="M92" i="14" l="1"/>
  <c r="O56" i="14"/>
  <c r="O57" i="14" s="1"/>
  <c r="N63" i="14"/>
  <c r="N67" i="14" s="1"/>
  <c r="N72" i="14" s="1"/>
  <c r="O153" i="14"/>
  <c r="O156" i="14" s="1"/>
  <c r="N87" i="14"/>
  <c r="N88" i="14" s="1"/>
  <c r="N90" i="14" s="1"/>
  <c r="P153" i="14" l="1"/>
  <c r="P156" i="14" s="1"/>
  <c r="O87" i="14"/>
  <c r="O88" i="14" s="1"/>
  <c r="O90" i="14" s="1"/>
  <c r="N92" i="14"/>
  <c r="P56" i="14"/>
  <c r="P57" i="14" s="1"/>
  <c r="O63" i="14"/>
  <c r="O67" i="14" s="1"/>
  <c r="O72" i="14" s="1"/>
  <c r="Q56" i="14" l="1"/>
  <c r="Q57" i="14" s="1"/>
  <c r="P63" i="14"/>
  <c r="P67" i="14" s="1"/>
  <c r="P72" i="14" s="1"/>
  <c r="O92" i="14"/>
  <c r="Q153" i="14"/>
  <c r="Q156" i="14" s="1"/>
  <c r="P87" i="14"/>
  <c r="P88" i="14" s="1"/>
  <c r="P90" i="14" s="1"/>
  <c r="P92" i="14" l="1"/>
  <c r="R153" i="14"/>
  <c r="R156" i="14" s="1"/>
  <c r="Q87" i="14"/>
  <c r="Q88" i="14" s="1"/>
  <c r="Q90" i="14" s="1"/>
  <c r="R56" i="14"/>
  <c r="R57" i="14" s="1"/>
  <c r="Q63" i="14"/>
  <c r="Q67" i="14" s="1"/>
  <c r="Q72" i="14" s="1"/>
  <c r="Q92" i="14" l="1"/>
  <c r="S56" i="14"/>
  <c r="S57" i="14" s="1"/>
  <c r="R63" i="14"/>
  <c r="R67" i="14" s="1"/>
  <c r="R72" i="14" s="1"/>
  <c r="S153" i="14"/>
  <c r="S156" i="14" s="1"/>
  <c r="R87" i="14"/>
  <c r="R88" i="14" s="1"/>
  <c r="R90" i="14" s="1"/>
  <c r="R92" i="14" l="1"/>
  <c r="T153" i="14"/>
  <c r="T156" i="14" s="1"/>
  <c r="S87" i="14"/>
  <c r="S88" i="14" s="1"/>
  <c r="S90" i="14" s="1"/>
  <c r="T56" i="14"/>
  <c r="T57" i="14" s="1"/>
  <c r="S63" i="14"/>
  <c r="S67" i="14" s="1"/>
  <c r="S72" i="14" s="1"/>
  <c r="U153" i="14" l="1"/>
  <c r="U156" i="14" s="1"/>
  <c r="T87" i="14"/>
  <c r="T88" i="14" s="1"/>
  <c r="T90" i="14" s="1"/>
  <c r="U56" i="14"/>
  <c r="U57" i="14" s="1"/>
  <c r="T63" i="14"/>
  <c r="T67" i="14" s="1"/>
  <c r="T72" i="14" s="1"/>
  <c r="S92" i="14"/>
  <c r="T92" i="14" l="1"/>
  <c r="V56" i="14"/>
  <c r="V57" i="14" s="1"/>
  <c r="U63" i="14"/>
  <c r="U67" i="14" s="1"/>
  <c r="U72" i="14" s="1"/>
  <c r="V153" i="14"/>
  <c r="V156" i="14" s="1"/>
  <c r="U87" i="14"/>
  <c r="U88" i="14" s="1"/>
  <c r="U90" i="14" s="1"/>
  <c r="V87" i="14" l="1"/>
  <c r="V88" i="14" s="1"/>
  <c r="V90" i="14" s="1"/>
  <c r="W153" i="14"/>
  <c r="W156" i="14" s="1"/>
  <c r="U92" i="14"/>
  <c r="W56" i="14"/>
  <c r="W57" i="14" s="1"/>
  <c r="V63" i="14"/>
  <c r="V67" i="14" s="1"/>
  <c r="V72" i="14" s="1"/>
  <c r="V92" i="14" l="1"/>
  <c r="X153" i="14"/>
  <c r="X156" i="14" s="1"/>
  <c r="W87" i="14"/>
  <c r="W88" i="14" s="1"/>
  <c r="W90" i="14" s="1"/>
  <c r="X56" i="14"/>
  <c r="X57" i="14" s="1"/>
  <c r="W63" i="14"/>
  <c r="W67" i="14" s="1"/>
  <c r="W72" i="14" s="1"/>
  <c r="W92" i="14" l="1"/>
  <c r="Y56" i="14"/>
  <c r="Y57" i="14" s="1"/>
  <c r="X63" i="14"/>
  <c r="X67" i="14" s="1"/>
  <c r="X72" i="14" s="1"/>
  <c r="Y153" i="14"/>
  <c r="Y156" i="14" s="1"/>
  <c r="X87" i="14"/>
  <c r="X88" i="14" s="1"/>
  <c r="X90" i="14" s="1"/>
  <c r="Z153" i="14" l="1"/>
  <c r="Z156" i="14" s="1"/>
  <c r="Y87" i="14"/>
  <c r="Y88" i="14" s="1"/>
  <c r="Y90" i="14" s="1"/>
  <c r="X92" i="14"/>
  <c r="Y63" i="14"/>
  <c r="Y67" i="14" s="1"/>
  <c r="Y72" i="14" s="1"/>
  <c r="Z56" i="14"/>
  <c r="Z57" i="14" s="1"/>
  <c r="Y92" i="14" l="1"/>
  <c r="AA56" i="14"/>
  <c r="AA57" i="14" s="1"/>
  <c r="Z63" i="14"/>
  <c r="Z67" i="14" s="1"/>
  <c r="Z72" i="14" s="1"/>
  <c r="AA153" i="14"/>
  <c r="AA156" i="14" s="1"/>
  <c r="Z87" i="14"/>
  <c r="Z88" i="14" s="1"/>
  <c r="Z90" i="14" s="1"/>
  <c r="AB153" i="14" l="1"/>
  <c r="AB156" i="14" s="1"/>
  <c r="AA87" i="14"/>
  <c r="AA88" i="14" s="1"/>
  <c r="AA90" i="14" s="1"/>
  <c r="Z92" i="14"/>
  <c r="AB56" i="14"/>
  <c r="AB57" i="14" s="1"/>
  <c r="AA63" i="14"/>
  <c r="AA67" i="14" s="1"/>
  <c r="AA72" i="14" s="1"/>
  <c r="AB63" i="14" l="1"/>
  <c r="AB67" i="14" s="1"/>
  <c r="AB72" i="14" s="1"/>
  <c r="AC56" i="14"/>
  <c r="AC57" i="14" s="1"/>
  <c r="AA92" i="14"/>
  <c r="AB87" i="14"/>
  <c r="AB88" i="14" s="1"/>
  <c r="AB90" i="14" s="1"/>
  <c r="AC153" i="14"/>
  <c r="AC156" i="14" s="1"/>
  <c r="AD56" i="14" l="1"/>
  <c r="AD57" i="14" s="1"/>
  <c r="AC63" i="14"/>
  <c r="AC67" i="14" s="1"/>
  <c r="AC72" i="14" s="1"/>
  <c r="AC87" i="14"/>
  <c r="AC88" i="14" s="1"/>
  <c r="AC90" i="14" s="1"/>
  <c r="AD153" i="14"/>
  <c r="AD156" i="14" s="1"/>
  <c r="AB92" i="14"/>
  <c r="AE153" i="14" l="1"/>
  <c r="AE156" i="14" s="1"/>
  <c r="AD87" i="14"/>
  <c r="AD88" i="14" s="1"/>
  <c r="AD90" i="14" s="1"/>
  <c r="AC92" i="14"/>
  <c r="AE56" i="14"/>
  <c r="AE57" i="14" s="1"/>
  <c r="AD63" i="14"/>
  <c r="AD67" i="14" s="1"/>
  <c r="AD72" i="14" s="1"/>
  <c r="AF56" i="14" l="1"/>
  <c r="AF57" i="14" s="1"/>
  <c r="AE63" i="14"/>
  <c r="AE67" i="14" s="1"/>
  <c r="AE72" i="14" s="1"/>
  <c r="AD92" i="14"/>
  <c r="AF153" i="14"/>
  <c r="AF156" i="14" s="1"/>
  <c r="AE87" i="14"/>
  <c r="AE88" i="14" s="1"/>
  <c r="AE90" i="14" s="1"/>
  <c r="AE92" i="14" l="1"/>
  <c r="AG153" i="14"/>
  <c r="AG156" i="14" s="1"/>
  <c r="AF87" i="14"/>
  <c r="AF88" i="14" s="1"/>
  <c r="AF90" i="14" s="1"/>
  <c r="AF63" i="14"/>
  <c r="AF67" i="14" s="1"/>
  <c r="AF72" i="14" s="1"/>
  <c r="AG56" i="14"/>
  <c r="AG57" i="14" s="1"/>
  <c r="AF92" i="14" l="1"/>
  <c r="AH56" i="14"/>
  <c r="AH57" i="14" s="1"/>
  <c r="AG63" i="14"/>
  <c r="AG67" i="14" s="1"/>
  <c r="AG72" i="14" s="1"/>
  <c r="AG87" i="14"/>
  <c r="AG88" i="14" s="1"/>
  <c r="AG90" i="14" s="1"/>
  <c r="AH153" i="14"/>
  <c r="AH156" i="14" s="1"/>
  <c r="AI153" i="14" l="1"/>
  <c r="AI156" i="14" s="1"/>
  <c r="AH87" i="14"/>
  <c r="AH88" i="14" s="1"/>
  <c r="AH90" i="14" s="1"/>
  <c r="AG92" i="14"/>
  <c r="AI56" i="14"/>
  <c r="AI57" i="14" s="1"/>
  <c r="AH63" i="14"/>
  <c r="AH67" i="14" s="1"/>
  <c r="AH72" i="14" s="1"/>
  <c r="AI63" i="14" l="1"/>
  <c r="AI67" i="14" s="1"/>
  <c r="AI72" i="14" s="1"/>
  <c r="AJ56" i="14"/>
  <c r="AJ57" i="14" s="1"/>
  <c r="AH92" i="14"/>
  <c r="AJ153" i="14"/>
  <c r="AJ156" i="14" s="1"/>
  <c r="AI87" i="14"/>
  <c r="AI88" i="14" s="1"/>
  <c r="AI90" i="14" s="1"/>
  <c r="AK153" i="14" l="1"/>
  <c r="AK156" i="14" s="1"/>
  <c r="AJ87" i="14"/>
  <c r="AJ88" i="14" s="1"/>
  <c r="AJ90" i="14" s="1"/>
  <c r="AJ63" i="14"/>
  <c r="AJ67" i="14" s="1"/>
  <c r="AJ72" i="14" s="1"/>
  <c r="AK56" i="14"/>
  <c r="AK57" i="14" s="1"/>
  <c r="AI92" i="14"/>
  <c r="AJ92" i="14" l="1"/>
  <c r="AL56" i="14"/>
  <c r="AL57" i="14" s="1"/>
  <c r="AK63" i="14"/>
  <c r="AK67" i="14" s="1"/>
  <c r="AK72" i="14" s="1"/>
  <c r="AL153" i="14"/>
  <c r="AL156" i="14" s="1"/>
  <c r="AK87" i="14"/>
  <c r="AK88" i="14" s="1"/>
  <c r="AK90" i="14" s="1"/>
  <c r="AM153" i="14" l="1"/>
  <c r="AM156" i="14" s="1"/>
  <c r="AL87" i="14"/>
  <c r="AL88" i="14" s="1"/>
  <c r="AL90" i="14" s="1"/>
  <c r="AK92" i="14"/>
  <c r="AL63" i="14"/>
  <c r="AL67" i="14" s="1"/>
  <c r="AL72" i="14" s="1"/>
  <c r="AM56" i="14"/>
  <c r="AM57" i="14" s="1"/>
  <c r="AL92" i="14" l="1"/>
  <c r="AN56" i="14"/>
  <c r="AN57" i="14" s="1"/>
  <c r="AM63" i="14"/>
  <c r="AM67" i="14" s="1"/>
  <c r="AM72" i="14" s="1"/>
  <c r="AM87" i="14"/>
  <c r="AM88" i="14" s="1"/>
  <c r="AM90" i="14" s="1"/>
  <c r="AN153" i="14"/>
  <c r="AN156" i="14" s="1"/>
  <c r="AO153" i="14" l="1"/>
  <c r="AO156" i="14" s="1"/>
  <c r="AN87" i="14"/>
  <c r="AN88" i="14" s="1"/>
  <c r="AN90" i="14" s="1"/>
  <c r="AM92" i="14"/>
  <c r="AO56" i="14"/>
  <c r="AO57" i="14" s="1"/>
  <c r="AN63" i="14"/>
  <c r="AN67" i="14" s="1"/>
  <c r="AN72" i="14" s="1"/>
  <c r="AP56" i="14" l="1"/>
  <c r="AP57" i="14" s="1"/>
  <c r="AO63" i="14"/>
  <c r="AO67" i="14" s="1"/>
  <c r="AO72" i="14" s="1"/>
  <c r="AN92" i="14"/>
  <c r="AO87" i="14"/>
  <c r="AO88" i="14" s="1"/>
  <c r="AO90" i="14" s="1"/>
  <c r="AP153" i="14"/>
  <c r="AP156" i="14" s="1"/>
  <c r="AO92" i="14" l="1"/>
  <c r="AQ153" i="14"/>
  <c r="AQ156" i="14" s="1"/>
  <c r="AP87" i="14"/>
  <c r="AP88" i="14" s="1"/>
  <c r="AP90" i="14" s="1"/>
  <c r="AQ56" i="14"/>
  <c r="AQ57" i="14" s="1"/>
  <c r="AP63" i="14"/>
  <c r="AP67" i="14" s="1"/>
  <c r="AP72" i="14" s="1"/>
  <c r="AR56" i="14" l="1"/>
  <c r="AR57" i="14" s="1"/>
  <c r="AQ63" i="14"/>
  <c r="AQ67" i="14" s="1"/>
  <c r="AQ72" i="14" s="1"/>
  <c r="AR153" i="14"/>
  <c r="AR156" i="14" s="1"/>
  <c r="AQ87" i="14"/>
  <c r="AQ88" i="14" s="1"/>
  <c r="AQ90" i="14" s="1"/>
  <c r="AP92" i="14"/>
  <c r="AS153" i="14" l="1"/>
  <c r="AS156" i="14" s="1"/>
  <c r="AR87" i="14"/>
  <c r="AR88" i="14" s="1"/>
  <c r="AR90" i="14" s="1"/>
  <c r="AQ92" i="14"/>
  <c r="AS56" i="14"/>
  <c r="AS57" i="14" s="1"/>
  <c r="AR63" i="14"/>
  <c r="AR67" i="14" s="1"/>
  <c r="AR72" i="14" s="1"/>
  <c r="AT56" i="14" l="1"/>
  <c r="AT57" i="14" s="1"/>
  <c r="AT63" i="14" s="1"/>
  <c r="AT67" i="14" s="1"/>
  <c r="AT72" i="14" s="1"/>
  <c r="AS63" i="14"/>
  <c r="AS67" i="14" s="1"/>
  <c r="AS72" i="14" s="1"/>
  <c r="AR92" i="14"/>
  <c r="AT153" i="14"/>
  <c r="AT156" i="14" s="1"/>
  <c r="AT87" i="14" s="1"/>
  <c r="AT88" i="14" s="1"/>
  <c r="AT90" i="14" s="1"/>
  <c r="AS87" i="14"/>
  <c r="AS88" i="14" s="1"/>
  <c r="AS90" i="14" s="1"/>
  <c r="AS92" i="14" l="1"/>
  <c r="AT9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Chant</author>
  </authors>
  <commentList>
    <comment ref="N34" authorId="0" shapeId="0" xr:uid="{3FCC2ECD-E646-4E78-8C9B-8B3732482629}">
      <text>
        <r>
          <rPr>
            <b/>
            <sz val="9"/>
            <color indexed="81"/>
            <rFont val="Tahoma"/>
            <charset val="1"/>
          </rPr>
          <t>Lyn: 
We assumed the most conservative FX rate based on a 5 year period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<sst xmlns="http://schemas.openxmlformats.org/spreadsheetml/2006/main" count="1409" uniqueCount="395">
  <si>
    <t>Financial Model Worksheet</t>
  </si>
  <si>
    <t xml:space="preserve">Assumptions </t>
  </si>
  <si>
    <t>Frequency</t>
  </si>
  <si>
    <t xml:space="preserve">Monthly </t>
  </si>
  <si>
    <t xml:space="preserve">Revenue Assumptions </t>
  </si>
  <si>
    <t>Pricing</t>
  </si>
  <si>
    <t>Apple NFC</t>
  </si>
  <si>
    <t>Orange NFC</t>
  </si>
  <si>
    <t xml:space="preserve">Pinneaple NFC </t>
  </si>
  <si>
    <t xml:space="preserve">Cranberry NFC </t>
  </si>
  <si>
    <r>
      <t>(</t>
    </r>
    <r>
      <rPr>
        <sz val="11"/>
        <color theme="1"/>
        <rFont val="Calibri"/>
        <family val="2"/>
      </rPr>
      <t>£/case)</t>
    </r>
  </si>
  <si>
    <t xml:space="preserve">Volume </t>
  </si>
  <si>
    <t>(cases)</t>
  </si>
  <si>
    <t>(%)</t>
  </si>
  <si>
    <t>Base Case</t>
  </si>
  <si>
    <t>Best Case</t>
  </si>
  <si>
    <t>Worst Case</t>
  </si>
  <si>
    <t xml:space="preserve">Best Case </t>
  </si>
  <si>
    <t>Fees</t>
  </si>
  <si>
    <t xml:space="preserve">Cost Inflation </t>
  </si>
  <si>
    <t xml:space="preserve">Wastage </t>
  </si>
  <si>
    <t>Collection Fee</t>
  </si>
  <si>
    <r>
      <t>(</t>
    </r>
    <r>
      <rPr>
        <sz val="11"/>
        <color theme="1"/>
        <rFont val="Calibri"/>
        <family val="2"/>
      </rPr>
      <t>£/arctic)</t>
    </r>
  </si>
  <si>
    <t>Pallets</t>
  </si>
  <si>
    <t>(per arctic)</t>
  </si>
  <si>
    <t>Cases</t>
  </si>
  <si>
    <t>(per pallet)</t>
  </si>
  <si>
    <t xml:space="preserve">Pallets Required </t>
  </si>
  <si>
    <t>#</t>
  </si>
  <si>
    <t xml:space="preserve">Arctic Required </t>
  </si>
  <si>
    <t>Goods in Fee</t>
  </si>
  <si>
    <t>Fee</t>
  </si>
  <si>
    <r>
      <t>(</t>
    </r>
    <r>
      <rPr>
        <sz val="11"/>
        <color theme="1"/>
        <rFont val="Calibri"/>
        <family val="2"/>
      </rPr>
      <t>£/pallet)</t>
    </r>
  </si>
  <si>
    <r>
      <t>(</t>
    </r>
    <r>
      <rPr>
        <sz val="11"/>
        <color theme="1"/>
        <rFont val="Calibri"/>
        <family val="2"/>
      </rPr>
      <t>£/pallet/week)</t>
    </r>
  </si>
  <si>
    <t>Weeks</t>
  </si>
  <si>
    <t>(per month)</t>
  </si>
  <si>
    <t>Direct Costs</t>
  </si>
  <si>
    <t>Indirect Costs</t>
  </si>
  <si>
    <t>Miscellaneous</t>
  </si>
  <si>
    <t>Salaries</t>
  </si>
  <si>
    <t>Founder/CEO</t>
  </si>
  <si>
    <r>
      <t>(</t>
    </r>
    <r>
      <rPr>
        <sz val="11"/>
        <color theme="1"/>
        <rFont val="Calibri"/>
        <family val="2"/>
      </rPr>
      <t>£)</t>
    </r>
  </si>
  <si>
    <t>DIO</t>
  </si>
  <si>
    <t>Days</t>
  </si>
  <si>
    <t>Output</t>
  </si>
  <si>
    <t xml:space="preserve">Revenue Schedule </t>
  </si>
  <si>
    <t>Revenues</t>
  </si>
  <si>
    <t>Total Revenues</t>
  </si>
  <si>
    <r>
      <t>(</t>
    </r>
    <r>
      <rPr>
        <b/>
        <sz val="11"/>
        <color theme="1"/>
        <rFont val="Calibri"/>
        <family val="2"/>
      </rPr>
      <t>£)</t>
    </r>
  </si>
  <si>
    <t>(days)</t>
  </si>
  <si>
    <r>
      <t>(</t>
    </r>
    <r>
      <rPr>
        <sz val="11"/>
        <color theme="1"/>
        <rFont val="Calibri"/>
        <family val="2"/>
      </rPr>
      <t>£/pallet/day)</t>
    </r>
  </si>
  <si>
    <t>(per week)</t>
  </si>
  <si>
    <t>Total Volume</t>
  </si>
  <si>
    <t xml:space="preserve">Storage Fees- Apple NFC </t>
  </si>
  <si>
    <r>
      <t>(</t>
    </r>
    <r>
      <rPr>
        <sz val="11"/>
        <color theme="1"/>
        <rFont val="Calibri"/>
        <family val="2"/>
      </rPr>
      <t>£/case/week)</t>
    </r>
  </si>
  <si>
    <r>
      <t>(</t>
    </r>
    <r>
      <rPr>
        <sz val="11"/>
        <color theme="1"/>
        <rFont val="Calibri"/>
        <family val="2"/>
      </rPr>
      <t>£/case/day)</t>
    </r>
  </si>
  <si>
    <t xml:space="preserve">Storage Fees- Orange NFC </t>
  </si>
  <si>
    <t xml:space="preserve">Storage Fees- Pinneaple NFC </t>
  </si>
  <si>
    <t xml:space="preserve">Storage Fees- Cranberry NFC </t>
  </si>
  <si>
    <t>Period</t>
  </si>
  <si>
    <t>Delivery Fees- Finished Goods</t>
  </si>
  <si>
    <t xml:space="preserve">Delivery Fees- Apple NFC </t>
  </si>
  <si>
    <t xml:space="preserve">Pricing Matrix- NextDay </t>
  </si>
  <si>
    <t>Number Pallet spaces</t>
  </si>
  <si>
    <t>19-26</t>
  </si>
  <si>
    <t>Z</t>
  </si>
  <si>
    <t>O</t>
  </si>
  <si>
    <t>N</t>
  </si>
  <si>
    <t>E</t>
  </si>
  <si>
    <t xml:space="preserve">Pricing Matrix- 2/3Days </t>
  </si>
  <si>
    <t>Pallet spaces</t>
  </si>
  <si>
    <t>See N/D Price</t>
  </si>
  <si>
    <t>Cost Inflation</t>
  </si>
  <si>
    <t>SG&amp;A</t>
  </si>
  <si>
    <t xml:space="preserve">Delivery Fees- Orange NFC </t>
  </si>
  <si>
    <t xml:space="preserve">Delivery Fees- Pinneaple NFC </t>
  </si>
  <si>
    <t xml:space="preserve">Delivery Fees- Cranberry NFC </t>
  </si>
  <si>
    <t>Total Fees</t>
  </si>
  <si>
    <t>£</t>
  </si>
  <si>
    <t>%</t>
  </si>
  <si>
    <t>Storage Fee- Apple</t>
  </si>
  <si>
    <t>Total Storage Fees</t>
  </si>
  <si>
    <t>Storage Fee- Orange</t>
  </si>
  <si>
    <t xml:space="preserve">Storage Fee- Pinneaple </t>
  </si>
  <si>
    <t xml:space="preserve">Storage Fee- Cranberry </t>
  </si>
  <si>
    <t>Total Storage Fees- Combined</t>
  </si>
  <si>
    <t>Total Delivery Fees</t>
  </si>
  <si>
    <t>Total Delivery Fees- Combined</t>
  </si>
  <si>
    <t>Goods out Fees- Apple NFC</t>
  </si>
  <si>
    <t>Goods out Fees- Orange NFC</t>
  </si>
  <si>
    <t>Goods out Fees- Pinneaple NFC</t>
  </si>
  <si>
    <t>Goods out Fees- Cranberry NFC</t>
  </si>
  <si>
    <t>Goods out Fee- Apple NFC</t>
  </si>
  <si>
    <t>Goods out Fee- Orange NFC</t>
  </si>
  <si>
    <t>Goods out Fee- Pineapple NFC</t>
  </si>
  <si>
    <t>Goods out Fee- Cranberry FC</t>
  </si>
  <si>
    <t>Total Goods out Fees</t>
  </si>
  <si>
    <t>Goods Out Fees- Combined</t>
  </si>
  <si>
    <t>Warehouse and Logistics Costs- Combined</t>
  </si>
  <si>
    <t xml:space="preserve">Warehouse and Logistics </t>
  </si>
  <si>
    <t>(€ per 25000L)</t>
  </si>
  <si>
    <t>Warehouse and Logistics</t>
  </si>
  <si>
    <t>Cost of Ingredients- Apple NFC</t>
  </si>
  <si>
    <t>(€ per case)</t>
  </si>
  <si>
    <t>(#)</t>
  </si>
  <si>
    <t>Cost of Ingredients- Orange NFC</t>
  </si>
  <si>
    <t>Cost of Ingredients- Pineapple NFC</t>
  </si>
  <si>
    <t>(USD per 25000L)</t>
  </si>
  <si>
    <t>(USD per case)</t>
  </si>
  <si>
    <t>Cost of Ingredients- Cranberry FC</t>
  </si>
  <si>
    <t>GBP/EUR</t>
  </si>
  <si>
    <t>FX: GBP/EUR</t>
  </si>
  <si>
    <t>FX: GBP/USD</t>
  </si>
  <si>
    <t>GBP/USD</t>
  </si>
  <si>
    <t>Wastage</t>
  </si>
  <si>
    <t xml:space="preserve">Co-Packing </t>
  </si>
  <si>
    <t>Cases- Apple</t>
  </si>
  <si>
    <t>Cases- Orange</t>
  </si>
  <si>
    <t>Cases- Pineapple</t>
  </si>
  <si>
    <t xml:space="preserve">Cases- Cranberry </t>
  </si>
  <si>
    <t>Total Cost- Apple NFC</t>
  </si>
  <si>
    <t>Pineapple NFC</t>
  </si>
  <si>
    <t>Cranberry FC</t>
  </si>
  <si>
    <r>
      <t>(%</t>
    </r>
    <r>
      <rPr>
        <sz val="11"/>
        <color theme="1"/>
        <rFont val="Calibri"/>
        <family val="2"/>
      </rPr>
      <t>)</t>
    </r>
  </si>
  <si>
    <t>Total Cost- Orange NFC</t>
  </si>
  <si>
    <t>Total Cost- Pineapple NFC</t>
  </si>
  <si>
    <t>Total Cost- Cranberry NFC</t>
  </si>
  <si>
    <t>Co-packing Fees- Combined</t>
  </si>
  <si>
    <t>Cranberry NFC</t>
  </si>
  <si>
    <t>Product Testing</t>
  </si>
  <si>
    <t>Fixed</t>
  </si>
  <si>
    <t>% of Sales</t>
  </si>
  <si>
    <t>IT Expenses</t>
  </si>
  <si>
    <t>Bank Charges</t>
  </si>
  <si>
    <t>Financial Consultant</t>
  </si>
  <si>
    <t xml:space="preserve">Financial Advisor </t>
  </si>
  <si>
    <t>Accountant</t>
  </si>
  <si>
    <t xml:space="preserve">Income Statement </t>
  </si>
  <si>
    <t>Ingredients- Post Wastage</t>
  </si>
  <si>
    <t xml:space="preserve">Warehouse &amp; Logistics </t>
  </si>
  <si>
    <t xml:space="preserve">Collection </t>
  </si>
  <si>
    <t xml:space="preserve">Goods in </t>
  </si>
  <si>
    <t>Storage</t>
  </si>
  <si>
    <t>Delivery</t>
  </si>
  <si>
    <t>Goods out</t>
  </si>
  <si>
    <t>Total</t>
  </si>
  <si>
    <t>Accounting Software &amp; Audit Fees</t>
  </si>
  <si>
    <t>Damages</t>
  </si>
  <si>
    <t xml:space="preserve">% Allocation- Cases </t>
  </si>
  <si>
    <r>
      <t xml:space="preserve">(in </t>
    </r>
    <r>
      <rPr>
        <b/>
        <sz val="11"/>
        <color theme="0"/>
        <rFont val="Calibri"/>
        <family val="2"/>
      </rPr>
      <t>£)</t>
    </r>
  </si>
  <si>
    <r>
      <t xml:space="preserve">(in </t>
    </r>
    <r>
      <rPr>
        <b/>
        <sz val="11"/>
        <color theme="0"/>
        <rFont val="Calibri"/>
        <family val="2"/>
      </rPr>
      <t>£/case)</t>
    </r>
  </si>
  <si>
    <t xml:space="preserve">SG&amp;A </t>
  </si>
  <si>
    <t>Bank Charges as % of sales</t>
  </si>
  <si>
    <t xml:space="preserve">Pineapple NFC </t>
  </si>
  <si>
    <t xml:space="preserve">Cranberry FC </t>
  </si>
  <si>
    <t xml:space="preserve">Cases </t>
  </si>
  <si>
    <r>
      <t xml:space="preserve">Fixed (in </t>
    </r>
    <r>
      <rPr>
        <sz val="11"/>
        <color theme="1"/>
        <rFont val="Calibri"/>
        <family val="2"/>
      </rPr>
      <t>£)</t>
    </r>
  </si>
  <si>
    <t xml:space="preserve">Volume Allocation </t>
  </si>
  <si>
    <t xml:space="preserve">Selling Price  </t>
  </si>
  <si>
    <t xml:space="preserve">Costs </t>
  </si>
  <si>
    <t xml:space="preserve">Profit Analysis </t>
  </si>
  <si>
    <t>COGS</t>
  </si>
  <si>
    <t>Gross Profit</t>
  </si>
  <si>
    <t>Total Delivery - Pre Damages</t>
  </si>
  <si>
    <t>Total Delivery - Post Damages</t>
  </si>
  <si>
    <t>Total Delivery- Pre Damages</t>
  </si>
  <si>
    <t>Revenue</t>
  </si>
  <si>
    <t>Pinneaple NFC</t>
  </si>
  <si>
    <t>Total Revenue</t>
  </si>
  <si>
    <t>Ingredients</t>
  </si>
  <si>
    <t xml:space="preserve">Freight &amp; Warehousing </t>
  </si>
  <si>
    <t>Total COGS</t>
  </si>
  <si>
    <t>Total SG&amp;A</t>
  </si>
  <si>
    <t>EBITDA</t>
  </si>
  <si>
    <t xml:space="preserve">Depreciation </t>
  </si>
  <si>
    <t>EBIT</t>
  </si>
  <si>
    <t>Interest Expense</t>
  </si>
  <si>
    <t>EBT</t>
  </si>
  <si>
    <t>Tax Rate</t>
  </si>
  <si>
    <t xml:space="preserve">Tax </t>
  </si>
  <si>
    <t>Net Profit</t>
  </si>
  <si>
    <t>Net Income before Tax</t>
  </si>
  <si>
    <t xml:space="preserve">Working Capital Schedule </t>
  </si>
  <si>
    <t xml:space="preserve">GP margin </t>
  </si>
  <si>
    <t>EBITDA margin</t>
  </si>
  <si>
    <t>EBIT margin</t>
  </si>
  <si>
    <t>EBT margin</t>
  </si>
  <si>
    <t>Net Profit margin</t>
  </si>
  <si>
    <t>Income Statement Items</t>
  </si>
  <si>
    <t>Cost of Sales</t>
  </si>
  <si>
    <t xml:space="preserve">Days in </t>
  </si>
  <si>
    <t>Accounts Receivable</t>
  </si>
  <si>
    <t xml:space="preserve">Accounts Payable </t>
  </si>
  <si>
    <t>Prepaid Expenses</t>
  </si>
  <si>
    <t>Account Balances</t>
  </si>
  <si>
    <t>Total Direct Costs</t>
  </si>
  <si>
    <t>Inventory</t>
  </si>
  <si>
    <t>Selling Price</t>
  </si>
  <si>
    <t>Price Increment to cover SG&amp;A</t>
  </si>
  <si>
    <r>
      <t xml:space="preserve">in </t>
    </r>
    <r>
      <rPr>
        <sz val="11"/>
        <color theme="1"/>
        <rFont val="Calibri"/>
        <family val="2"/>
      </rPr>
      <t>£</t>
    </r>
  </si>
  <si>
    <r>
      <t xml:space="preserve">in </t>
    </r>
    <r>
      <rPr>
        <sz val="11"/>
        <color theme="1"/>
        <rFont val="Calibri"/>
        <family val="2"/>
      </rPr>
      <t>£</t>
    </r>
    <r>
      <rPr>
        <sz val="11"/>
        <color theme="1"/>
        <rFont val="Calibri"/>
        <family val="2"/>
        <scheme val="minor"/>
      </rPr>
      <t>/case</t>
    </r>
  </si>
  <si>
    <t>Cost Price</t>
  </si>
  <si>
    <t xml:space="preserve">Breakeven Markup </t>
  </si>
  <si>
    <t xml:space="preserve">Price Markup </t>
  </si>
  <si>
    <t>Apple NFC Price Markup - (£/case)</t>
  </si>
  <si>
    <t>Orange NFC Price Markup- (£/case)</t>
  </si>
  <si>
    <t>Pinneaple NFC Price Markup- (£/case)</t>
  </si>
  <si>
    <t>Cranberry NFC Price Markup- (£/case)</t>
  </si>
  <si>
    <t xml:space="preserve">Revenue Growth </t>
  </si>
  <si>
    <t>Net Working Capital</t>
  </si>
  <si>
    <t xml:space="preserve">Change in Working Capital </t>
  </si>
  <si>
    <t>Common Shares</t>
  </si>
  <si>
    <t>Amount Outstanding- Beginning</t>
  </si>
  <si>
    <t>New Issuance/ (Buy-Back)</t>
  </si>
  <si>
    <t>Amount Outstanding- Ending</t>
  </si>
  <si>
    <t>Working Capital</t>
  </si>
  <si>
    <t>DSO</t>
  </si>
  <si>
    <t>DPO</t>
  </si>
  <si>
    <t xml:space="preserve">Net Income </t>
  </si>
  <si>
    <t>Common Dividend</t>
  </si>
  <si>
    <t xml:space="preserve">Retained Earnings </t>
  </si>
  <si>
    <t xml:space="preserve">Shareholders Equity Schedule </t>
  </si>
  <si>
    <t>Pricing Schedule for the month of 2/28/2026</t>
  </si>
  <si>
    <r>
      <t xml:space="preserve">Cost (in </t>
    </r>
    <r>
      <rPr>
        <b/>
        <sz val="11"/>
        <color theme="0"/>
        <rFont val="Calibri"/>
        <family val="2"/>
      </rPr>
      <t>£/case)</t>
    </r>
  </si>
  <si>
    <t>Tankers (#)</t>
  </si>
  <si>
    <t>Total Cases (#)</t>
  </si>
  <si>
    <r>
      <t xml:space="preserve">Cost (in </t>
    </r>
    <r>
      <rPr>
        <b/>
        <sz val="11"/>
        <color theme="0"/>
        <rFont val="Calibri"/>
        <family val="2"/>
      </rPr>
      <t>£)</t>
    </r>
  </si>
  <si>
    <t>n/a</t>
  </si>
  <si>
    <t xml:space="preserve">Total Funding </t>
  </si>
  <si>
    <t>(£)</t>
  </si>
  <si>
    <t>Co-packing</t>
  </si>
  <si>
    <t>Freight &amp; Warehousing</t>
  </si>
  <si>
    <t xml:space="preserve">Gross Profit Margin </t>
  </si>
  <si>
    <t xml:space="preserve">EBITDA margin </t>
  </si>
  <si>
    <t>Price*</t>
  </si>
  <si>
    <t>Volume</t>
  </si>
  <si>
    <t>Total Cases</t>
  </si>
  <si>
    <t>Growth</t>
  </si>
  <si>
    <t>(£/case)</t>
  </si>
  <si>
    <t>Average Cost</t>
  </si>
  <si>
    <t>Annually</t>
  </si>
  <si>
    <t>Accrued Expenses</t>
  </si>
  <si>
    <t>Cash Flow Statement</t>
  </si>
  <si>
    <t>Operating Activities</t>
  </si>
  <si>
    <t>Net Income</t>
  </si>
  <si>
    <t>Changes in Working Capital</t>
  </si>
  <si>
    <t>Operating Cash Flow</t>
  </si>
  <si>
    <t>Unearned Revenues</t>
  </si>
  <si>
    <t>Unearned (deferred) Revenue (Wholesaler Deposit)</t>
  </si>
  <si>
    <t>Investing Activities</t>
  </si>
  <si>
    <t>Capex</t>
  </si>
  <si>
    <t>Investing Cash Flow</t>
  </si>
  <si>
    <t>Financing Activities</t>
  </si>
  <si>
    <t>Proceeds from issuance of shares</t>
  </si>
  <si>
    <t>Dividends</t>
  </si>
  <si>
    <t>Capital Raised</t>
  </si>
  <si>
    <t>Financing Cash Flow</t>
  </si>
  <si>
    <t>Change in cash</t>
  </si>
  <si>
    <t>Beg Cash</t>
  </si>
  <si>
    <t>Ending Cash Flow</t>
  </si>
  <si>
    <t>Function of Gross Profit</t>
  </si>
  <si>
    <t>Headcount</t>
  </si>
  <si>
    <t xml:space="preserve">Reserves </t>
  </si>
  <si>
    <t>Milestone: Funding till volume stabilizes at 8,250 cases per month. We expect this to be achieved by February 2026</t>
  </si>
  <si>
    <t>Balance Sheet</t>
  </si>
  <si>
    <t>Assets</t>
  </si>
  <si>
    <t xml:space="preserve">Cash </t>
  </si>
  <si>
    <t xml:space="preserve">Account Receivables </t>
  </si>
  <si>
    <t>Total Current Assets</t>
  </si>
  <si>
    <t>Net PP&amp;E</t>
  </si>
  <si>
    <t>Total Fixed Assets</t>
  </si>
  <si>
    <t>Total Assets</t>
  </si>
  <si>
    <t>Liabilities and Equity</t>
  </si>
  <si>
    <t>Accrued Revenues</t>
  </si>
  <si>
    <t>Total Current Liabilities</t>
  </si>
  <si>
    <t>Deferred Income Tax</t>
  </si>
  <si>
    <t>Total Long Term Liabilities</t>
  </si>
  <si>
    <t>Total Liabilities</t>
  </si>
  <si>
    <t xml:space="preserve">Shareholder's Equity </t>
  </si>
  <si>
    <t xml:space="preserve">Total Liabilities &amp; Equity </t>
  </si>
  <si>
    <t>Check</t>
  </si>
  <si>
    <r>
      <t>(</t>
    </r>
    <r>
      <rPr>
        <i/>
        <sz val="10"/>
        <color theme="1"/>
        <rFont val="Calibri"/>
        <family val="2"/>
      </rPr>
      <t>£)</t>
    </r>
  </si>
  <si>
    <t>Average (per pallet)</t>
  </si>
  <si>
    <t>Payback Period</t>
  </si>
  <si>
    <t>IRR</t>
  </si>
  <si>
    <t>Investor Returns</t>
  </si>
  <si>
    <t>Initial Capital Invested</t>
  </si>
  <si>
    <t>Cash Inflow</t>
  </si>
  <si>
    <t>ROIC</t>
  </si>
  <si>
    <t>Equity Ownership &amp; Cap Table</t>
  </si>
  <si>
    <t>Dilution (investor equity stake)</t>
  </si>
  <si>
    <t>Amount to raise</t>
  </si>
  <si>
    <t>Post-money valuation</t>
  </si>
  <si>
    <t>Pre-money valuation</t>
  </si>
  <si>
    <t>Pre-money share count</t>
  </si>
  <si>
    <t>Post-money share count</t>
  </si>
  <si>
    <t>New shares to be issued</t>
  </si>
  <si>
    <t>Share price</t>
  </si>
  <si>
    <t>Shareholder</t>
  </si>
  <si>
    <t>Shares</t>
  </si>
  <si>
    <t>% ownership</t>
  </si>
  <si>
    <t>Founder</t>
  </si>
  <si>
    <t>Investor</t>
  </si>
  <si>
    <t>Equity Offer to Financial Advisor</t>
  </si>
  <si>
    <t>Shares to be transferred</t>
  </si>
  <si>
    <t>Option 1: Transfer shares on a pre-money basis</t>
  </si>
  <si>
    <t>Cap Table</t>
  </si>
  <si>
    <t>Financial Advisor</t>
  </si>
  <si>
    <t>Founder shares- diluted</t>
  </si>
  <si>
    <t>Post-money shares</t>
  </si>
  <si>
    <t>New total shares</t>
  </si>
  <si>
    <t>Financial advisor shares</t>
  </si>
  <si>
    <t>Par value</t>
  </si>
  <si>
    <t>Additional Paid in Capital</t>
  </si>
  <si>
    <t>APIC</t>
  </si>
  <si>
    <t>Raised funds</t>
  </si>
  <si>
    <t>Total Equity</t>
  </si>
  <si>
    <t>Common shares</t>
  </si>
  <si>
    <t>Option 2: Transfer shares on a post-money basis</t>
  </si>
  <si>
    <t>MOQ (cases per tanker)</t>
  </si>
  <si>
    <t>Storage Fees</t>
  </si>
  <si>
    <t>Units Sold</t>
  </si>
  <si>
    <t>(*): Reserves assumed as % of production costs</t>
  </si>
  <si>
    <t xml:space="preserve">Beginning </t>
  </si>
  <si>
    <t xml:space="preserve">Additions </t>
  </si>
  <si>
    <t>Sale</t>
  </si>
  <si>
    <t>Ending</t>
  </si>
  <si>
    <r>
      <t xml:space="preserve">Co-packing (in </t>
    </r>
    <r>
      <rPr>
        <sz val="11"/>
        <color theme="1"/>
        <rFont val="Calibri"/>
        <family val="2"/>
      </rPr>
      <t>£/case)</t>
    </r>
  </si>
  <si>
    <r>
      <t xml:space="preserve">Collection fee (in </t>
    </r>
    <r>
      <rPr>
        <sz val="11"/>
        <color theme="1"/>
        <rFont val="Calibri"/>
        <family val="2"/>
      </rPr>
      <t>£/case)</t>
    </r>
  </si>
  <si>
    <r>
      <t xml:space="preserve">Ingredients-Apple (in </t>
    </r>
    <r>
      <rPr>
        <sz val="11"/>
        <color theme="1"/>
        <rFont val="Calibri"/>
        <family val="2"/>
      </rPr>
      <t>£/case)</t>
    </r>
  </si>
  <si>
    <r>
      <t xml:space="preserve">Ingredients-Orange (in </t>
    </r>
    <r>
      <rPr>
        <sz val="11"/>
        <color theme="1"/>
        <rFont val="Calibri"/>
        <family val="2"/>
      </rPr>
      <t>£/case)</t>
    </r>
  </si>
  <si>
    <r>
      <t xml:space="preserve">Ingredients-Pinneaple (in </t>
    </r>
    <r>
      <rPr>
        <sz val="11"/>
        <color theme="1"/>
        <rFont val="Calibri"/>
        <family val="2"/>
      </rPr>
      <t>£/case)</t>
    </r>
  </si>
  <si>
    <r>
      <t xml:space="preserve">Ingredients-Cranberry (in </t>
    </r>
    <r>
      <rPr>
        <sz val="11"/>
        <color theme="1"/>
        <rFont val="Calibri"/>
        <family val="2"/>
      </rPr>
      <t>£/case)</t>
    </r>
  </si>
  <si>
    <r>
      <t xml:space="preserve">Goods in fee (in </t>
    </r>
    <r>
      <rPr>
        <sz val="11"/>
        <color theme="1"/>
        <rFont val="Calibri"/>
        <family val="2"/>
      </rPr>
      <t>£/case)</t>
    </r>
  </si>
  <si>
    <t>Apple NFC (cases)</t>
  </si>
  <si>
    <t>Orange NFC (cases)</t>
  </si>
  <si>
    <t>Pinneaple NFC (cases)</t>
  </si>
  <si>
    <t>Cranberry FC (cases)</t>
  </si>
  <si>
    <r>
      <t xml:space="preserve">Ingredients-Apple (in </t>
    </r>
    <r>
      <rPr>
        <sz val="11"/>
        <color theme="1"/>
        <rFont val="Calibri"/>
        <family val="2"/>
      </rPr>
      <t>£)</t>
    </r>
  </si>
  <si>
    <r>
      <t xml:space="preserve">Ingredients-Orange (in </t>
    </r>
    <r>
      <rPr>
        <sz val="11"/>
        <color theme="1"/>
        <rFont val="Calibri"/>
        <family val="2"/>
      </rPr>
      <t>£)</t>
    </r>
  </si>
  <si>
    <r>
      <t xml:space="preserve">Ingredients-Pinneaple (in </t>
    </r>
    <r>
      <rPr>
        <sz val="11"/>
        <color theme="1"/>
        <rFont val="Calibri"/>
        <family val="2"/>
      </rPr>
      <t>£)</t>
    </r>
  </si>
  <si>
    <r>
      <t xml:space="preserve">Ingredients-Cranberry (in </t>
    </r>
    <r>
      <rPr>
        <sz val="11"/>
        <color theme="1"/>
        <rFont val="Calibri"/>
        <family val="2"/>
      </rPr>
      <t>£)</t>
    </r>
  </si>
  <si>
    <r>
      <t xml:space="preserve">Co-Packing (in </t>
    </r>
    <r>
      <rPr>
        <sz val="11"/>
        <color theme="1"/>
        <rFont val="Calibri"/>
        <family val="2"/>
      </rPr>
      <t>£)</t>
    </r>
  </si>
  <si>
    <t>Total- Ingredient</t>
  </si>
  <si>
    <r>
      <t xml:space="preserve">Collection (in </t>
    </r>
    <r>
      <rPr>
        <sz val="11"/>
        <color theme="1"/>
        <rFont val="Calibri"/>
        <family val="2"/>
      </rPr>
      <t>£)</t>
    </r>
  </si>
  <si>
    <r>
      <t xml:space="preserve">Goods in fees (in </t>
    </r>
    <r>
      <rPr>
        <sz val="11"/>
        <color theme="1"/>
        <rFont val="Calibri"/>
        <family val="2"/>
      </rPr>
      <t>£)</t>
    </r>
  </si>
  <si>
    <r>
      <t xml:space="preserve">Ending Inventory (in </t>
    </r>
    <r>
      <rPr>
        <b/>
        <sz val="11"/>
        <color theme="1"/>
        <rFont val="Calibri"/>
        <family val="2"/>
      </rPr>
      <t>£)</t>
    </r>
  </si>
  <si>
    <t>Liters</t>
  </si>
  <si>
    <t>(per case)</t>
  </si>
  <si>
    <t>Total Ingredients Cost- Combined</t>
  </si>
  <si>
    <t>Yearly Inventory Valuation (in £)</t>
  </si>
  <si>
    <t>Monthly Inventory Valuation (in £)</t>
  </si>
  <si>
    <t>Yearly Change in Working Capital</t>
  </si>
  <si>
    <t xml:space="preserve">Monthly Change in Working Capital </t>
  </si>
  <si>
    <t xml:space="preserve">Net Working Capital- Cumulative </t>
  </si>
  <si>
    <t xml:space="preserve">Cash Flow Statement </t>
  </si>
  <si>
    <t>Proceeds from issuance of shares/(share buyback)</t>
  </si>
  <si>
    <t>Total (Inventory) in cases</t>
  </si>
  <si>
    <t>Inventory Schedule- Apple  (in cases)</t>
  </si>
  <si>
    <t>Inventory Schedule- Orange NFC (in cases)</t>
  </si>
  <si>
    <t>Inventory Schedule- Pinneaple NFC (in cases)</t>
  </si>
  <si>
    <t>Inventory Schedule- Cranberry NFC (in cases)</t>
  </si>
  <si>
    <t xml:space="preserve"> </t>
  </si>
  <si>
    <t>Additions</t>
  </si>
  <si>
    <t xml:space="preserve">Ending Inventory </t>
  </si>
  <si>
    <t>Beginning Inventory</t>
  </si>
  <si>
    <t>Shareholder's Equity Schedule</t>
  </si>
  <si>
    <t xml:space="preserve">Total Equity </t>
  </si>
  <si>
    <t>Ending Cash</t>
  </si>
  <si>
    <t xml:space="preserve">Current ratio </t>
  </si>
  <si>
    <t xml:space="preserve">Quick ratio </t>
  </si>
  <si>
    <t xml:space="preserve">Asset Turnover ratio </t>
  </si>
  <si>
    <t>Cash conversion cycle</t>
  </si>
  <si>
    <t xml:space="preserve">-Note: *:Price is as of end of year. In 2026, the first 2 months prices remained fixed as per the previous year
</t>
  </si>
  <si>
    <t>ROI</t>
  </si>
  <si>
    <t>Balance sheet items</t>
  </si>
  <si>
    <t>Ratio Analysis</t>
  </si>
  <si>
    <t>Returns</t>
  </si>
  <si>
    <t>Funding Needs</t>
  </si>
  <si>
    <t>Production &amp; Warehousing</t>
  </si>
  <si>
    <t>Operating Expenses</t>
  </si>
  <si>
    <t>Reserves</t>
  </si>
  <si>
    <t>&gt;&gt; Since in year 2 and 3 we will need more investment on production to meet the growing demand, we will lower the dividend and capital return in order to preserve cash for re-investment in the business</t>
  </si>
  <si>
    <t>Dividend Payout Ratio</t>
  </si>
  <si>
    <t>Initial Capital Payback</t>
  </si>
  <si>
    <t>Cases Sold</t>
  </si>
  <si>
    <t xml:space="preserve">Cost of Ingredients- Post Wastage </t>
  </si>
  <si>
    <t>Storage fee per month per case</t>
  </si>
  <si>
    <t>Initial Investment Payback %</t>
  </si>
  <si>
    <t>Dividend Payout Rate (on net profit)</t>
  </si>
  <si>
    <t>Inventory Valuation &amp; Storage Fees</t>
  </si>
  <si>
    <t>Total- Ingredient (in £)</t>
  </si>
  <si>
    <t>Breakeven Price (excluding salaries)</t>
  </si>
  <si>
    <t>Solea</t>
  </si>
  <si>
    <t>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</si>
</sst>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(* #,##0.00_);_(* \(#,##0.00\);_(* &quot;-&quot;??_);_(@_)"/>
    <numFmt numFmtId="164" formatCode="[$-409]mmmm\ d\,\ yyyy;@"/>
    <numFmt numFmtId="165" formatCode="0.0%"/>
    <numFmt numFmtId="166" formatCode="\+0%"/>
    <numFmt numFmtId="167" formatCode="_(* #,##0.0_);_(* \(#,##0.0\);_(* &quot;-&quot;??_);_(@_)"/>
    <numFmt numFmtId="168" formatCode="_(* #,##0_);_(* \(#,##0\);_(* &quot;-&quot;??_);_(@_)"/>
    <numFmt numFmtId="169" formatCode="0.0"/>
    <numFmt numFmtId="170" formatCode="0.000"/>
    <numFmt numFmtId="171" formatCode="#,##0.0_);\(#,##0.0\)"/>
    <numFmt numFmtId="172" formatCode="0.000%"/>
    <numFmt numFmtId="173" formatCode="_(* #,##0.000_);_(* \(#,##0.000\);_(* &quot;-&quot;??_);_(@_)"/>
    <numFmt numFmtId="174" formatCode="0.0000"/>
    <numFmt numFmtId="175" formatCode="0.0_);\(0.0\)"/>
    <numFmt numFmtId="176" formatCode="\-"/>
    <numFmt numFmtId="177" formatCode="_(* #,##0.00000_);_(* \(#,##0.00000\);_(* &quot;-&quot;??_);_(@_)"/>
    <numFmt numFmtId="178" formatCode="#,##0.000_);\(#,##0.000\)"/>
    <numFmt numFmtId="179" formatCode="#,##0.00000_);\(#,##0.00000\)"/>
    <numFmt numFmtId="180" formatCode="#,##0.0000000_);\(#,##0.0000000\)"/>
    <numFmt numFmtId="181" formatCode="#,##0.000000000_);\(#,##0.000000000\)"/>
    <numFmt numFmtId="182" formatCode="0.0\ &quot;years&quot;"/>
    <numFmt numFmtId="183" formatCode="0_);\(0\)"/>
    <numFmt numFmtId="184" formatCode="#,##0.0000_);\(#,##0.0000\)"/>
    <numFmt numFmtId="185" formatCode="_(* #,##0.0000000_);_(* \(#,##0.00000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6"/>
      <color theme="4"/>
      <name val="Calibri"/>
      <family val="2"/>
      <scheme val="minor"/>
    </font>
    <font>
      <b/>
      <sz val="2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6"/>
      <color indexed="9"/>
      <name val="Arial"/>
      <family val="2"/>
    </font>
    <font>
      <sz val="16"/>
      <name val="Arial"/>
      <family val="2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70C0"/>
      <name val="Calibri"/>
      <family val="2"/>
      <scheme val="minor"/>
    </font>
    <font>
      <b/>
      <sz val="10"/>
      <name val="Arial"/>
      <family val="2"/>
    </font>
    <font>
      <b/>
      <sz val="11"/>
      <color theme="4"/>
      <name val="Calibri"/>
      <family val="2"/>
      <scheme val="minor"/>
    </font>
    <font>
      <i/>
      <sz val="10"/>
      <color theme="1"/>
      <name val="Calibri"/>
      <family val="2"/>
    </font>
    <font>
      <i/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6" fillId="0" borderId="0"/>
  </cellStyleXfs>
  <cellXfs count="342">
    <xf numFmtId="0" fontId="0" fillId="0" borderId="0" xfId="0"/>
    <xf numFmtId="0" fontId="5" fillId="2" borderId="1" xfId="2" applyFont="1" applyFill="1" applyBorder="1" applyProtection="1">
      <protection locked="0"/>
    </xf>
    <xf numFmtId="0" fontId="0" fillId="2" borderId="0" xfId="0" applyFill="1"/>
    <xf numFmtId="164" fontId="0" fillId="2" borderId="0" xfId="0" applyNumberFormat="1" applyFill="1" applyAlignment="1">
      <alignment horizontal="left"/>
    </xf>
    <xf numFmtId="0" fontId="6" fillId="2" borderId="0" xfId="0" applyFont="1" applyFill="1"/>
    <xf numFmtId="0" fontId="7" fillId="0" borderId="0" xfId="0" applyFont="1"/>
    <xf numFmtId="0" fontId="3" fillId="0" borderId="0" xfId="0" applyFont="1"/>
    <xf numFmtId="0" fontId="0" fillId="3" borderId="0" xfId="0" applyFill="1"/>
    <xf numFmtId="0" fontId="8" fillId="0" borderId="0" xfId="0" applyFont="1"/>
    <xf numFmtId="0" fontId="9" fillId="4" borderId="0" xfId="0" applyFont="1" applyFill="1"/>
    <xf numFmtId="0" fontId="2" fillId="4" borderId="0" xfId="0" applyFont="1" applyFill="1"/>
    <xf numFmtId="14" fontId="2" fillId="4" borderId="0" xfId="0" applyNumberFormat="1" applyFont="1" applyFill="1"/>
    <xf numFmtId="0" fontId="8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165" fontId="0" fillId="0" borderId="5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3" fillId="0" borderId="2" xfId="1" applyNumberFormat="1" applyFont="1" applyBorder="1"/>
    <xf numFmtId="165" fontId="3" fillId="0" borderId="4" xfId="1" applyNumberFormat="1" applyFont="1" applyBorder="1"/>
    <xf numFmtId="165" fontId="3" fillId="0" borderId="3" xfId="1" applyNumberFormat="1" applyFont="1" applyBorder="1"/>
    <xf numFmtId="0" fontId="11" fillId="0" borderId="0" xfId="0" applyFont="1"/>
    <xf numFmtId="0" fontId="12" fillId="0" borderId="0" xfId="0" applyFont="1"/>
    <xf numFmtId="165" fontId="12" fillId="0" borderId="0" xfId="0" applyNumberFormat="1" applyFont="1"/>
    <xf numFmtId="0" fontId="11" fillId="0" borderId="11" xfId="0" applyFont="1" applyBorder="1"/>
    <xf numFmtId="166" fontId="11" fillId="0" borderId="0" xfId="0" applyNumberFormat="1" applyFont="1"/>
    <xf numFmtId="9" fontId="11" fillId="0" borderId="0" xfId="0" applyNumberFormat="1" applyFont="1"/>
    <xf numFmtId="165" fontId="11" fillId="0" borderId="10" xfId="0" applyNumberFormat="1" applyFont="1" applyBorder="1"/>
    <xf numFmtId="165" fontId="11" fillId="0" borderId="11" xfId="0" applyNumberFormat="1" applyFont="1" applyBorder="1"/>
    <xf numFmtId="9" fontId="3" fillId="0" borderId="2" xfId="1" applyFont="1" applyBorder="1"/>
    <xf numFmtId="9" fontId="3" fillId="0" borderId="4" xfId="1" applyFont="1" applyBorder="1"/>
    <xf numFmtId="9" fontId="3" fillId="0" borderId="3" xfId="1" applyFont="1" applyBorder="1"/>
    <xf numFmtId="165" fontId="11" fillId="0" borderId="12" xfId="0" applyNumberFormat="1" applyFont="1" applyBorder="1"/>
    <xf numFmtId="165" fontId="0" fillId="0" borderId="0" xfId="0" applyNumberFormat="1"/>
    <xf numFmtId="168" fontId="11" fillId="0" borderId="0" xfId="3" applyNumberFormat="1" applyFont="1"/>
    <xf numFmtId="9" fontId="0" fillId="0" borderId="0" xfId="1" applyFont="1"/>
    <xf numFmtId="165" fontId="0" fillId="0" borderId="0" xfId="1" applyNumberFormat="1" applyFont="1"/>
    <xf numFmtId="168" fontId="0" fillId="0" borderId="0" xfId="0" applyNumberFormat="1"/>
    <xf numFmtId="169" fontId="0" fillId="0" borderId="0" xfId="0" applyNumberFormat="1"/>
    <xf numFmtId="1" fontId="0" fillId="0" borderId="0" xfId="0" applyNumberFormat="1"/>
    <xf numFmtId="43" fontId="0" fillId="0" borderId="0" xfId="0" applyNumberFormat="1"/>
    <xf numFmtId="167" fontId="0" fillId="0" borderId="0" xfId="0" applyNumberFormat="1"/>
    <xf numFmtId="168" fontId="12" fillId="0" borderId="0" xfId="3" applyNumberFormat="1" applyFont="1"/>
    <xf numFmtId="0" fontId="3" fillId="5" borderId="0" xfId="0" applyFont="1" applyFill="1"/>
    <xf numFmtId="169" fontId="12" fillId="0" borderId="0" xfId="0" applyNumberFormat="1" applyFont="1"/>
    <xf numFmtId="168" fontId="8" fillId="5" borderId="0" xfId="3" applyNumberFormat="1" applyFont="1" applyFill="1"/>
    <xf numFmtId="168" fontId="12" fillId="5" borderId="0" xfId="3" applyNumberFormat="1" applyFont="1" applyFill="1"/>
    <xf numFmtId="168" fontId="3" fillId="0" borderId="0" xfId="0" applyNumberFormat="1" applyFont="1"/>
    <xf numFmtId="2" fontId="12" fillId="0" borderId="0" xfId="0" applyNumberFormat="1" applyFont="1"/>
    <xf numFmtId="170" fontId="12" fillId="0" borderId="0" xfId="0" applyNumberFormat="1" applyFont="1"/>
    <xf numFmtId="0" fontId="14" fillId="0" borderId="0" xfId="0" applyFont="1"/>
    <xf numFmtId="0" fontId="15" fillId="0" borderId="0" xfId="0" applyFont="1"/>
    <xf numFmtId="0" fontId="18" fillId="0" borderId="0" xfId="2" applyFont="1"/>
    <xf numFmtId="0" fontId="1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4" borderId="0" xfId="0" applyFont="1" applyFill="1" applyAlignment="1">
      <alignment horizontal="right"/>
    </xf>
    <xf numFmtId="0" fontId="8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center" vertical="center"/>
    </xf>
    <xf numFmtId="0" fontId="8" fillId="6" borderId="0" xfId="0" applyFont="1" applyFill="1"/>
    <xf numFmtId="0" fontId="21" fillId="0" borderId="0" xfId="0" applyFont="1"/>
    <xf numFmtId="165" fontId="12" fillId="0" borderId="0" xfId="1" applyNumberFormat="1" applyFont="1"/>
    <xf numFmtId="1" fontId="3" fillId="0" borderId="4" xfId="1" applyNumberFormat="1" applyFont="1" applyBorder="1"/>
    <xf numFmtId="1" fontId="12" fillId="0" borderId="13" xfId="0" applyNumberFormat="1" applyFont="1" applyBorder="1"/>
    <xf numFmtId="1" fontId="11" fillId="0" borderId="11" xfId="0" applyNumberFormat="1" applyFont="1" applyBorder="1"/>
    <xf numFmtId="1" fontId="12" fillId="0" borderId="0" xfId="0" applyNumberFormat="1" applyFont="1"/>
    <xf numFmtId="1" fontId="12" fillId="0" borderId="16" xfId="0" applyNumberFormat="1" applyFont="1" applyBorder="1"/>
    <xf numFmtId="9" fontId="0" fillId="0" borderId="4" xfId="1" applyFont="1" applyBorder="1"/>
    <xf numFmtId="0" fontId="22" fillId="0" borderId="5" xfId="0" applyFont="1" applyBorder="1"/>
    <xf numFmtId="1" fontId="22" fillId="0" borderId="11" xfId="0" applyNumberFormat="1" applyFont="1" applyBorder="1"/>
    <xf numFmtId="0" fontId="22" fillId="0" borderId="6" xfId="0" applyFont="1" applyBorder="1"/>
    <xf numFmtId="37" fontId="0" fillId="0" borderId="0" xfId="0" applyNumberFormat="1"/>
    <xf numFmtId="171" fontId="0" fillId="0" borderId="0" xfId="0" applyNumberFormat="1"/>
    <xf numFmtId="39" fontId="0" fillId="0" borderId="0" xfId="0" applyNumberFormat="1"/>
    <xf numFmtId="171" fontId="3" fillId="6" borderId="0" xfId="0" applyNumberFormat="1" applyFont="1" applyFill="1"/>
    <xf numFmtId="0" fontId="13" fillId="0" borderId="0" xfId="0" applyFont="1"/>
    <xf numFmtId="171" fontId="3" fillId="0" borderId="0" xfId="0" applyNumberFormat="1" applyFont="1"/>
    <xf numFmtId="171" fontId="12" fillId="0" borderId="0" xfId="0" applyNumberFormat="1" applyFont="1"/>
    <xf numFmtId="0" fontId="10" fillId="0" borderId="0" xfId="0" applyFont="1"/>
    <xf numFmtId="0" fontId="0" fillId="5" borderId="0" xfId="0" applyFill="1"/>
    <xf numFmtId="165" fontId="0" fillId="5" borderId="0" xfId="1" applyNumberFormat="1" applyFont="1" applyFill="1"/>
    <xf numFmtId="165" fontId="0" fillId="2" borderId="0" xfId="1" applyNumberFormat="1" applyFont="1" applyFill="1"/>
    <xf numFmtId="173" fontId="0" fillId="0" borderId="0" xfId="0" applyNumberFormat="1"/>
    <xf numFmtId="43" fontId="11" fillId="0" borderId="0" xfId="3" applyFont="1"/>
    <xf numFmtId="0" fontId="11" fillId="0" borderId="10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5" xfId="0" applyFont="1" applyBorder="1"/>
    <xf numFmtId="2" fontId="3" fillId="0" borderId="2" xfId="1" applyNumberFormat="1" applyFont="1" applyBorder="1"/>
    <xf numFmtId="2" fontId="0" fillId="0" borderId="4" xfId="1" applyNumberFormat="1" applyFont="1" applyBorder="1"/>
    <xf numFmtId="2" fontId="3" fillId="0" borderId="4" xfId="1" applyNumberFormat="1" applyFont="1" applyBorder="1"/>
    <xf numFmtId="2" fontId="0" fillId="0" borderId="0" xfId="1" applyNumberFormat="1" applyFont="1"/>
    <xf numFmtId="2" fontId="3" fillId="0" borderId="3" xfId="1" applyNumberFormat="1" applyFont="1" applyBorder="1"/>
    <xf numFmtId="170" fontId="11" fillId="0" borderId="10" xfId="0" applyNumberFormat="1" applyFont="1" applyBorder="1"/>
    <xf numFmtId="170" fontId="11" fillId="0" borderId="11" xfId="0" applyNumberFormat="1" applyFont="1" applyBorder="1"/>
    <xf numFmtId="170" fontId="11" fillId="0" borderId="12" xfId="0" applyNumberFormat="1" applyFont="1" applyBorder="1"/>
    <xf numFmtId="174" fontId="11" fillId="0" borderId="13" xfId="0" applyNumberFormat="1" applyFont="1" applyBorder="1"/>
    <xf numFmtId="2" fontId="0" fillId="0" borderId="0" xfId="0" applyNumberFormat="1"/>
    <xf numFmtId="43" fontId="12" fillId="0" borderId="0" xfId="3" applyFont="1"/>
    <xf numFmtId="9" fontId="11" fillId="0" borderId="10" xfId="1" applyFont="1" applyBorder="1"/>
    <xf numFmtId="165" fontId="0" fillId="2" borderId="0" xfId="0" applyNumberFormat="1" applyFill="1"/>
    <xf numFmtId="0" fontId="3" fillId="2" borderId="0" xfId="0" applyFont="1" applyFill="1"/>
    <xf numFmtId="2" fontId="0" fillId="2" borderId="0" xfId="1" applyNumberFormat="1" applyFont="1" applyFill="1"/>
    <xf numFmtId="2" fontId="0" fillId="2" borderId="0" xfId="0" applyNumberFormat="1" applyFill="1"/>
    <xf numFmtId="168" fontId="0" fillId="2" borderId="0" xfId="3" applyNumberFormat="1" applyFont="1" applyFill="1"/>
    <xf numFmtId="37" fontId="3" fillId="0" borderId="0" xfId="0" applyNumberFormat="1" applyFont="1"/>
    <xf numFmtId="37" fontId="3" fillId="5" borderId="0" xfId="0" applyNumberFormat="1" applyFont="1" applyFill="1"/>
    <xf numFmtId="168" fontId="0" fillId="0" borderId="0" xfId="3" applyNumberFormat="1" applyFont="1"/>
    <xf numFmtId="168" fontId="3" fillId="5" borderId="0" xfId="3" applyNumberFormat="1" applyFont="1" applyFill="1"/>
    <xf numFmtId="37" fontId="0" fillId="0" borderId="0" xfId="3" applyNumberFormat="1" applyFont="1"/>
    <xf numFmtId="0" fontId="0" fillId="0" borderId="18" xfId="0" applyBorder="1"/>
    <xf numFmtId="168" fontId="0" fillId="0" borderId="18" xfId="3" applyNumberFormat="1" applyFont="1" applyBorder="1"/>
    <xf numFmtId="169" fontId="23" fillId="0" borderId="0" xfId="0" applyNumberFormat="1" applyFont="1"/>
    <xf numFmtId="167" fontId="23" fillId="0" borderId="0" xfId="3" applyNumberFormat="1" applyFont="1"/>
    <xf numFmtId="169" fontId="23" fillId="0" borderId="18" xfId="0" applyNumberFormat="1" applyFont="1" applyBorder="1"/>
    <xf numFmtId="0" fontId="23" fillId="0" borderId="0" xfId="0" applyFont="1"/>
    <xf numFmtId="0" fontId="23" fillId="0" borderId="18" xfId="0" applyFont="1" applyBorder="1"/>
    <xf numFmtId="171" fontId="0" fillId="0" borderId="18" xfId="0" applyNumberFormat="1" applyBorder="1"/>
    <xf numFmtId="43" fontId="3" fillId="5" borderId="0" xfId="0" applyNumberFormat="1" applyFont="1" applyFill="1"/>
    <xf numFmtId="43" fontId="0" fillId="0" borderId="0" xfId="3" applyFont="1"/>
    <xf numFmtId="43" fontId="0" fillId="0" borderId="0" xfId="3" applyFont="1" applyFill="1"/>
    <xf numFmtId="165" fontId="0" fillId="0" borderId="0" xfId="1" applyNumberFormat="1" applyFont="1" applyFill="1"/>
    <xf numFmtId="167" fontId="23" fillId="0" borderId="0" xfId="3" applyNumberFormat="1" applyFont="1" applyBorder="1"/>
    <xf numFmtId="171" fontId="23" fillId="0" borderId="0" xfId="0" applyNumberFormat="1" applyFont="1"/>
    <xf numFmtId="9" fontId="0" fillId="0" borderId="0" xfId="0" applyNumberFormat="1"/>
    <xf numFmtId="165" fontId="3" fillId="0" borderId="0" xfId="1" applyNumberFormat="1" applyFont="1"/>
    <xf numFmtId="168" fontId="3" fillId="0" borderId="0" xfId="3" applyNumberFormat="1" applyFont="1"/>
    <xf numFmtId="37" fontId="3" fillId="0" borderId="0" xfId="1" applyNumberFormat="1" applyFont="1"/>
    <xf numFmtId="0" fontId="2" fillId="4" borderId="0" xfId="0" applyFont="1" applyFill="1" applyAlignment="1">
      <alignment horizontal="left"/>
    </xf>
    <xf numFmtId="171" fontId="3" fillId="5" borderId="0" xfId="0" applyNumberFormat="1" applyFont="1" applyFill="1"/>
    <xf numFmtId="165" fontId="11" fillId="0" borderId="0" xfId="1" applyNumberFormat="1" applyFont="1"/>
    <xf numFmtId="168" fontId="25" fillId="0" borderId="0" xfId="3" applyNumberFormat="1" applyFont="1"/>
    <xf numFmtId="175" fontId="0" fillId="0" borderId="0" xfId="0" applyNumberFormat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left" indent="1"/>
    </xf>
    <xf numFmtId="0" fontId="0" fillId="0" borderId="18" xfId="0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37" fontId="0" fillId="0" borderId="18" xfId="0" applyNumberFormat="1" applyBorder="1"/>
    <xf numFmtId="0" fontId="3" fillId="5" borderId="0" xfId="0" applyFont="1" applyFill="1" applyAlignment="1">
      <alignment horizontal="left"/>
    </xf>
    <xf numFmtId="176" fontId="0" fillId="0" borderId="0" xfId="0" applyNumberFormat="1"/>
    <xf numFmtId="0" fontId="0" fillId="0" borderId="10" xfId="0" applyBorder="1"/>
    <xf numFmtId="0" fontId="0" fillId="0" borderId="11" xfId="0" applyBorder="1"/>
    <xf numFmtId="168" fontId="0" fillId="0" borderId="11" xfId="3" applyNumberFormat="1" applyFont="1" applyBorder="1"/>
    <xf numFmtId="168" fontId="0" fillId="0" borderId="12" xfId="3" applyNumberFormat="1" applyFont="1" applyBorder="1"/>
    <xf numFmtId="0" fontId="0" fillId="0" borderId="15" xfId="0" applyBorder="1"/>
    <xf numFmtId="0" fontId="0" fillId="0" borderId="16" xfId="0" applyBorder="1"/>
    <xf numFmtId="9" fontId="0" fillId="0" borderId="16" xfId="1" applyFont="1" applyBorder="1"/>
    <xf numFmtId="9" fontId="0" fillId="0" borderId="17" xfId="1" applyFont="1" applyBorder="1"/>
    <xf numFmtId="168" fontId="0" fillId="0" borderId="0" xfId="3" applyNumberFormat="1" applyFont="1" applyFill="1" applyBorder="1"/>
    <xf numFmtId="9" fontId="0" fillId="0" borderId="0" xfId="1" applyFont="1" applyFill="1" applyBorder="1"/>
    <xf numFmtId="0" fontId="15" fillId="0" borderId="0" xfId="0" applyFont="1" applyAlignment="1">
      <alignment horizontal="left"/>
    </xf>
    <xf numFmtId="165" fontId="15" fillId="0" borderId="0" xfId="1" applyNumberFormat="1" applyFont="1" applyFill="1"/>
    <xf numFmtId="0" fontId="25" fillId="0" borderId="0" xfId="0" applyFont="1"/>
    <xf numFmtId="170" fontId="0" fillId="0" borderId="0" xfId="0" applyNumberFormat="1"/>
    <xf numFmtId="39" fontId="0" fillId="0" borderId="18" xfId="0" applyNumberFormat="1" applyBorder="1"/>
    <xf numFmtId="177" fontId="0" fillId="0" borderId="0" xfId="0" applyNumberFormat="1"/>
    <xf numFmtId="171" fontId="0" fillId="0" borderId="0" xfId="1" applyNumberFormat="1" applyFont="1"/>
    <xf numFmtId="167" fontId="11" fillId="0" borderId="0" xfId="3" applyNumberFormat="1" applyFont="1"/>
    <xf numFmtId="167" fontId="3" fillId="0" borderId="0" xfId="0" applyNumberFormat="1" applyFont="1"/>
    <xf numFmtId="176" fontId="0" fillId="0" borderId="18" xfId="0" applyNumberFormat="1" applyBorder="1"/>
    <xf numFmtId="9" fontId="25" fillId="0" borderId="0" xfId="1" applyFont="1"/>
    <xf numFmtId="168" fontId="0" fillId="0" borderId="18" xfId="0" applyNumberFormat="1" applyBorder="1"/>
    <xf numFmtId="0" fontId="8" fillId="0" borderId="0" xfId="0" applyFont="1" applyAlignment="1">
      <alignment horizontal="right"/>
    </xf>
    <xf numFmtId="2" fontId="11" fillId="0" borderId="11" xfId="1" applyNumberFormat="1" applyFont="1" applyBorder="1"/>
    <xf numFmtId="2" fontId="11" fillId="0" borderId="0" xfId="1" applyNumberFormat="1" applyFont="1"/>
    <xf numFmtId="2" fontId="11" fillId="0" borderId="10" xfId="1" applyNumberFormat="1" applyFont="1" applyBorder="1"/>
    <xf numFmtId="2" fontId="11" fillId="0" borderId="12" xfId="1" applyNumberFormat="1" applyFont="1" applyBorder="1"/>
    <xf numFmtId="2" fontId="11" fillId="0" borderId="13" xfId="1" applyNumberFormat="1" applyFont="1" applyBorder="1"/>
    <xf numFmtId="2" fontId="11" fillId="0" borderId="0" xfId="1" applyNumberFormat="1" applyFont="1" applyBorder="1"/>
    <xf numFmtId="2" fontId="11" fillId="0" borderId="14" xfId="1" applyNumberFormat="1" applyFont="1" applyBorder="1"/>
    <xf numFmtId="2" fontId="11" fillId="0" borderId="15" xfId="1" applyNumberFormat="1" applyFont="1" applyBorder="1"/>
    <xf numFmtId="2" fontId="11" fillId="0" borderId="16" xfId="1" applyNumberFormat="1" applyFont="1" applyBorder="1"/>
    <xf numFmtId="2" fontId="11" fillId="0" borderId="17" xfId="1" applyNumberFormat="1" applyFont="1" applyBorder="1"/>
    <xf numFmtId="168" fontId="11" fillId="5" borderId="0" xfId="3" applyNumberFormat="1" applyFont="1" applyFill="1"/>
    <xf numFmtId="179" fontId="23" fillId="0" borderId="0" xfId="0" applyNumberFormat="1" applyFont="1"/>
    <xf numFmtId="179" fontId="23" fillId="0" borderId="0" xfId="3" applyNumberFormat="1" applyFont="1"/>
    <xf numFmtId="179" fontId="23" fillId="0" borderId="18" xfId="0" applyNumberFormat="1" applyFont="1" applyBorder="1"/>
    <xf numFmtId="181" fontId="23" fillId="0" borderId="0" xfId="0" applyNumberFormat="1" applyFont="1"/>
    <xf numFmtId="167" fontId="12" fillId="0" borderId="0" xfId="0" applyNumberFormat="1" applyFont="1"/>
    <xf numFmtId="168" fontId="0" fillId="0" borderId="18" xfId="3" applyNumberFormat="1" applyFont="1" applyFill="1" applyBorder="1"/>
    <xf numFmtId="167" fontId="23" fillId="0" borderId="0" xfId="3" applyNumberFormat="1" applyFont="1" applyFill="1" applyBorder="1"/>
    <xf numFmtId="171" fontId="23" fillId="0" borderId="0" xfId="3" applyNumberFormat="1" applyFont="1" applyFill="1" applyBorder="1"/>
    <xf numFmtId="0" fontId="2" fillId="0" borderId="0" xfId="0" applyFont="1" applyAlignment="1">
      <alignment horizontal="right"/>
    </xf>
    <xf numFmtId="179" fontId="23" fillId="0" borderId="0" xfId="3" applyNumberFormat="1" applyFont="1" applyFill="1" applyBorder="1"/>
    <xf numFmtId="168" fontId="22" fillId="5" borderId="0" xfId="3" applyNumberFormat="1" applyFont="1" applyFill="1"/>
    <xf numFmtId="180" fontId="0" fillId="0" borderId="0" xfId="0" applyNumberFormat="1"/>
    <xf numFmtId="178" fontId="0" fillId="0" borderId="0" xfId="0" applyNumberFormat="1"/>
    <xf numFmtId="37" fontId="22" fillId="0" borderId="0" xfId="0" applyNumberFormat="1" applyFont="1" applyAlignment="1">
      <alignment horizontal="right"/>
    </xf>
    <xf numFmtId="37" fontId="12" fillId="0" borderId="0" xfId="0" applyNumberFormat="1" applyFont="1" applyAlignment="1">
      <alignment horizontal="right"/>
    </xf>
    <xf numFmtId="171" fontId="22" fillId="0" borderId="18" xfId="0" applyNumberFormat="1" applyFont="1" applyBorder="1" applyAlignment="1">
      <alignment horizontal="right"/>
    </xf>
    <xf numFmtId="37" fontId="22" fillId="0" borderId="18" xfId="0" applyNumberFormat="1" applyFont="1" applyBorder="1" applyAlignment="1">
      <alignment horizontal="right"/>
    </xf>
    <xf numFmtId="171" fontId="0" fillId="0" borderId="18" xfId="1" applyNumberFormat="1" applyFont="1" applyBorder="1"/>
    <xf numFmtId="171" fontId="27" fillId="0" borderId="0" xfId="0" applyNumberFormat="1" applyFont="1" applyAlignment="1">
      <alignment horizontal="right"/>
    </xf>
    <xf numFmtId="171" fontId="3" fillId="0" borderId="0" xfId="1" applyNumberFormat="1" applyFont="1"/>
    <xf numFmtId="0" fontId="10" fillId="0" borderId="18" xfId="0" applyFont="1" applyBorder="1"/>
    <xf numFmtId="0" fontId="23" fillId="0" borderId="0" xfId="0" applyFont="1" applyAlignment="1">
      <alignment horizontal="left"/>
    </xf>
    <xf numFmtId="165" fontId="23" fillId="0" borderId="0" xfId="1" applyNumberFormat="1" applyFont="1" applyFill="1" applyBorder="1"/>
    <xf numFmtId="0" fontId="3" fillId="0" borderId="18" xfId="0" applyFont="1" applyBorder="1"/>
    <xf numFmtId="0" fontId="3" fillId="0" borderId="18" xfId="0" applyFont="1" applyBorder="1" applyAlignment="1">
      <alignment horizontal="left" indent="1"/>
    </xf>
    <xf numFmtId="0" fontId="13" fillId="0" borderId="18" xfId="0" applyFont="1" applyBorder="1"/>
    <xf numFmtId="171" fontId="3" fillId="0" borderId="18" xfId="0" applyNumberFormat="1" applyFont="1" applyBorder="1"/>
    <xf numFmtId="167" fontId="12" fillId="5" borderId="0" xfId="3" applyNumberFormat="1" applyFont="1" applyFill="1"/>
    <xf numFmtId="168" fontId="3" fillId="0" borderId="0" xfId="3" applyNumberFormat="1" applyFont="1" applyFill="1" applyBorder="1"/>
    <xf numFmtId="167" fontId="8" fillId="5" borderId="0" xfId="3" applyNumberFormat="1" applyFont="1" applyFill="1"/>
    <xf numFmtId="167" fontId="12" fillId="0" borderId="0" xfId="3" applyNumberFormat="1" applyFont="1"/>
    <xf numFmtId="43" fontId="0" fillId="0" borderId="18" xfId="0" applyNumberFormat="1" applyBorder="1"/>
    <xf numFmtId="168" fontId="0" fillId="0" borderId="0" xfId="3" applyNumberFormat="1" applyFont="1" applyBorder="1"/>
    <xf numFmtId="171" fontId="26" fillId="0" borderId="21" xfId="3" applyNumberFormat="1" applyFont="1" applyFill="1" applyBorder="1" applyProtection="1"/>
    <xf numFmtId="171" fontId="26" fillId="0" borderId="0" xfId="3" applyNumberFormat="1" applyFont="1" applyFill="1" applyBorder="1" applyProtection="1"/>
    <xf numFmtId="0" fontId="2" fillId="0" borderId="0" xfId="0" applyFont="1"/>
    <xf numFmtId="14" fontId="2" fillId="0" borderId="0" xfId="0" applyNumberFormat="1" applyFont="1"/>
    <xf numFmtId="0" fontId="0" fillId="0" borderId="22" xfId="0" applyBorder="1"/>
    <xf numFmtId="37" fontId="0" fillId="0" borderId="0" xfId="0" applyNumberFormat="1" applyAlignment="1">
      <alignment horizontal="right"/>
    </xf>
    <xf numFmtId="168" fontId="0" fillId="0" borderId="0" xfId="3" applyNumberFormat="1" applyFont="1" applyBorder="1" applyAlignment="1">
      <alignment horizontal="right"/>
    </xf>
    <xf numFmtId="168" fontId="0" fillId="0" borderId="18" xfId="3" applyNumberFormat="1" applyFont="1" applyBorder="1" applyAlignment="1">
      <alignment horizontal="right"/>
    </xf>
    <xf numFmtId="9" fontId="12" fillId="0" borderId="0" xfId="1" applyFont="1"/>
    <xf numFmtId="37" fontId="0" fillId="0" borderId="23" xfId="0" applyNumberFormat="1" applyBorder="1"/>
    <xf numFmtId="165" fontId="22" fillId="0" borderId="0" xfId="1" applyNumberFormat="1" applyFont="1"/>
    <xf numFmtId="0" fontId="0" fillId="0" borderId="23" xfId="0" applyBorder="1"/>
    <xf numFmtId="168" fontId="12" fillId="0" borderId="0" xfId="3" applyNumberFormat="1" applyFont="1" applyFill="1"/>
    <xf numFmtId="0" fontId="30" fillId="0" borderId="2" xfId="0" applyFont="1" applyBorder="1"/>
    <xf numFmtId="9" fontId="29" fillId="0" borderId="3" xfId="0" applyNumberFormat="1" applyFont="1" applyBorder="1"/>
    <xf numFmtId="0" fontId="12" fillId="0" borderId="0" xfId="1" applyNumberFormat="1" applyFont="1"/>
    <xf numFmtId="37" fontId="26" fillId="0" borderId="21" xfId="3" applyNumberFormat="1" applyFont="1" applyBorder="1" applyProtection="1"/>
    <xf numFmtId="37" fontId="26" fillId="0" borderId="0" xfId="3" applyNumberFormat="1" applyFont="1" applyBorder="1" applyProtection="1"/>
    <xf numFmtId="0" fontId="15" fillId="0" borderId="0" xfId="0" applyFont="1" applyAlignment="1">
      <alignment horizontal="left" indent="2"/>
    </xf>
    <xf numFmtId="169" fontId="8" fillId="6" borderId="0" xfId="0" applyNumberFormat="1" applyFont="1" applyFill="1"/>
    <xf numFmtId="10" fontId="15" fillId="0" borderId="0" xfId="1" applyNumberFormat="1" applyFont="1" applyFill="1"/>
    <xf numFmtId="0" fontId="3" fillId="5" borderId="19" xfId="0" applyFont="1" applyFill="1" applyBorder="1"/>
    <xf numFmtId="0" fontId="3" fillId="5" borderId="20" xfId="0" applyFont="1" applyFill="1" applyBorder="1"/>
    <xf numFmtId="182" fontId="3" fillId="5" borderId="22" xfId="0" applyNumberFormat="1" applyFont="1" applyFill="1" applyBorder="1"/>
    <xf numFmtId="9" fontId="22" fillId="0" borderId="0" xfId="0" applyNumberFormat="1" applyFont="1"/>
    <xf numFmtId="168" fontId="22" fillId="0" borderId="0" xfId="3" applyNumberFormat="1" applyFont="1"/>
    <xf numFmtId="168" fontId="3" fillId="0" borderId="18" xfId="0" applyNumberFormat="1" applyFont="1" applyBorder="1"/>
    <xf numFmtId="165" fontId="0" fillId="0" borderId="18" xfId="0" applyNumberFormat="1" applyBorder="1"/>
    <xf numFmtId="9" fontId="3" fillId="0" borderId="0" xfId="1" applyFont="1"/>
    <xf numFmtId="43" fontId="3" fillId="0" borderId="18" xfId="0" applyNumberFormat="1" applyFont="1" applyBorder="1"/>
    <xf numFmtId="0" fontId="22" fillId="0" borderId="0" xfId="0" applyFont="1"/>
    <xf numFmtId="168" fontId="12" fillId="0" borderId="0" xfId="0" applyNumberFormat="1" applyFont="1"/>
    <xf numFmtId="37" fontId="3" fillId="0" borderId="18" xfId="0" applyNumberFormat="1" applyFont="1" applyBorder="1"/>
    <xf numFmtId="165" fontId="3" fillId="5" borderId="22" xfId="0" applyNumberFormat="1" applyFont="1" applyFill="1" applyBorder="1"/>
    <xf numFmtId="170" fontId="3" fillId="5" borderId="22" xfId="0" applyNumberFormat="1" applyFont="1" applyFill="1" applyBorder="1"/>
    <xf numFmtId="171" fontId="12" fillId="0" borderId="0" xfId="0" applyNumberFormat="1" applyFont="1" applyAlignment="1">
      <alignment horizontal="right"/>
    </xf>
    <xf numFmtId="172" fontId="0" fillId="0" borderId="0" xfId="1" applyNumberFormat="1" applyFont="1"/>
    <xf numFmtId="37" fontId="8" fillId="0" borderId="0" xfId="0" applyNumberFormat="1" applyFont="1" applyAlignment="1">
      <alignment horizontal="right"/>
    </xf>
    <xf numFmtId="171" fontId="3" fillId="0" borderId="0" xfId="3" applyNumberFormat="1" applyFont="1"/>
    <xf numFmtId="37" fontId="22" fillId="0" borderId="0" xfId="0" applyNumberFormat="1" applyFont="1"/>
    <xf numFmtId="168" fontId="3" fillId="0" borderId="18" xfId="3" applyNumberFormat="1" applyFont="1" applyBorder="1"/>
    <xf numFmtId="10" fontId="0" fillId="0" borderId="0" xfId="1" applyNumberFormat="1" applyFont="1"/>
    <xf numFmtId="9" fontId="31" fillId="0" borderId="2" xfId="1" applyFont="1" applyFill="1" applyBorder="1" applyAlignment="1">
      <alignment horizontal="left" indent="1"/>
    </xf>
    <xf numFmtId="9" fontId="31" fillId="0" borderId="4" xfId="1" applyFont="1" applyFill="1" applyBorder="1"/>
    <xf numFmtId="9" fontId="31" fillId="0" borderId="3" xfId="1" applyFont="1" applyFill="1" applyBorder="1"/>
    <xf numFmtId="183" fontId="0" fillId="0" borderId="0" xfId="0" applyNumberFormat="1"/>
    <xf numFmtId="0" fontId="32" fillId="0" borderId="2" xfId="0" applyFont="1" applyBorder="1" applyAlignment="1">
      <alignment horizontal="left" indent="1"/>
    </xf>
    <xf numFmtId="0" fontId="33" fillId="0" borderId="4" xfId="0" applyFont="1" applyBorder="1"/>
    <xf numFmtId="0" fontId="3" fillId="0" borderId="4" xfId="0" applyFont="1" applyBorder="1"/>
    <xf numFmtId="9" fontId="32" fillId="0" borderId="4" xfId="1" applyFont="1" applyFill="1" applyBorder="1"/>
    <xf numFmtId="37" fontId="3" fillId="0" borderId="4" xfId="0" applyNumberFormat="1" applyFont="1" applyBorder="1"/>
    <xf numFmtId="9" fontId="32" fillId="0" borderId="3" xfId="1" applyFont="1" applyFill="1" applyBorder="1"/>
    <xf numFmtId="3" fontId="0" fillId="0" borderId="0" xfId="0" applyNumberFormat="1"/>
    <xf numFmtId="176" fontId="22" fillId="0" borderId="0" xfId="0" applyNumberFormat="1" applyFont="1"/>
    <xf numFmtId="3" fontId="3" fillId="0" borderId="0" xfId="0" applyNumberFormat="1" applyFont="1"/>
    <xf numFmtId="0" fontId="3" fillId="0" borderId="20" xfId="0" applyFont="1" applyBorder="1"/>
    <xf numFmtId="37" fontId="3" fillId="7" borderId="0" xfId="0" applyNumberFormat="1" applyFont="1" applyFill="1" applyAlignment="1">
      <alignment horizontal="right"/>
    </xf>
    <xf numFmtId="37" fontId="0" fillId="5" borderId="0" xfId="0" applyNumberFormat="1" applyFill="1"/>
    <xf numFmtId="37" fontId="0" fillId="5" borderId="18" xfId="0" applyNumberFormat="1" applyFill="1" applyBorder="1"/>
    <xf numFmtId="37" fontId="3" fillId="5" borderId="18" xfId="0" applyNumberFormat="1" applyFont="1" applyFill="1" applyBorder="1"/>
    <xf numFmtId="171" fontId="3" fillId="5" borderId="18" xfId="0" applyNumberFormat="1" applyFont="1" applyFill="1" applyBorder="1"/>
    <xf numFmtId="0" fontId="0" fillId="0" borderId="24" xfId="0" applyBorder="1"/>
    <xf numFmtId="37" fontId="3" fillId="0" borderId="24" xfId="0" applyNumberFormat="1" applyFont="1" applyBorder="1"/>
    <xf numFmtId="0" fontId="3" fillId="0" borderId="24" xfId="0" applyFont="1" applyBorder="1"/>
    <xf numFmtId="37" fontId="0" fillId="6" borderId="0" xfId="0" applyNumberFormat="1" applyFill="1"/>
    <xf numFmtId="39" fontId="3" fillId="0" borderId="0" xfId="0" applyNumberFormat="1" applyFont="1"/>
    <xf numFmtId="39" fontId="8" fillId="5" borderId="0" xfId="0" applyNumberFormat="1" applyFont="1" applyFill="1"/>
    <xf numFmtId="39" fontId="3" fillId="5" borderId="0" xfId="0" applyNumberFormat="1" applyFont="1" applyFill="1"/>
    <xf numFmtId="39" fontId="8" fillId="0" borderId="0" xfId="0" applyNumberFormat="1" applyFont="1"/>
    <xf numFmtId="39" fontId="12" fillId="0" borderId="0" xfId="0" applyNumberFormat="1" applyFont="1"/>
    <xf numFmtId="0" fontId="15" fillId="0" borderId="18" xfId="0" quotePrefix="1" applyFont="1" applyBorder="1"/>
    <xf numFmtId="0" fontId="3" fillId="0" borderId="0" xfId="0" quotePrefix="1" applyFont="1"/>
    <xf numFmtId="37" fontId="0" fillId="6" borderId="18" xfId="0" applyNumberFormat="1" applyFill="1" applyBorder="1"/>
    <xf numFmtId="9" fontId="1" fillId="0" borderId="18" xfId="1" applyFont="1" applyBorder="1"/>
    <xf numFmtId="0" fontId="15" fillId="0" borderId="2" xfId="0" applyFont="1" applyBorder="1" applyAlignment="1">
      <alignment horizontal="left"/>
    </xf>
    <xf numFmtId="0" fontId="15" fillId="0" borderId="4" xfId="0" applyFont="1" applyBorder="1"/>
    <xf numFmtId="165" fontId="15" fillId="0" borderId="4" xfId="1" applyNumberFormat="1" applyFont="1" applyFill="1" applyBorder="1"/>
    <xf numFmtId="165" fontId="15" fillId="0" borderId="3" xfId="1" applyNumberFormat="1" applyFont="1" applyFill="1" applyBorder="1"/>
    <xf numFmtId="1" fontId="0" fillId="0" borderId="18" xfId="0" applyNumberFormat="1" applyBorder="1"/>
    <xf numFmtId="182" fontId="0" fillId="0" borderId="18" xfId="0" applyNumberFormat="1" applyBorder="1"/>
    <xf numFmtId="169" fontId="0" fillId="5" borderId="0" xfId="0" applyNumberFormat="1" applyFill="1"/>
    <xf numFmtId="39" fontId="23" fillId="0" borderId="0" xfId="0" applyNumberFormat="1" applyFont="1"/>
    <xf numFmtId="178" fontId="23" fillId="0" borderId="0" xfId="0" applyNumberFormat="1" applyFont="1"/>
    <xf numFmtId="179" fontId="23" fillId="5" borderId="0" xfId="0" applyNumberFormat="1" applyFont="1" applyFill="1"/>
    <xf numFmtId="9" fontId="23" fillId="0" borderId="0" xfId="1" applyFont="1"/>
    <xf numFmtId="165" fontId="23" fillId="0" borderId="0" xfId="1" applyNumberFormat="1" applyFont="1"/>
    <xf numFmtId="39" fontId="2" fillId="0" borderId="0" xfId="0" applyNumberFormat="1" applyFont="1" applyAlignment="1">
      <alignment horizontal="right"/>
    </xf>
    <xf numFmtId="39" fontId="0" fillId="0" borderId="0" xfId="3" applyNumberFormat="1" applyFont="1" applyFill="1" applyBorder="1"/>
    <xf numFmtId="39" fontId="23" fillId="0" borderId="0" xfId="3" applyNumberFormat="1" applyFont="1" applyFill="1" applyBorder="1"/>
    <xf numFmtId="181" fontId="30" fillId="0" borderId="0" xfId="0" applyNumberFormat="1" applyFont="1"/>
    <xf numFmtId="39" fontId="23" fillId="0" borderId="18" xfId="0" applyNumberFormat="1" applyFont="1" applyBorder="1"/>
    <xf numFmtId="0" fontId="30" fillId="0" borderId="0" xfId="0" applyFont="1"/>
    <xf numFmtId="169" fontId="30" fillId="0" borderId="0" xfId="0" applyNumberFormat="1" applyFont="1"/>
    <xf numFmtId="184" fontId="23" fillId="0" borderId="0" xfId="0" applyNumberFormat="1" applyFont="1"/>
    <xf numFmtId="178" fontId="23" fillId="0" borderId="18" xfId="0" applyNumberFormat="1" applyFont="1" applyBorder="1"/>
    <xf numFmtId="178" fontId="23" fillId="0" borderId="0" xfId="3" applyNumberFormat="1" applyFont="1"/>
    <xf numFmtId="179" fontId="0" fillId="0" borderId="0" xfId="0" applyNumberFormat="1"/>
    <xf numFmtId="173" fontId="25" fillId="0" borderId="0" xfId="0" applyNumberFormat="1" applyFont="1"/>
    <xf numFmtId="43" fontId="25" fillId="0" borderId="0" xfId="3" applyFont="1"/>
    <xf numFmtId="165" fontId="0" fillId="0" borderId="18" xfId="1" applyNumberFormat="1" applyFont="1" applyBorder="1"/>
    <xf numFmtId="170" fontId="0" fillId="5" borderId="0" xfId="0" applyNumberFormat="1" applyFill="1"/>
    <xf numFmtId="174" fontId="0" fillId="5" borderId="0" xfId="0" applyNumberFormat="1" applyFill="1"/>
    <xf numFmtId="0" fontId="23" fillId="0" borderId="0" xfId="1" applyNumberFormat="1" applyFont="1" applyFill="1" applyBorder="1"/>
    <xf numFmtId="184" fontId="23" fillId="0" borderId="18" xfId="0" applyNumberFormat="1" applyFont="1" applyBorder="1"/>
    <xf numFmtId="185" fontId="12" fillId="0" borderId="0" xfId="3" applyNumberFormat="1" applyFont="1"/>
    <xf numFmtId="184" fontId="0" fillId="0" borderId="0" xfId="0" applyNumberFormat="1"/>
    <xf numFmtId="184" fontId="23" fillId="0" borderId="0" xfId="3" applyNumberFormat="1" applyFont="1"/>
    <xf numFmtId="174" fontId="23" fillId="0" borderId="0" xfId="0" applyNumberFormat="1" applyFont="1"/>
    <xf numFmtId="184" fontId="3" fillId="0" borderId="0" xfId="0" applyNumberFormat="1" applyFont="1"/>
    <xf numFmtId="171" fontId="7" fillId="0" borderId="0" xfId="0" applyNumberFormat="1" applyFont="1"/>
    <xf numFmtId="171" fontId="9" fillId="4" borderId="0" xfId="0" applyNumberFormat="1" applyFont="1" applyFill="1"/>
    <xf numFmtId="171" fontId="2" fillId="4" borderId="0" xfId="0" applyNumberFormat="1" applyFont="1" applyFill="1"/>
    <xf numFmtId="171" fontId="0" fillId="3" borderId="0" xfId="0" applyNumberFormat="1" applyFill="1"/>
    <xf numFmtId="171" fontId="8" fillId="0" borderId="0" xfId="0" applyNumberFormat="1" applyFont="1"/>
    <xf numFmtId="171" fontId="12" fillId="0" borderId="0" xfId="3" applyNumberFormat="1" applyFont="1"/>
    <xf numFmtId="171" fontId="10" fillId="0" borderId="0" xfId="0" applyNumberFormat="1" applyFont="1"/>
    <xf numFmtId="171" fontId="0" fillId="2" borderId="0" xfId="0" applyNumberFormat="1" applyFill="1"/>
    <xf numFmtId="171" fontId="0" fillId="0" borderId="0" xfId="3" applyNumberFormat="1" applyFont="1"/>
    <xf numFmtId="171" fontId="0" fillId="5" borderId="0" xfId="0" applyNumberFormat="1" applyFill="1"/>
    <xf numFmtId="171" fontId="3" fillId="5" borderId="0" xfId="3" applyNumberFormat="1" applyFont="1" applyFill="1"/>
    <xf numFmtId="171" fontId="13" fillId="6" borderId="0" xfId="0" applyNumberFormat="1" applyFont="1" applyFill="1"/>
    <xf numFmtId="171" fontId="3" fillId="6" borderId="0" xfId="3" applyNumberFormat="1" applyFont="1" applyFill="1"/>
    <xf numFmtId="171" fontId="13" fillId="0" borderId="0" xfId="0" applyNumberFormat="1" applyFont="1"/>
    <xf numFmtId="171" fontId="3" fillId="0" borderId="0" xfId="1" applyNumberFormat="1" applyFont="1" applyFill="1"/>
    <xf numFmtId="171" fontId="11" fillId="0" borderId="0" xfId="0" applyNumberFormat="1" applyFont="1"/>
    <xf numFmtId="171" fontId="11" fillId="0" borderId="0" xfId="3" applyNumberFormat="1" applyFont="1"/>
    <xf numFmtId="168" fontId="11" fillId="0" borderId="0" xfId="3" applyNumberFormat="1" applyFont="1" applyFill="1"/>
    <xf numFmtId="178" fontId="0" fillId="0" borderId="18" xfId="0" applyNumberFormat="1" applyBorder="1"/>
  </cellXfs>
  <cellStyles count="5">
    <cellStyle name="Comma" xfId="3" builtinId="3"/>
    <cellStyle name="Normal" xfId="0" builtinId="0"/>
    <cellStyle name="Normal 2" xfId="2" xr:uid="{666C3A14-B0E0-46E4-992E-39F39D342B0F}"/>
    <cellStyle name="Normal 4" xfId="4" xr:uid="{69CA2669-F4E1-40E4-8BB8-A19F8103D9E9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/>
              <a:t>R</a:t>
            </a:r>
            <a:r>
              <a:rPr lang="en-US" sz="1100"/>
              <a:t>evenues (£</a:t>
            </a:r>
            <a:r>
              <a:rPr lang="en-US" sz="1100" baseline="0"/>
              <a:t> 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Apple NFC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3866309941534972E-3"/>
                  <c:y val="-4.44989488437281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FE-4E7B-B11D-3BE5BCC850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(Summary!$U$8,Summary!$AH$8,Summary!$AU$8,Summary!$BH$8)</c:f>
              <c:numCache>
                <c:formatCode>#,##0_);\(#,##0\)</c:formatCode>
                <c:ptCount val="4"/>
                <c:pt idx="0">
                  <c:v>69660.929065611315</c:v>
                </c:pt>
                <c:pt idx="1">
                  <c:v>427807.95903066441</c:v>
                </c:pt>
                <c:pt idx="2">
                  <c:v>549923.82062619389</c:v>
                </c:pt>
                <c:pt idx="3">
                  <c:v>834511.08843355521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0-4D8C-AC10-D0A768217E48}"/>
            </c:ext>
          </c:extLst>
        </c:ser>
        <c:ser>
          <c:idx val="1"/>
          <c:order val="1"/>
          <c:tx>
            <c:v>Orange NFC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6199197368454388E-2"/>
                  <c:y val="-4.44989488437297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FE-4E7B-B11D-3BE5BCC850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(Summary!$U$9,Summary!$AH$9,Summary!$AU$9,Summary!$BH$9)</c:f>
              <c:numCache>
                <c:formatCode>#,##0_);\(#,##0\)</c:formatCode>
                <c:ptCount val="4"/>
                <c:pt idx="0">
                  <c:v>128337.53166199173</c:v>
                </c:pt>
                <c:pt idx="1">
                  <c:v>788365.3463975098</c:v>
                </c:pt>
                <c:pt idx="2">
                  <c:v>1013582.6820705339</c:v>
                </c:pt>
                <c:pt idx="3">
                  <c:v>1537928.5949390524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9-49E2-B0E6-E7C7CE9857D4}"/>
            </c:ext>
          </c:extLst>
        </c:ser>
        <c:ser>
          <c:idx val="2"/>
          <c:order val="2"/>
          <c:tx>
            <c:v>Pineapple NFC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77326198830705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FE-4E7B-B11D-3BE5BCC850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(Summary!$U$10,Summary!$AH$10,Summary!$AU$10,Summary!$BH$10)</c:f>
              <c:numCache>
                <c:formatCode>#,##0_);\(#,##0\)</c:formatCode>
                <c:ptCount val="4"/>
                <c:pt idx="0">
                  <c:v>59554.966172919019</c:v>
                </c:pt>
                <c:pt idx="1">
                  <c:v>366089.0702552023</c:v>
                </c:pt>
                <c:pt idx="2">
                  <c:v>470703.66085416335</c:v>
                </c:pt>
                <c:pt idx="3">
                  <c:v>714084.60459347419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9-49E2-B0E6-E7C7CE9857D4}"/>
            </c:ext>
          </c:extLst>
        </c:ser>
        <c:ser>
          <c:idx val="3"/>
          <c:order val="3"/>
          <c:tx>
            <c:v>Cranberry FC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5.7848633496846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FE-4E7B-B11D-3BE5BCC850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(Summary!$U$11,Summary!$AH$11,Summary!$AU$11,Summary!$BH$11)</c:f>
              <c:numCache>
                <c:formatCode>#,##0_);\(#,##0\)</c:formatCode>
                <c:ptCount val="4"/>
                <c:pt idx="0">
                  <c:v>37660.500602529915</c:v>
                </c:pt>
                <c:pt idx="1">
                  <c:v>231502.0650149401</c:v>
                </c:pt>
                <c:pt idx="2">
                  <c:v>297603.4249079196</c:v>
                </c:pt>
                <c:pt idx="3">
                  <c:v>451616.75812776899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9-49E2-B0E6-E7C7CE985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5543632"/>
        <c:axId val="975544112"/>
      </c:barChart>
      <c:catAx>
        <c:axId val="97554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544112"/>
        <c:crosses val="autoZero"/>
        <c:auto val="1"/>
        <c:lblAlgn val="ctr"/>
        <c:lblOffset val="100"/>
        <c:noMultiLvlLbl val="0"/>
      </c:catAx>
      <c:valAx>
        <c:axId val="975544112"/>
        <c:scaling>
          <c:orientation val="minMax"/>
          <c:max val="4000000"/>
          <c:min val="0"/>
        </c:scaling>
        <c:delete val="1"/>
        <c:axPos val="l"/>
        <c:numFmt formatCode="#,##0_);\(#,##0\)" sourceLinked="1"/>
        <c:majorTickMark val="out"/>
        <c:minorTickMark val="none"/>
        <c:tickLblPos val="nextTo"/>
        <c:crossAx val="97554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Gross Profit &amp; EBITDA (£ 1000's) &amp; EBITDA margin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Gross Profit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83240931573030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71-47F5-885A-D7BC0574BE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(Summary!$U$21,Summary!$AH$21,Summary!$AU$21,Summary!$BH$21)</c:f>
              <c:numCache>
                <c:formatCode>#,##0.0_);\(#,##0.0\)</c:formatCode>
                <c:ptCount val="4"/>
                <c:pt idx="0">
                  <c:v>39558.613547692774</c:v>
                </c:pt>
                <c:pt idx="1">
                  <c:v>249296.94060295518</c:v>
                </c:pt>
                <c:pt idx="2">
                  <c:v>322367.09400538774</c:v>
                </c:pt>
                <c:pt idx="3">
                  <c:v>495281.86929905461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7F5-885A-D7BC0574BE48}"/>
            </c:ext>
          </c:extLst>
        </c:ser>
        <c:ser>
          <c:idx val="1"/>
          <c:order val="1"/>
          <c:tx>
            <c:v>EBITDA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(Summary!$U$25,Summary!$AH$25,Summary!$AU$25,Summary!$BH$25)</c:f>
              <c:numCache>
                <c:formatCode>#,##0.0_);\(#,##0.0\)</c:formatCode>
                <c:ptCount val="4"/>
                <c:pt idx="0">
                  <c:v>41626.884325276784</c:v>
                </c:pt>
                <c:pt idx="1">
                  <c:v>131161.87955772196</c:v>
                </c:pt>
                <c:pt idx="2">
                  <c:v>136828.37103532691</c:v>
                </c:pt>
                <c:pt idx="3">
                  <c:v>149387.36561167729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71-47F5-885A-D7BC0574B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642304"/>
        <c:axId val="547668704"/>
      </c:barChart>
      <c:lineChart>
        <c:grouping val="standard"/>
        <c:varyColors val="0"/>
        <c:ser>
          <c:idx val="2"/>
          <c:order val="2"/>
          <c:tx>
            <c:v>EBITDA margin 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0.110874196046531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CE-4D8B-9159-955E0F7FBFE7}"/>
                </c:ext>
              </c:extLst>
            </c:dLbl>
            <c:dLbl>
              <c:idx val="1"/>
              <c:layout>
                <c:manualLayout>
                  <c:x val="0"/>
                  <c:y val="-7.8264138385786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E-4D8B-9159-955E0F7FBFE7}"/>
                </c:ext>
              </c:extLst>
            </c:dLbl>
            <c:dLbl>
              <c:idx val="2"/>
              <c:layout>
                <c:manualLayout>
                  <c:x val="1.6860005796124828E-3"/>
                  <c:y val="-7.8264138385786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E-4D8B-9159-955E0F7FBFE7}"/>
                </c:ext>
              </c:extLst>
            </c:dLbl>
            <c:dLbl>
              <c:idx val="3"/>
              <c:layout>
                <c:manualLayout>
                  <c:x val="0"/>
                  <c:y val="-6.522011532148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E-4D8B-9159-955E0F7FBF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(Summary!$U$29,Summary!$AH$29,Summary!$AU$29,Summary!$BH$29)</c:f>
              <c:numCache>
                <c:formatCode>0.0%</c:formatCode>
                <c:ptCount val="4"/>
                <c:pt idx="0">
                  <c:v>-7.0060067798213407E-3</c:v>
                </c:pt>
                <c:pt idx="1">
                  <c:v>6.5132526801413126E-2</c:v>
                </c:pt>
                <c:pt idx="2">
                  <c:v>7.9568420000798959E-2</c:v>
                </c:pt>
                <c:pt idx="3">
                  <c:v>9.7761649177114884E-2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1-47F5-885A-D7BC0574B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992224"/>
        <c:axId val="1204972544"/>
      </c:lineChart>
      <c:catAx>
        <c:axId val="54764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668704"/>
        <c:crosses val="autoZero"/>
        <c:auto val="1"/>
        <c:lblAlgn val="ctr"/>
        <c:lblOffset val="100"/>
        <c:noMultiLvlLbl val="0"/>
      </c:catAx>
      <c:valAx>
        <c:axId val="547668704"/>
        <c:scaling>
          <c:orientation val="minMax"/>
          <c:max val="500000"/>
          <c:min val="0"/>
        </c:scaling>
        <c:delete val="0"/>
        <c:axPos val="l"/>
        <c:numFmt formatCode="#,##0.0_);\(#,##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642304"/>
        <c:crosses val="autoZero"/>
        <c:crossBetween val="between"/>
      </c:valAx>
      <c:valAx>
        <c:axId val="1204972544"/>
        <c:scaling>
          <c:orientation val="minMax"/>
          <c:max val="0.22000000000000003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4992224"/>
        <c:crosses val="max"/>
        <c:crossBetween val="between"/>
      </c:valAx>
      <c:catAx>
        <c:axId val="120499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4972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Type (£)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Ingredients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(Summary!$U$46,Summary!$AH$46,Summary!$AU$46,Summary!$BH$46)</c:f>
              <c:numCache>
                <c:formatCode>_(* #,##0.00_);_(* \(#,##0.00\);_(* "-"??_);_(@_)</c:formatCode>
                <c:ptCount val="4"/>
                <c:pt idx="0">
                  <c:v>10.324844077013333</c:v>
                </c:pt>
                <c:pt idx="1">
                  <c:v>10.502176878886042</c:v>
                </c:pt>
                <c:pt idx="2">
                  <c:v>10.750168142499126</c:v>
                </c:pt>
                <c:pt idx="3">
                  <c:v>10.963662281026375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0-4F1A-9478-417C22D31BB3}"/>
            </c:ext>
          </c:extLst>
        </c:ser>
        <c:ser>
          <c:idx val="1"/>
          <c:order val="1"/>
          <c:tx>
            <c:v>Co-Packing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(Summary!$U$47,Summary!$AH$47,Summary!$AU$47,Summary!$BH$47)</c:f>
              <c:numCache>
                <c:formatCode>_(* #,##0.00_);_(* \(#,##0.00\);_(* "-"??_);_(@_)</c:formatCode>
                <c:ptCount val="4"/>
                <c:pt idx="0">
                  <c:v>4.37</c:v>
                </c:pt>
                <c:pt idx="1">
                  <c:v>4.447413343636148</c:v>
                </c:pt>
                <c:pt idx="2">
                  <c:v>4.5510054000000002</c:v>
                </c:pt>
                <c:pt idx="3">
                  <c:v>4.6420255079999997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0-4F1A-9478-417C22D31BB3}"/>
            </c:ext>
          </c:extLst>
        </c:ser>
        <c:ser>
          <c:idx val="2"/>
          <c:order val="2"/>
          <c:tx>
            <c:v>Freight &amp; Warehousing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2206119162640902E-3"/>
                  <c:y val="-4.2424262669655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D0-4F1A-9478-417C22D31B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(Summary!$U$48,Summary!$AH$48,Summary!$AU$48,Summary!$BH$48)</c:f>
              <c:numCache>
                <c:formatCode>_(* #,##0.00_);_(* \(#,##0.00\);_(* "-"??_);_(@_)</c:formatCode>
                <c:ptCount val="4"/>
                <c:pt idx="0">
                  <c:v>1.0863481424532846</c:v>
                </c:pt>
                <c:pt idx="1">
                  <c:v>1.0470097758339771</c:v>
                </c:pt>
                <c:pt idx="2">
                  <c:v>1.0530747743247417</c:v>
                </c:pt>
                <c:pt idx="3">
                  <c:v>1.0417894067302984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D0-4F1A-9478-417C22D3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2850096"/>
        <c:axId val="1032857776"/>
      </c:barChart>
      <c:catAx>
        <c:axId val="103285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857776"/>
        <c:crosses val="autoZero"/>
        <c:auto val="1"/>
        <c:lblAlgn val="ctr"/>
        <c:lblOffset val="100"/>
        <c:noMultiLvlLbl val="0"/>
      </c:catAx>
      <c:valAx>
        <c:axId val="1032857776"/>
        <c:scaling>
          <c:orientation val="minMax"/>
          <c:max val="22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3285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Volu</a:t>
            </a:r>
            <a:r>
              <a:rPr lang="en-US" sz="1400" baseline="0"/>
              <a:t>me (#)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4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</c:numLit>
          </c:cat>
          <c:val>
            <c:numRef>
              <c:f>(Summary!$U$42,Summary!$AH$42,Summary!$AU$42,Summary!$BH$42)</c:f>
              <c:numCache>
                <c:formatCode>_(* #,##0_);_(* \(#,##0\);_(* "-"??_);_(@_)</c:formatCode>
                <c:ptCount val="4"/>
                <c:pt idx="0">
                  <c:v>16200</c:v>
                </c:pt>
                <c:pt idx="1">
                  <c:v>97800.001266277119</c:v>
                </c:pt>
                <c:pt idx="2">
                  <c:v>122870.0002302322</c:v>
                </c:pt>
                <c:pt idx="3">
                  <c:v>182782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B-4E76-92BD-A8E63B9E3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543632"/>
        <c:axId val="975544112"/>
      </c:barChart>
      <c:catAx>
        <c:axId val="97554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544112"/>
        <c:crosses val="autoZero"/>
        <c:auto val="1"/>
        <c:lblAlgn val="ctr"/>
        <c:lblOffset val="100"/>
        <c:noMultiLvlLbl val="0"/>
      </c:catAx>
      <c:valAx>
        <c:axId val="975544112"/>
        <c:scaling>
          <c:orientation val="minMax"/>
          <c:max val="250000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975543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Assets (£)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3"/>
              <c:pt idx="0">
                <c:v>2026</c:v>
              </c:pt>
              <c:pt idx="1">
                <c:v>2027</c:v>
              </c:pt>
              <c:pt idx="2">
                <c:v>2028</c:v>
              </c:pt>
            </c:numLit>
          </c:cat>
          <c:val>
            <c:numRef>
              <c:f>(Summary!$AH$58,Summary!$AU$58,Summary!$BH$58)</c:f>
              <c:numCache>
                <c:formatCode>#,##0_);\(#,##0\)</c:formatCode>
                <c:ptCount val="3"/>
                <c:pt idx="0">
                  <c:v>639108.44305488898</c:v>
                </c:pt>
                <c:pt idx="1">
                  <c:v>738544.84251328558</c:v>
                </c:pt>
                <c:pt idx="2">
                  <c:v>719793.63906185026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3-464F-8C8D-D74CEEAFC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4514976"/>
        <c:axId val="1654515456"/>
      </c:barChart>
      <c:catAx>
        <c:axId val="165451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515456"/>
        <c:crosses val="autoZero"/>
        <c:auto val="1"/>
        <c:lblAlgn val="ctr"/>
        <c:lblOffset val="100"/>
        <c:noMultiLvlLbl val="0"/>
      </c:catAx>
      <c:valAx>
        <c:axId val="1654515456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65451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Funding Needs (£)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Summary!$M$76:$M$78</c:f>
              <c:strCache>
                <c:ptCount val="3"/>
                <c:pt idx="0">
                  <c:v>Production &amp; Warehousing</c:v>
                </c:pt>
                <c:pt idx="1">
                  <c:v>Operating Expenses</c:v>
                </c:pt>
                <c:pt idx="2">
                  <c:v>Reserves</c:v>
                </c:pt>
              </c:strCache>
            </c:strRef>
          </c:cat>
          <c:val>
            <c:numRef>
              <c:f>Summary!$P$76:$P$78</c:f>
              <c:numCache>
                <c:formatCode>#,##0_);\(#,##0\)</c:formatCode>
                <c:ptCount val="3"/>
                <c:pt idx="0">
                  <c:v>240307.17983806771</c:v>
                </c:pt>
                <c:pt idx="1">
                  <c:v>99849.235150738794</c:v>
                </c:pt>
                <c:pt idx="2">
                  <c:v>39843.585011193529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5B-4E44-A883-7C517E6C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4408416"/>
        <c:axId val="1654414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Summary!$M$76:$M$78</c15:sqref>
                        </c15:formulaRef>
                      </c:ext>
                    </c:extLst>
                    <c:strCache>
                      <c:ptCount val="3"/>
                      <c:pt idx="0">
                        <c:v>Production &amp; Warehousing</c:v>
                      </c:pt>
                      <c:pt idx="1">
                        <c:v>Operating Expenses</c:v>
                      </c:pt>
                      <c:pt idx="2">
                        <c:v>Reserves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Summary!$N$76:$N$78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15B-4E44-A883-7C517E6CAF0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Summary!$M$76:$M$78</c15:sqref>
                        </c15:formulaRef>
                      </c:ext>
                    </c:extLst>
                    <c:strCache>
                      <c:ptCount val="3"/>
                      <c:pt idx="0">
                        <c:v>Production &amp; Warehousing</c:v>
                      </c:pt>
                      <c:pt idx="1">
                        <c:v>Operating Expenses</c:v>
                      </c:pt>
                      <c:pt idx="2">
                        <c:v>Reserves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Summary!$O$76:$O$78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15B-4E44-A883-7C517E6CAF09}"/>
                  </c:ext>
                </c:extLst>
              </c15:ser>
            </c15:filteredBarSeries>
          </c:ext>
        </c:extLst>
      </c:barChart>
      <c:catAx>
        <c:axId val="165440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414176"/>
        <c:crosses val="autoZero"/>
        <c:auto val="1"/>
        <c:lblAlgn val="ctr"/>
        <c:lblOffset val="100"/>
        <c:noMultiLvlLbl val="0"/>
      </c:catAx>
      <c:valAx>
        <c:axId val="1654414176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40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22" fmlaLink="$C$8" fmlaRange="$B$15:$B$17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48227</xdr:colOff>
      <xdr:row>4</xdr:row>
      <xdr:rowOff>51210</xdr:rowOff>
    </xdr:from>
    <xdr:to>
      <xdr:col>11</xdr:col>
      <xdr:colOff>481371</xdr:colOff>
      <xdr:row>18</xdr:row>
      <xdr:rowOff>180855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3992AA-C11C-19B6-3C92-F62A75266B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36171</xdr:colOff>
      <xdr:row>19</xdr:row>
      <xdr:rowOff>24115</xdr:rowOff>
    </xdr:from>
    <xdr:to>
      <xdr:col>11</xdr:col>
      <xdr:colOff>501855</xdr:colOff>
      <xdr:row>29</xdr:row>
      <xdr:rowOff>25400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F72AC5D-5CC9-EBAA-8684-C39A112A7C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133350</xdr:rowOff>
    </xdr:from>
    <xdr:to>
      <xdr:col>11</xdr:col>
      <xdr:colOff>399436</xdr:colOff>
      <xdr:row>55</xdr:row>
      <xdr:rowOff>133349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777130-2166-9FBB-B89E-A55114ADC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174113</xdr:rowOff>
    </xdr:from>
    <xdr:to>
      <xdr:col>11</xdr:col>
      <xdr:colOff>433144</xdr:colOff>
      <xdr:row>44</xdr:row>
      <xdr:rowOff>109161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AD85F1-6B1C-4426-92D1-00236A3C2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56</xdr:row>
      <xdr:rowOff>92177</xdr:rowOff>
    </xdr:from>
    <xdr:to>
      <xdr:col>11</xdr:col>
      <xdr:colOff>442451</xdr:colOff>
      <xdr:row>69</xdr:row>
      <xdr:rowOff>61452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C61A78B-D1F4-C2E4-FC01-7E7B95E53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70</xdr:row>
      <xdr:rowOff>46908</xdr:rowOff>
    </xdr:from>
    <xdr:to>
      <xdr:col>11</xdr:col>
      <xdr:colOff>419919</xdr:colOff>
      <xdr:row>79</xdr:row>
      <xdr:rowOff>40968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9EE226-53E9-BF13-04ED-481ECDBA24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139700</xdr:colOff>
          <xdr:row>6</xdr:row>
          <xdr:rowOff>177800</xdr:rowOff>
        </xdr:from>
        <xdr:to>
          <xdr:col>2</xdr:col>
          <xdr:colOff>1587500</xdr:colOff>
          <xdr:row>7</xdr:row>
          <xdr:rowOff>419100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A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E772-F45D-4BFE-B220-0D495245209B}">
  <dimension ref="B6:I21"/>
  <sheetViews>
    <sheetView showGridLines="0" topLeftCell="A7" zoomScale="107" workbookViewId="0">
      <selection activeCell="B18" sqref="B18"/>
    </sheetView>
  </sheetViews>
  <sheetFormatPr baseColWidth="10" defaultColWidth="9.1640625" defaultRowHeight="15" x14ac:dyDescent="0.2"/>
  <cols>
    <col min="1" max="1" width="9.1640625" style="2"/>
    <col min="2" max="2" width="31.1640625" style="2" bestFit="1" customWidth="1"/>
    <col min="3" max="16384" width="9.1640625" style="2"/>
  </cols>
  <sheetData>
    <row r="6" spans="2:2" ht="34" x14ac:dyDescent="0.4">
      <c r="B6" s="4" t="s">
        <v>393</v>
      </c>
    </row>
    <row r="7" spans="2:2" x14ac:dyDescent="0.2">
      <c r="B7" s="3">
        <f ca="1">TODAY()</f>
        <v>45884</v>
      </c>
    </row>
    <row r="18" spans="2:9" x14ac:dyDescent="0.2">
      <c r="B18" s="2" t="s">
        <v>0</v>
      </c>
    </row>
    <row r="21" spans="2:9" ht="17" thickBot="1" x14ac:dyDescent="0.25">
      <c r="B21" s="1"/>
      <c r="C21" s="1"/>
      <c r="D21" s="1"/>
      <c r="E21" s="1"/>
      <c r="F21" s="1"/>
      <c r="G21" s="1"/>
      <c r="H21" s="1"/>
      <c r="I21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E416-BBA4-46D8-A6D4-A36AF345893A}">
  <dimension ref="A2:AT156"/>
  <sheetViews>
    <sheetView showGridLines="0" topLeftCell="D49" zoomScale="96" workbookViewId="0">
      <selection activeCell="F71" sqref="F71"/>
    </sheetView>
  </sheetViews>
  <sheetFormatPr baseColWidth="10" defaultColWidth="8.83203125" defaultRowHeight="15" x14ac:dyDescent="0.2"/>
  <cols>
    <col min="1" max="1" width="3.5" customWidth="1"/>
    <col min="2" max="2" width="41.33203125" bestFit="1" customWidth="1"/>
    <col min="6" max="6" width="11.5" bestFit="1" customWidth="1"/>
    <col min="7" max="7" width="18.1640625" bestFit="1" customWidth="1"/>
    <col min="8" max="10" width="12.5" bestFit="1" customWidth="1"/>
    <col min="11" max="11" width="11.5" bestFit="1" customWidth="1"/>
    <col min="12" max="21" width="10.83203125" bestFit="1" customWidth="1"/>
    <col min="22" max="22" width="11.5" bestFit="1" customWidth="1"/>
    <col min="23" max="33" width="10.83203125" bestFit="1" customWidth="1"/>
    <col min="34" max="34" width="11.5" bestFit="1" customWidth="1"/>
    <col min="35" max="44" width="10.83203125" bestFit="1" customWidth="1"/>
    <col min="45" max="45" width="12.83203125" bestFit="1" customWidth="1"/>
    <col min="46" max="46" width="11.5" bestFit="1" customWidth="1"/>
  </cols>
  <sheetData>
    <row r="2" spans="2:46" ht="28" x14ac:dyDescent="0.35">
      <c r="B2" s="5" t="str">
        <f>'Cover Page'!$B$6</f>
        <v>Solea</v>
      </c>
    </row>
    <row r="3" spans="2:46" x14ac:dyDescent="0.2">
      <c r="B3" s="6" t="str">
        <f>UPPER("currently running: "&amp;CHOOSE(Scenarios!$C$8,Scenarios!$B$15,Scenarios!$B$16,Scenarios!$B$17)&amp;" Scenario")</f>
        <v>CURRENTLY RUNNING: BASE CASE SCENARIO</v>
      </c>
    </row>
    <row r="4" spans="2:46" x14ac:dyDescent="0.2">
      <c r="B4" s="6" t="s">
        <v>182</v>
      </c>
    </row>
    <row r="5" spans="2:46" x14ac:dyDescent="0.2">
      <c r="B5" s="9" t="str">
        <f>'Model '!B5</f>
        <v>Frequency</v>
      </c>
      <c r="C5" s="9" t="str">
        <f>'Model '!C5</f>
        <v xml:space="preserve">Monthly 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2:46" x14ac:dyDescent="0.2">
      <c r="B6" s="10" t="str">
        <f>'Model '!B6</f>
        <v>Period</v>
      </c>
      <c r="C6" s="10"/>
      <c r="D6" s="10"/>
      <c r="E6" s="10"/>
      <c r="F6" s="11">
        <f>'Model '!I6</f>
        <v>45900</v>
      </c>
      <c r="G6" s="11">
        <f>'Model '!J6</f>
        <v>45930</v>
      </c>
      <c r="H6" s="11">
        <f>'Model '!K6</f>
        <v>45961</v>
      </c>
      <c r="I6" s="11">
        <f>'Model '!L6</f>
        <v>45991</v>
      </c>
      <c r="J6" s="11">
        <f>'Model '!M6</f>
        <v>46022</v>
      </c>
      <c r="K6" s="11">
        <f>'Model '!O6</f>
        <v>46053</v>
      </c>
      <c r="L6" s="11">
        <f>'Model '!P6</f>
        <v>46081</v>
      </c>
      <c r="M6" s="11">
        <f>'Model '!Q6</f>
        <v>46112</v>
      </c>
      <c r="N6" s="11">
        <f>'Model '!R6</f>
        <v>46142</v>
      </c>
      <c r="O6" s="11">
        <f>'Model '!S6</f>
        <v>46173</v>
      </c>
      <c r="P6" s="11">
        <f>'Model '!T6</f>
        <v>46203</v>
      </c>
      <c r="Q6" s="11">
        <f>'Model '!U6</f>
        <v>46234</v>
      </c>
      <c r="R6" s="11">
        <f>'Model '!V6</f>
        <v>46265</v>
      </c>
      <c r="S6" s="11">
        <f>'Model '!W6</f>
        <v>46295</v>
      </c>
      <c r="T6" s="11">
        <f>'Model '!X6</f>
        <v>46326</v>
      </c>
      <c r="U6" s="11">
        <f>'Model '!Y6</f>
        <v>46356</v>
      </c>
      <c r="V6" s="11">
        <f>'Model '!Z6</f>
        <v>46387</v>
      </c>
      <c r="W6" s="11">
        <f>'Model '!AB6</f>
        <v>46418</v>
      </c>
      <c r="X6" s="11">
        <f>'Model '!AC6</f>
        <v>46446</v>
      </c>
      <c r="Y6" s="11">
        <f>'Model '!AD6</f>
        <v>46477</v>
      </c>
      <c r="Z6" s="11">
        <f>'Model '!AE6</f>
        <v>46507</v>
      </c>
      <c r="AA6" s="11">
        <f>'Model '!AF6</f>
        <v>46538</v>
      </c>
      <c r="AB6" s="11">
        <f>'Model '!AG6</f>
        <v>46568</v>
      </c>
      <c r="AC6" s="11">
        <f>'Model '!AH6</f>
        <v>46599</v>
      </c>
      <c r="AD6" s="11">
        <f>'Model '!AI6</f>
        <v>46630</v>
      </c>
      <c r="AE6" s="11">
        <f>'Model '!AJ6</f>
        <v>46660</v>
      </c>
      <c r="AF6" s="11">
        <f>'Model '!AK6</f>
        <v>46691</v>
      </c>
      <c r="AG6" s="11">
        <f>'Model '!AL6</f>
        <v>46721</v>
      </c>
      <c r="AH6" s="11">
        <f>'Model '!AM6</f>
        <v>46752</v>
      </c>
      <c r="AI6" s="11">
        <f>'Model '!AO6</f>
        <v>46783</v>
      </c>
      <c r="AJ6" s="11">
        <f>'Model '!AP6</f>
        <v>46812</v>
      </c>
      <c r="AK6" s="11">
        <f>'Model '!AQ6</f>
        <v>46843</v>
      </c>
      <c r="AL6" s="11">
        <f>'Model '!AR6</f>
        <v>46873</v>
      </c>
      <c r="AM6" s="11">
        <f>'Model '!AS6</f>
        <v>46904</v>
      </c>
      <c r="AN6" s="11">
        <f>'Model '!AT6</f>
        <v>46934</v>
      </c>
      <c r="AO6" s="11">
        <f>'Model '!AU6</f>
        <v>46965</v>
      </c>
      <c r="AP6" s="11">
        <f>'Model '!AV6</f>
        <v>46996</v>
      </c>
      <c r="AQ6" s="11">
        <f>'Model '!AW6</f>
        <v>47026</v>
      </c>
      <c r="AR6" s="11">
        <f>'Model '!AX6</f>
        <v>47057</v>
      </c>
      <c r="AS6" s="11">
        <f>'Model '!AY6</f>
        <v>47087</v>
      </c>
      <c r="AT6" s="11">
        <f>'Model '!AZ6</f>
        <v>47118</v>
      </c>
    </row>
    <row r="8" spans="2:46" x14ac:dyDescent="0.2">
      <c r="B8" s="137" t="s">
        <v>43</v>
      </c>
      <c r="C8" s="138" t="s">
        <v>49</v>
      </c>
      <c r="D8" s="138"/>
      <c r="E8" s="138"/>
      <c r="F8" s="138"/>
      <c r="G8" s="138">
        <f>_xlfn.DAYS(G6,F6)</f>
        <v>30</v>
      </c>
      <c r="H8" s="138">
        <f>_xlfn.DAYS(H6,G6)+G8</f>
        <v>61</v>
      </c>
      <c r="I8" s="138">
        <f t="shared" ref="I8:J8" si="0">_xlfn.DAYS(I6,H6)+H8</f>
        <v>91</v>
      </c>
      <c r="J8" s="269">
        <f t="shared" si="0"/>
        <v>122</v>
      </c>
      <c r="K8" s="138">
        <f t="shared" ref="K8:AI8" si="1">_xlfn.DAYS(K6,J6)</f>
        <v>31</v>
      </c>
      <c r="L8" s="138">
        <f>_xlfn.DAYS(L6,K6)+K8</f>
        <v>59</v>
      </c>
      <c r="M8" s="138">
        <f t="shared" ref="M8:V8" si="2">_xlfn.DAYS(M6,L6)+L8</f>
        <v>90</v>
      </c>
      <c r="N8" s="138">
        <f t="shared" si="2"/>
        <v>120</v>
      </c>
      <c r="O8" s="138">
        <f t="shared" si="2"/>
        <v>151</v>
      </c>
      <c r="P8" s="138">
        <f t="shared" si="2"/>
        <v>181</v>
      </c>
      <c r="Q8" s="138">
        <f t="shared" si="2"/>
        <v>212</v>
      </c>
      <c r="R8" s="138">
        <f t="shared" si="2"/>
        <v>243</v>
      </c>
      <c r="S8" s="138">
        <f t="shared" si="2"/>
        <v>273</v>
      </c>
      <c r="T8" s="138">
        <f t="shared" si="2"/>
        <v>304</v>
      </c>
      <c r="U8" s="138">
        <f t="shared" si="2"/>
        <v>334</v>
      </c>
      <c r="V8" s="269">
        <f t="shared" si="2"/>
        <v>365</v>
      </c>
      <c r="W8" s="138">
        <f t="shared" si="1"/>
        <v>31</v>
      </c>
      <c r="X8" s="138">
        <f>_xlfn.DAYS(X6,W6)+W8</f>
        <v>59</v>
      </c>
      <c r="Y8" s="138">
        <f t="shared" ref="Y8:AH8" si="3">_xlfn.DAYS(Y6,X6)+X8</f>
        <v>90</v>
      </c>
      <c r="Z8" s="138">
        <f t="shared" si="3"/>
        <v>120</v>
      </c>
      <c r="AA8" s="138">
        <f t="shared" si="3"/>
        <v>151</v>
      </c>
      <c r="AB8" s="138">
        <f t="shared" si="3"/>
        <v>181</v>
      </c>
      <c r="AC8" s="138">
        <f t="shared" si="3"/>
        <v>212</v>
      </c>
      <c r="AD8" s="138">
        <f t="shared" si="3"/>
        <v>243</v>
      </c>
      <c r="AE8" s="138">
        <f t="shared" si="3"/>
        <v>273</v>
      </c>
      <c r="AF8" s="138">
        <f t="shared" si="3"/>
        <v>304</v>
      </c>
      <c r="AG8" s="138">
        <f t="shared" si="3"/>
        <v>334</v>
      </c>
      <c r="AH8" s="269">
        <f t="shared" si="3"/>
        <v>365</v>
      </c>
      <c r="AI8" s="138">
        <f t="shared" si="1"/>
        <v>31</v>
      </c>
      <c r="AJ8" s="138">
        <f>_xlfn.DAYS(AJ6,AI6)+AI8</f>
        <v>60</v>
      </c>
      <c r="AK8" s="138">
        <f t="shared" ref="AK8:AT8" si="4">_xlfn.DAYS(AK6,AJ6)+AJ8</f>
        <v>91</v>
      </c>
      <c r="AL8" s="138">
        <f t="shared" si="4"/>
        <v>121</v>
      </c>
      <c r="AM8" s="138">
        <f t="shared" si="4"/>
        <v>152</v>
      </c>
      <c r="AN8" s="138">
        <f t="shared" si="4"/>
        <v>182</v>
      </c>
      <c r="AO8" s="138">
        <f t="shared" si="4"/>
        <v>213</v>
      </c>
      <c r="AP8" s="138">
        <f t="shared" si="4"/>
        <v>244</v>
      </c>
      <c r="AQ8" s="138">
        <f t="shared" si="4"/>
        <v>274</v>
      </c>
      <c r="AR8" s="138">
        <f t="shared" si="4"/>
        <v>305</v>
      </c>
      <c r="AS8" s="138">
        <f t="shared" si="4"/>
        <v>335</v>
      </c>
      <c r="AT8" s="269">
        <f t="shared" si="4"/>
        <v>366</v>
      </c>
    </row>
    <row r="10" spans="2:46" x14ac:dyDescent="0.2">
      <c r="B10" s="6" t="s">
        <v>188</v>
      </c>
    </row>
    <row r="11" spans="2:46" x14ac:dyDescent="0.2">
      <c r="B11" s="139" t="s">
        <v>46</v>
      </c>
      <c r="C11" t="s">
        <v>41</v>
      </c>
      <c r="G11" s="266">
        <f>'Model '!J17</f>
        <v>41000.094039180694</v>
      </c>
      <c r="H11" s="266">
        <f>'Model '!K17+G11</f>
        <v>103871.12039184003</v>
      </c>
      <c r="I11" s="266">
        <f>'Model '!L17+H11</f>
        <v>188607.05779070669</v>
      </c>
      <c r="J11" s="268">
        <f>'Model '!M17+I11</f>
        <v>295213.92750305193</v>
      </c>
      <c r="K11" s="266">
        <f>'Model '!O17</f>
        <v>128473.28153417792</v>
      </c>
      <c r="L11" s="266">
        <f>'Model '!P17+K11</f>
        <v>278811.47592883796</v>
      </c>
      <c r="M11" s="266">
        <f>'Model '!Q17+L11</f>
        <v>432306.77240578586</v>
      </c>
      <c r="N11" s="266">
        <f>'Model '!R17+M11</f>
        <v>585802.0688827337</v>
      </c>
      <c r="O11" s="266">
        <f>'Model '!S17+N11</f>
        <v>739297.36535968154</v>
      </c>
      <c r="P11" s="266">
        <f>'Model '!T17+O11</f>
        <v>892792.66183662938</v>
      </c>
      <c r="Q11" s="266">
        <f>'Model '!U17+P11</f>
        <v>1046287.9583135772</v>
      </c>
      <c r="R11" s="266">
        <f>'Model '!V17+Q11</f>
        <v>1199783.2547905252</v>
      </c>
      <c r="S11" s="266">
        <f>'Model '!W17+R11</f>
        <v>1353278.551267473</v>
      </c>
      <c r="T11" s="266">
        <f>'Model '!X17+S11</f>
        <v>1506773.8477444209</v>
      </c>
      <c r="U11" s="266">
        <f>'Model '!Y17+T11</f>
        <v>1660269.1442213687</v>
      </c>
      <c r="V11" s="268">
        <f>'Model '!Z17+U11</f>
        <v>1813764.4406983166</v>
      </c>
      <c r="W11" s="266">
        <f>'Model '!AB17</f>
        <v>156565.20240648685</v>
      </c>
      <c r="X11" s="266">
        <f>'Model '!AC17+W11</f>
        <v>313130.40481297369</v>
      </c>
      <c r="Y11" s="266">
        <f>'Model '!AD17+X11</f>
        <v>477933.16596397327</v>
      </c>
      <c r="Z11" s="266">
        <f>'Model '!AE17+Y11</f>
        <v>650973.48774890765</v>
      </c>
      <c r="AA11" s="266">
        <f>'Model '!AF17+Z11</f>
        <v>832254.46120812907</v>
      </c>
      <c r="AB11" s="266">
        <f>'Model '!AG17+AA11</f>
        <v>1021772.9953012853</v>
      </c>
      <c r="AC11" s="266">
        <f>'Model '!AH17+AB11</f>
        <v>1219529.0900283763</v>
      </c>
      <c r="AD11" s="266">
        <f>'Model '!AI17+AC11</f>
        <v>1425516.4747212406</v>
      </c>
      <c r="AE11" s="266">
        <f>'Model '!AJ17+AD11</f>
        <v>1639741.4200480396</v>
      </c>
      <c r="AF11" s="266">
        <f>'Model '!AK17+AE11</f>
        <v>1862203.9260087735</v>
      </c>
      <c r="AG11" s="266">
        <f>'Model '!AL17+AF11</f>
        <v>2092889.9769168245</v>
      </c>
      <c r="AH11" s="268">
        <f>'Model '!AM17+AG11</f>
        <v>2331813.5884588105</v>
      </c>
      <c r="AI11" s="266">
        <f>'Model '!AO17</f>
        <v>252107.54848059837</v>
      </c>
      <c r="AJ11" s="266">
        <f>'Model '!AP17+AI11</f>
        <v>512617.40880781028</v>
      </c>
      <c r="AK11" s="266">
        <f>'Model '!AQ17+AJ11</f>
        <v>781529.58098163572</v>
      </c>
      <c r="AL11" s="266">
        <f>'Model '!AR17+AK11</f>
        <v>1058839.3179444089</v>
      </c>
      <c r="AM11" s="266">
        <f>'Model '!AS17+AL11</f>
        <v>1344551.3667537954</v>
      </c>
      <c r="AN11" s="266">
        <f>'Model '!AT17+AM11</f>
        <v>1638665.7274097956</v>
      </c>
      <c r="AO11" s="266">
        <f>'Model '!AU17+AN11</f>
        <v>1941176.0038308844</v>
      </c>
      <c r="AP11" s="266">
        <f>'Model '!AV17+AO11</f>
        <v>2260569.0122834779</v>
      </c>
      <c r="AQ11" s="266">
        <f>'Model '!AW17+AP11</f>
        <v>2579962.0207360713</v>
      </c>
      <c r="AR11" s="266">
        <f>'Model '!AX17+AQ11</f>
        <v>2899355.0291886646</v>
      </c>
      <c r="AS11" s="266">
        <f>'Model '!AY17+AR11</f>
        <v>3218748.037641258</v>
      </c>
      <c r="AT11" s="268">
        <f>'Model '!AZ17+AS11</f>
        <v>3538141.0460938513</v>
      </c>
    </row>
    <row r="12" spans="2:46" x14ac:dyDescent="0.2">
      <c r="B12" s="139" t="s">
        <v>189</v>
      </c>
      <c r="C12" t="s">
        <v>41</v>
      </c>
      <c r="G12" s="266">
        <f>-'Model '!J24</f>
        <v>35903.820797176617</v>
      </c>
      <c r="H12" s="266">
        <f>-'Model '!K24+G12</f>
        <v>90345.516982233588</v>
      </c>
      <c r="I12" s="266">
        <f>-'Model '!L24+H12</f>
        <v>163744.91463352292</v>
      </c>
      <c r="J12" s="268">
        <f>-'Model '!M24+I12</f>
        <v>255655.31395535922</v>
      </c>
      <c r="K12" s="266">
        <f>-'Model '!O24</f>
        <v>110920.50420082067</v>
      </c>
      <c r="L12" s="266">
        <f>-'Model '!P24+K12</f>
        <v>240633.69830769044</v>
      </c>
      <c r="M12" s="266">
        <f>-'Model '!Q24+L12</f>
        <v>372989.54813066218</v>
      </c>
      <c r="N12" s="266">
        <f>-'Model '!R24+M12</f>
        <v>505153.39794381068</v>
      </c>
      <c r="O12" s="266">
        <f>-'Model '!S24+N12</f>
        <v>637706.3274138025</v>
      </c>
      <c r="P12" s="266">
        <f>-'Model '!T24+O12</f>
        <v>770067.25687397108</v>
      </c>
      <c r="Q12" s="266">
        <f>-'Model '!U24+P12</f>
        <v>902406.85299098317</v>
      </c>
      <c r="R12" s="266">
        <f>-'Model '!V24+Q12</f>
        <v>1034810.449098172</v>
      </c>
      <c r="S12" s="266">
        <f>-'Model '!W24+R12</f>
        <v>1167192.7118622044</v>
      </c>
      <c r="T12" s="266">
        <f>-'Model '!X24+S12</f>
        <v>1299638.9746164135</v>
      </c>
      <c r="U12" s="266">
        <f>-'Model '!Y24+T12</f>
        <v>1432149.2373607992</v>
      </c>
      <c r="V12" s="268">
        <f>-'Model '!Z24+U12</f>
        <v>1564467.5000953618</v>
      </c>
      <c r="W12" s="266">
        <f>-'Model '!AB24</f>
        <v>135210.68246447854</v>
      </c>
      <c r="X12" s="266">
        <f>-'Model '!AC24+W12</f>
        <v>270591.4635177679</v>
      </c>
      <c r="Y12" s="266">
        <f>-'Model '!AD24+X12</f>
        <v>412900.74705733865</v>
      </c>
      <c r="Z12" s="266">
        <f>-'Model '!AE24+Y12</f>
        <v>562187.82423759485</v>
      </c>
      <c r="AA12" s="266">
        <f>-'Model '!AF24+Z12</f>
        <v>718503.02341573662</v>
      </c>
      <c r="AB12" s="266">
        <f>-'Model '!AG24+AA12</f>
        <v>881711.64732896385</v>
      </c>
      <c r="AC12" s="266">
        <f>-'Model '!AH24+AB12</f>
        <v>1052055.5488151819</v>
      </c>
      <c r="AD12" s="266">
        <f>-'Model '!AI24+AC12</f>
        <v>1229494.379496705</v>
      </c>
      <c r="AE12" s="266">
        <f>-'Model '!AJ24+AD12</f>
        <v>1413692.5212456188</v>
      </c>
      <c r="AF12" s="266">
        <f>-'Model '!AK24+AE12</f>
        <v>1605101.3459184181</v>
      </c>
      <c r="AG12" s="266">
        <f>-'Model '!AL24+AF12</f>
        <v>1803860.3421314252</v>
      </c>
      <c r="AH12" s="268">
        <f>-'Model '!AM24+AG12</f>
        <v>2009446.494453423</v>
      </c>
      <c r="AI12" s="266">
        <f>-'Model '!AO24</f>
        <v>217010.0849933135</v>
      </c>
      <c r="AJ12" s="266">
        <f>-'Model '!AP24+AI12</f>
        <v>441188.11256048561</v>
      </c>
      <c r="AK12" s="266">
        <f>-'Model '!AQ24+AJ12</f>
        <v>672399.62289114087</v>
      </c>
      <c r="AL12" s="266">
        <f>-'Model '!AR24+AK12</f>
        <v>911085.38252699177</v>
      </c>
      <c r="AM12" s="266">
        <f>-'Model '!AS24+AL12</f>
        <v>1156817.7118266139</v>
      </c>
      <c r="AN12" s="266">
        <f>-'Model '!AT24+AM12</f>
        <v>1409744.1575006705</v>
      </c>
      <c r="AO12" s="266">
        <f>-'Model '!AU24+AN12</f>
        <v>1669823.5642039224</v>
      </c>
      <c r="AP12" s="266">
        <f>-'Model '!AV24+AO12</f>
        <v>1944450.5153588972</v>
      </c>
      <c r="AQ12" s="266">
        <f>-'Model '!AW24+AP12</f>
        <v>2218928.7517378717</v>
      </c>
      <c r="AR12" s="266">
        <f>-'Model '!AX24+AQ12</f>
        <v>2493654.8460768461</v>
      </c>
      <c r="AS12" s="266">
        <f>-'Model '!AY24+AR12</f>
        <v>2768232.225639821</v>
      </c>
      <c r="AT12" s="268">
        <f>-'Model '!AZ24+AS12</f>
        <v>3042859.1767947958</v>
      </c>
    </row>
    <row r="14" spans="2:46" x14ac:dyDescent="0.2">
      <c r="B14" s="6" t="s">
        <v>190</v>
      </c>
    </row>
    <row r="15" spans="2:46" x14ac:dyDescent="0.2">
      <c r="B15" s="139" t="s">
        <v>191</v>
      </c>
      <c r="C15" t="s">
        <v>49</v>
      </c>
      <c r="G15" s="244">
        <v>30</v>
      </c>
      <c r="H15">
        <f>G15</f>
        <v>30</v>
      </c>
      <c r="I15">
        <f t="shared" ref="I15:AT19" si="5">H15</f>
        <v>30</v>
      </c>
      <c r="J15">
        <f t="shared" si="5"/>
        <v>30</v>
      </c>
      <c r="K15">
        <f t="shared" si="5"/>
        <v>30</v>
      </c>
      <c r="L15">
        <f t="shared" si="5"/>
        <v>30</v>
      </c>
      <c r="M15">
        <f t="shared" si="5"/>
        <v>30</v>
      </c>
      <c r="N15">
        <f t="shared" si="5"/>
        <v>30</v>
      </c>
      <c r="O15">
        <f t="shared" si="5"/>
        <v>30</v>
      </c>
      <c r="P15">
        <f t="shared" si="5"/>
        <v>30</v>
      </c>
      <c r="Q15">
        <f t="shared" si="5"/>
        <v>30</v>
      </c>
      <c r="R15">
        <f t="shared" si="5"/>
        <v>30</v>
      </c>
      <c r="S15">
        <f t="shared" si="5"/>
        <v>30</v>
      </c>
      <c r="T15">
        <f t="shared" si="5"/>
        <v>30</v>
      </c>
      <c r="U15">
        <f t="shared" si="5"/>
        <v>30</v>
      </c>
      <c r="V15">
        <f t="shared" si="5"/>
        <v>30</v>
      </c>
      <c r="W15">
        <f t="shared" si="5"/>
        <v>30</v>
      </c>
      <c r="X15">
        <f t="shared" si="5"/>
        <v>30</v>
      </c>
      <c r="Y15">
        <f t="shared" si="5"/>
        <v>30</v>
      </c>
      <c r="Z15">
        <f t="shared" si="5"/>
        <v>30</v>
      </c>
      <c r="AA15">
        <f t="shared" si="5"/>
        <v>30</v>
      </c>
      <c r="AB15">
        <f t="shared" si="5"/>
        <v>30</v>
      </c>
      <c r="AC15">
        <f t="shared" si="5"/>
        <v>30</v>
      </c>
      <c r="AD15">
        <f t="shared" si="5"/>
        <v>30</v>
      </c>
      <c r="AE15">
        <f t="shared" si="5"/>
        <v>30</v>
      </c>
      <c r="AF15">
        <f t="shared" si="5"/>
        <v>30</v>
      </c>
      <c r="AG15">
        <f t="shared" si="5"/>
        <v>30</v>
      </c>
      <c r="AH15">
        <f t="shared" si="5"/>
        <v>30</v>
      </c>
      <c r="AI15">
        <f t="shared" si="5"/>
        <v>30</v>
      </c>
      <c r="AJ15">
        <f t="shared" si="5"/>
        <v>30</v>
      </c>
      <c r="AK15">
        <f t="shared" si="5"/>
        <v>30</v>
      </c>
      <c r="AL15">
        <f t="shared" si="5"/>
        <v>30</v>
      </c>
      <c r="AM15">
        <f t="shared" si="5"/>
        <v>30</v>
      </c>
      <c r="AN15">
        <f t="shared" si="5"/>
        <v>30</v>
      </c>
      <c r="AO15">
        <f t="shared" si="5"/>
        <v>30</v>
      </c>
      <c r="AP15">
        <f t="shared" si="5"/>
        <v>30</v>
      </c>
      <c r="AQ15">
        <f t="shared" si="5"/>
        <v>30</v>
      </c>
      <c r="AR15">
        <f t="shared" si="5"/>
        <v>30</v>
      </c>
      <c r="AS15">
        <f t="shared" si="5"/>
        <v>30</v>
      </c>
      <c r="AT15">
        <f t="shared" si="5"/>
        <v>30</v>
      </c>
    </row>
    <row r="16" spans="2:46" x14ac:dyDescent="0.2">
      <c r="B16" s="139" t="s">
        <v>192</v>
      </c>
      <c r="C16" t="s">
        <v>49</v>
      </c>
      <c r="G16" s="244">
        <v>30</v>
      </c>
      <c r="H16">
        <f t="shared" ref="H16:W18" si="6">G16</f>
        <v>30</v>
      </c>
      <c r="I16">
        <f t="shared" si="6"/>
        <v>30</v>
      </c>
      <c r="J16">
        <f t="shared" si="6"/>
        <v>30</v>
      </c>
      <c r="K16">
        <f t="shared" si="6"/>
        <v>30</v>
      </c>
      <c r="L16">
        <f t="shared" si="6"/>
        <v>30</v>
      </c>
      <c r="M16">
        <f t="shared" si="6"/>
        <v>30</v>
      </c>
      <c r="N16">
        <f t="shared" si="6"/>
        <v>30</v>
      </c>
      <c r="O16">
        <f t="shared" si="6"/>
        <v>30</v>
      </c>
      <c r="P16">
        <f t="shared" si="6"/>
        <v>30</v>
      </c>
      <c r="Q16">
        <f t="shared" si="6"/>
        <v>30</v>
      </c>
      <c r="R16">
        <f t="shared" si="6"/>
        <v>30</v>
      </c>
      <c r="S16">
        <f t="shared" si="6"/>
        <v>30</v>
      </c>
      <c r="T16">
        <f t="shared" si="6"/>
        <v>30</v>
      </c>
      <c r="U16">
        <f t="shared" si="6"/>
        <v>30</v>
      </c>
      <c r="V16">
        <f t="shared" si="6"/>
        <v>30</v>
      </c>
      <c r="W16">
        <f t="shared" si="6"/>
        <v>30</v>
      </c>
      <c r="X16">
        <f t="shared" si="5"/>
        <v>30</v>
      </c>
      <c r="Y16">
        <f t="shared" si="5"/>
        <v>30</v>
      </c>
      <c r="Z16">
        <f t="shared" si="5"/>
        <v>30</v>
      </c>
      <c r="AA16">
        <f t="shared" si="5"/>
        <v>30</v>
      </c>
      <c r="AB16">
        <f t="shared" si="5"/>
        <v>30</v>
      </c>
      <c r="AC16">
        <f t="shared" si="5"/>
        <v>30</v>
      </c>
      <c r="AD16">
        <f t="shared" si="5"/>
        <v>30</v>
      </c>
      <c r="AE16">
        <f t="shared" si="5"/>
        <v>30</v>
      </c>
      <c r="AF16">
        <f t="shared" si="5"/>
        <v>30</v>
      </c>
      <c r="AG16">
        <f t="shared" si="5"/>
        <v>30</v>
      </c>
      <c r="AH16">
        <f t="shared" si="5"/>
        <v>30</v>
      </c>
      <c r="AI16">
        <f t="shared" si="5"/>
        <v>30</v>
      </c>
      <c r="AJ16">
        <f t="shared" si="5"/>
        <v>30</v>
      </c>
      <c r="AK16">
        <f t="shared" si="5"/>
        <v>30</v>
      </c>
      <c r="AL16">
        <f t="shared" si="5"/>
        <v>30</v>
      </c>
      <c r="AM16">
        <f t="shared" si="5"/>
        <v>30</v>
      </c>
      <c r="AN16">
        <f t="shared" si="5"/>
        <v>30</v>
      </c>
      <c r="AO16">
        <f t="shared" si="5"/>
        <v>30</v>
      </c>
      <c r="AP16">
        <f t="shared" si="5"/>
        <v>30</v>
      </c>
      <c r="AQ16">
        <f t="shared" si="5"/>
        <v>30</v>
      </c>
      <c r="AR16">
        <f t="shared" si="5"/>
        <v>30</v>
      </c>
      <c r="AS16">
        <f t="shared" si="5"/>
        <v>30</v>
      </c>
      <c r="AT16">
        <f t="shared" si="5"/>
        <v>30</v>
      </c>
    </row>
    <row r="17" spans="2:46" x14ac:dyDescent="0.2">
      <c r="B17" s="139" t="s">
        <v>196</v>
      </c>
      <c r="C17" t="s">
        <v>49</v>
      </c>
      <c r="E17" s="146"/>
      <c r="F17" s="146"/>
      <c r="G17" s="267"/>
      <c r="H17" s="146">
        <f t="shared" si="6"/>
        <v>0</v>
      </c>
      <c r="I17" s="146">
        <f t="shared" si="5"/>
        <v>0</v>
      </c>
      <c r="J17" s="146">
        <f t="shared" si="5"/>
        <v>0</v>
      </c>
      <c r="K17" s="146">
        <f t="shared" si="5"/>
        <v>0</v>
      </c>
      <c r="L17" s="146">
        <f t="shared" si="5"/>
        <v>0</v>
      </c>
      <c r="M17" s="146">
        <f t="shared" si="5"/>
        <v>0</v>
      </c>
      <c r="N17" s="146">
        <f t="shared" si="5"/>
        <v>0</v>
      </c>
      <c r="O17" s="146">
        <f t="shared" si="5"/>
        <v>0</v>
      </c>
      <c r="P17" s="146">
        <f t="shared" si="5"/>
        <v>0</v>
      </c>
      <c r="Q17" s="146">
        <f t="shared" si="5"/>
        <v>0</v>
      </c>
      <c r="R17" s="146">
        <f t="shared" si="5"/>
        <v>0</v>
      </c>
      <c r="S17" s="146">
        <f t="shared" si="5"/>
        <v>0</v>
      </c>
      <c r="T17" s="146">
        <f t="shared" si="5"/>
        <v>0</v>
      </c>
      <c r="U17" s="146">
        <f t="shared" si="5"/>
        <v>0</v>
      </c>
      <c r="V17" s="146">
        <f t="shared" si="5"/>
        <v>0</v>
      </c>
      <c r="W17" s="146">
        <f t="shared" si="5"/>
        <v>0</v>
      </c>
      <c r="X17" s="146">
        <f t="shared" si="5"/>
        <v>0</v>
      </c>
      <c r="Y17" s="146">
        <f t="shared" si="5"/>
        <v>0</v>
      </c>
      <c r="Z17" s="146">
        <f t="shared" si="5"/>
        <v>0</v>
      </c>
      <c r="AA17" s="146">
        <f t="shared" si="5"/>
        <v>0</v>
      </c>
      <c r="AB17" s="146">
        <f t="shared" si="5"/>
        <v>0</v>
      </c>
      <c r="AC17" s="146">
        <f t="shared" si="5"/>
        <v>0</v>
      </c>
      <c r="AD17" s="146">
        <f t="shared" si="5"/>
        <v>0</v>
      </c>
      <c r="AE17" s="146">
        <f t="shared" si="5"/>
        <v>0</v>
      </c>
      <c r="AF17" s="146">
        <f t="shared" si="5"/>
        <v>0</v>
      </c>
      <c r="AG17" s="146">
        <f t="shared" si="5"/>
        <v>0</v>
      </c>
      <c r="AH17" s="146">
        <f t="shared" si="5"/>
        <v>0</v>
      </c>
      <c r="AI17" s="146">
        <f t="shared" si="5"/>
        <v>0</v>
      </c>
      <c r="AJ17" s="146">
        <f t="shared" si="5"/>
        <v>0</v>
      </c>
      <c r="AK17" s="146">
        <f t="shared" si="5"/>
        <v>0</v>
      </c>
      <c r="AL17" s="146">
        <f t="shared" si="5"/>
        <v>0</v>
      </c>
      <c r="AM17" s="146">
        <f t="shared" si="5"/>
        <v>0</v>
      </c>
      <c r="AN17" s="146">
        <f t="shared" si="5"/>
        <v>0</v>
      </c>
      <c r="AO17" s="146">
        <f t="shared" si="5"/>
        <v>0</v>
      </c>
      <c r="AP17" s="146">
        <f t="shared" si="5"/>
        <v>0</v>
      </c>
      <c r="AQ17" s="146">
        <f t="shared" si="5"/>
        <v>0</v>
      </c>
      <c r="AR17" s="146">
        <f t="shared" si="5"/>
        <v>0</v>
      </c>
      <c r="AS17" s="146">
        <f t="shared" si="5"/>
        <v>0</v>
      </c>
      <c r="AT17" s="146">
        <f t="shared" si="5"/>
        <v>0</v>
      </c>
    </row>
    <row r="18" spans="2:46" x14ac:dyDescent="0.2">
      <c r="B18" s="139" t="s">
        <v>193</v>
      </c>
      <c r="C18" t="s">
        <v>49</v>
      </c>
      <c r="E18" s="146"/>
      <c r="F18" s="146"/>
      <c r="G18" s="267">
        <v>0</v>
      </c>
      <c r="H18" s="146">
        <f t="shared" si="6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0</v>
      </c>
      <c r="V18" s="146">
        <f t="shared" si="5"/>
        <v>0</v>
      </c>
      <c r="W18" s="146">
        <f t="shared" si="5"/>
        <v>0</v>
      </c>
      <c r="X18" s="146">
        <f t="shared" si="5"/>
        <v>0</v>
      </c>
      <c r="Y18" s="146">
        <f t="shared" si="5"/>
        <v>0</v>
      </c>
      <c r="Z18" s="146">
        <f t="shared" si="5"/>
        <v>0</v>
      </c>
      <c r="AA18" s="146">
        <f t="shared" si="5"/>
        <v>0</v>
      </c>
      <c r="AB18" s="146">
        <f t="shared" si="5"/>
        <v>0</v>
      </c>
      <c r="AC18" s="146">
        <f t="shared" si="5"/>
        <v>0</v>
      </c>
      <c r="AD18" s="146">
        <f t="shared" si="5"/>
        <v>0</v>
      </c>
      <c r="AE18" s="146">
        <f t="shared" si="5"/>
        <v>0</v>
      </c>
      <c r="AF18" s="146">
        <f t="shared" si="5"/>
        <v>0</v>
      </c>
      <c r="AG18" s="146">
        <f t="shared" si="5"/>
        <v>0</v>
      </c>
      <c r="AH18" s="146">
        <f t="shared" si="5"/>
        <v>0</v>
      </c>
      <c r="AI18" s="146">
        <f t="shared" si="5"/>
        <v>0</v>
      </c>
      <c r="AJ18" s="146">
        <f t="shared" si="5"/>
        <v>0</v>
      </c>
      <c r="AK18" s="146">
        <f t="shared" si="5"/>
        <v>0</v>
      </c>
      <c r="AL18" s="146">
        <f t="shared" si="5"/>
        <v>0</v>
      </c>
      <c r="AM18" s="146">
        <f t="shared" si="5"/>
        <v>0</v>
      </c>
      <c r="AN18" s="146">
        <f t="shared" si="5"/>
        <v>0</v>
      </c>
      <c r="AO18" s="146">
        <f t="shared" si="5"/>
        <v>0</v>
      </c>
      <c r="AP18" s="146">
        <f t="shared" si="5"/>
        <v>0</v>
      </c>
      <c r="AQ18" s="146">
        <f t="shared" si="5"/>
        <v>0</v>
      </c>
      <c r="AR18" s="146">
        <f t="shared" si="5"/>
        <v>0</v>
      </c>
      <c r="AS18" s="146">
        <f t="shared" si="5"/>
        <v>0</v>
      </c>
      <c r="AT18" s="146">
        <f t="shared" si="5"/>
        <v>0</v>
      </c>
    </row>
    <row r="19" spans="2:46" x14ac:dyDescent="0.2">
      <c r="B19" s="139" t="s">
        <v>241</v>
      </c>
      <c r="C19" t="s">
        <v>49</v>
      </c>
      <c r="G19" s="244"/>
      <c r="H19" s="244"/>
      <c r="K19" s="244">
        <v>30</v>
      </c>
      <c r="L19">
        <f t="shared" si="5"/>
        <v>30</v>
      </c>
      <c r="M19">
        <f t="shared" si="5"/>
        <v>30</v>
      </c>
      <c r="N19">
        <f t="shared" si="5"/>
        <v>30</v>
      </c>
      <c r="O19">
        <f t="shared" si="5"/>
        <v>30</v>
      </c>
      <c r="P19">
        <f t="shared" si="5"/>
        <v>30</v>
      </c>
      <c r="Q19">
        <f t="shared" si="5"/>
        <v>30</v>
      </c>
      <c r="R19">
        <f t="shared" si="5"/>
        <v>30</v>
      </c>
      <c r="S19">
        <f t="shared" si="5"/>
        <v>30</v>
      </c>
      <c r="T19">
        <f t="shared" si="5"/>
        <v>30</v>
      </c>
      <c r="U19">
        <f t="shared" si="5"/>
        <v>30</v>
      </c>
      <c r="V19">
        <f t="shared" si="5"/>
        <v>30</v>
      </c>
      <c r="W19">
        <f t="shared" si="5"/>
        <v>30</v>
      </c>
      <c r="X19">
        <f t="shared" si="5"/>
        <v>30</v>
      </c>
      <c r="Y19">
        <f t="shared" si="5"/>
        <v>30</v>
      </c>
      <c r="Z19">
        <f t="shared" si="5"/>
        <v>30</v>
      </c>
      <c r="AA19">
        <f t="shared" si="5"/>
        <v>30</v>
      </c>
      <c r="AB19">
        <f t="shared" si="5"/>
        <v>30</v>
      </c>
      <c r="AC19">
        <f t="shared" si="5"/>
        <v>30</v>
      </c>
      <c r="AD19">
        <f t="shared" si="5"/>
        <v>30</v>
      </c>
      <c r="AE19">
        <f t="shared" si="5"/>
        <v>30</v>
      </c>
      <c r="AF19">
        <f t="shared" si="5"/>
        <v>30</v>
      </c>
      <c r="AG19">
        <f t="shared" si="5"/>
        <v>30</v>
      </c>
      <c r="AH19">
        <f t="shared" si="5"/>
        <v>30</v>
      </c>
      <c r="AI19">
        <f t="shared" si="5"/>
        <v>30</v>
      </c>
      <c r="AJ19">
        <f t="shared" si="5"/>
        <v>30</v>
      </c>
      <c r="AK19">
        <f t="shared" si="5"/>
        <v>30</v>
      </c>
      <c r="AL19">
        <f t="shared" si="5"/>
        <v>30</v>
      </c>
      <c r="AM19">
        <f t="shared" si="5"/>
        <v>30</v>
      </c>
      <c r="AN19">
        <f t="shared" si="5"/>
        <v>30</v>
      </c>
      <c r="AO19">
        <f t="shared" si="5"/>
        <v>30</v>
      </c>
      <c r="AP19">
        <f t="shared" si="5"/>
        <v>30</v>
      </c>
      <c r="AQ19">
        <f t="shared" si="5"/>
        <v>30</v>
      </c>
      <c r="AR19">
        <f t="shared" si="5"/>
        <v>30</v>
      </c>
      <c r="AS19">
        <f t="shared" si="5"/>
        <v>30</v>
      </c>
      <c r="AT19">
        <f t="shared" si="5"/>
        <v>30</v>
      </c>
    </row>
    <row r="21" spans="2:46" x14ac:dyDescent="0.2">
      <c r="B21" s="6" t="s">
        <v>194</v>
      </c>
    </row>
    <row r="22" spans="2:46" x14ac:dyDescent="0.2">
      <c r="B22" s="139" t="s">
        <v>191</v>
      </c>
      <c r="C22" t="s">
        <v>41</v>
      </c>
      <c r="G22" s="75">
        <f>G11/G8*G15</f>
        <v>41000.094039180694</v>
      </c>
      <c r="H22" s="75">
        <f t="shared" ref="H22:J22" si="7">H11/H8*H15</f>
        <v>51084.157569757386</v>
      </c>
      <c r="I22" s="75">
        <f t="shared" si="7"/>
        <v>62178.150920013191</v>
      </c>
      <c r="J22" s="109">
        <f t="shared" si="7"/>
        <v>72593.588730258663</v>
      </c>
      <c r="K22" s="75">
        <f t="shared" ref="K22:V22" si="8">K11/K8*K15</f>
        <v>124328.9821298496</v>
      </c>
      <c r="L22" s="75">
        <f t="shared" si="8"/>
        <v>141768.54708245999</v>
      </c>
      <c r="M22" s="75">
        <f t="shared" si="8"/>
        <v>144102.25746859529</v>
      </c>
      <c r="N22" s="75">
        <f t="shared" si="8"/>
        <v>146450.51722068342</v>
      </c>
      <c r="O22" s="75">
        <f t="shared" si="8"/>
        <v>146880.2712635129</v>
      </c>
      <c r="P22" s="75">
        <f t="shared" si="8"/>
        <v>147976.68428231427</v>
      </c>
      <c r="Q22" s="75">
        <f t="shared" si="8"/>
        <v>148059.61674248736</v>
      </c>
      <c r="R22" s="75">
        <f t="shared" si="8"/>
        <v>148121.38948031174</v>
      </c>
      <c r="S22" s="75">
        <f t="shared" si="8"/>
        <v>148711.92871071133</v>
      </c>
      <c r="T22" s="75">
        <f t="shared" si="8"/>
        <v>148694.78760635733</v>
      </c>
      <c r="U22" s="75">
        <f t="shared" si="8"/>
        <v>149125.97103784748</v>
      </c>
      <c r="V22" s="109">
        <f t="shared" si="8"/>
        <v>149076.52937246437</v>
      </c>
      <c r="W22" s="75">
        <f t="shared" ref="W22:AH22" si="9">W11/W8*W15</f>
        <v>151514.71200627761</v>
      </c>
      <c r="X22" s="75">
        <f t="shared" si="9"/>
        <v>159218.84990490187</v>
      </c>
      <c r="Y22" s="75">
        <f t="shared" si="9"/>
        <v>159311.05532132441</v>
      </c>
      <c r="Z22" s="75">
        <f t="shared" si="9"/>
        <v>162743.37193722691</v>
      </c>
      <c r="AA22" s="75">
        <f t="shared" si="9"/>
        <v>165348.56845194619</v>
      </c>
      <c r="AB22" s="75">
        <f t="shared" si="9"/>
        <v>169354.64010518539</v>
      </c>
      <c r="AC22" s="75">
        <f t="shared" si="9"/>
        <v>172574.87123043061</v>
      </c>
      <c r="AD22" s="75">
        <f t="shared" si="9"/>
        <v>175989.68823719019</v>
      </c>
      <c r="AE22" s="75">
        <f t="shared" si="9"/>
        <v>180191.36484044392</v>
      </c>
      <c r="AF22" s="75">
        <f t="shared" si="9"/>
        <v>183770.1242771816</v>
      </c>
      <c r="AG22" s="75">
        <f t="shared" si="9"/>
        <v>187984.12966318781</v>
      </c>
      <c r="AH22" s="109">
        <f t="shared" si="9"/>
        <v>191655.9113801762</v>
      </c>
      <c r="AI22" s="75">
        <f t="shared" ref="AI22:AT22" si="10">AI11/AI8*AI15</f>
        <v>243975.04691670812</v>
      </c>
      <c r="AJ22" s="75">
        <f t="shared" si="10"/>
        <v>256308.70440390511</v>
      </c>
      <c r="AK22" s="75">
        <f t="shared" si="10"/>
        <v>257647.11460933043</v>
      </c>
      <c r="AL22" s="75">
        <f t="shared" si="10"/>
        <v>262522.14494489477</v>
      </c>
      <c r="AM22" s="75">
        <f t="shared" si="10"/>
        <v>265371.98028035439</v>
      </c>
      <c r="AN22" s="75">
        <f t="shared" si="10"/>
        <v>270109.73528732895</v>
      </c>
      <c r="AO22" s="75">
        <f t="shared" si="10"/>
        <v>273405.07096209633</v>
      </c>
      <c r="AP22" s="75">
        <f t="shared" si="10"/>
        <v>277938.81298567355</v>
      </c>
      <c r="AQ22" s="75">
        <f t="shared" si="10"/>
        <v>282477.59351124871</v>
      </c>
      <c r="AR22" s="75">
        <f t="shared" si="10"/>
        <v>285182.46188740962</v>
      </c>
      <c r="AS22" s="75">
        <f t="shared" si="10"/>
        <v>288246.09292309778</v>
      </c>
      <c r="AT22" s="109">
        <f t="shared" si="10"/>
        <v>290011.56115523371</v>
      </c>
    </row>
    <row r="23" spans="2:46" x14ac:dyDescent="0.2">
      <c r="B23" s="139" t="s">
        <v>192</v>
      </c>
      <c r="C23" t="s">
        <v>41</v>
      </c>
      <c r="G23" s="75">
        <f>G12/G8*G16</f>
        <v>35903.820797176617</v>
      </c>
      <c r="H23" s="75">
        <f t="shared" ref="H23:J23" si="11">H12/H8*H16</f>
        <v>44432.221466672258</v>
      </c>
      <c r="I23" s="75">
        <f t="shared" si="11"/>
        <v>53981.839989073487</v>
      </c>
      <c r="J23" s="109">
        <f t="shared" si="11"/>
        <v>62866.060808694885</v>
      </c>
      <c r="K23" s="75">
        <f t="shared" ref="K23:V23" si="12">K12/K8*K16</f>
        <v>107342.42342014903</v>
      </c>
      <c r="L23" s="75">
        <f t="shared" si="12"/>
        <v>122356.11778357142</v>
      </c>
      <c r="M23" s="75">
        <f t="shared" si="12"/>
        <v>124329.8493768874</v>
      </c>
      <c r="N23" s="75">
        <f t="shared" si="12"/>
        <v>126288.34948595267</v>
      </c>
      <c r="O23" s="75">
        <f t="shared" si="12"/>
        <v>126696.62134049056</v>
      </c>
      <c r="P23" s="75">
        <f t="shared" si="12"/>
        <v>127635.4569404372</v>
      </c>
      <c r="Q23" s="75">
        <f t="shared" si="12"/>
        <v>127699.08297042215</v>
      </c>
      <c r="R23" s="75">
        <f t="shared" si="12"/>
        <v>127754.37643187308</v>
      </c>
      <c r="S23" s="75">
        <f t="shared" si="12"/>
        <v>128262.93536947299</v>
      </c>
      <c r="T23" s="75">
        <f t="shared" si="12"/>
        <v>128253.84617925134</v>
      </c>
      <c r="U23" s="75">
        <f t="shared" si="12"/>
        <v>128636.15904438315</v>
      </c>
      <c r="V23" s="109">
        <f t="shared" si="12"/>
        <v>128586.36987085166</v>
      </c>
      <c r="W23" s="75">
        <f t="shared" ref="W23:AH23" si="13">W12/W8*W16</f>
        <v>130849.04754626956</v>
      </c>
      <c r="X23" s="75">
        <f t="shared" si="13"/>
        <v>137588.87975479724</v>
      </c>
      <c r="Y23" s="75">
        <f t="shared" si="13"/>
        <v>137633.58235244622</v>
      </c>
      <c r="Z23" s="75">
        <f t="shared" si="13"/>
        <v>140546.95605939871</v>
      </c>
      <c r="AA23" s="75">
        <f t="shared" si="13"/>
        <v>142748.94504948411</v>
      </c>
      <c r="AB23" s="75">
        <f t="shared" si="13"/>
        <v>146140.05204347469</v>
      </c>
      <c r="AC23" s="75">
        <f t="shared" si="13"/>
        <v>148875.78520969558</v>
      </c>
      <c r="AD23" s="75">
        <f t="shared" si="13"/>
        <v>151789.42956749446</v>
      </c>
      <c r="AE23" s="75">
        <f t="shared" si="13"/>
        <v>155350.82651050756</v>
      </c>
      <c r="AF23" s="75">
        <f t="shared" si="13"/>
        <v>158398.15913668601</v>
      </c>
      <c r="AG23" s="75">
        <f t="shared" si="13"/>
        <v>162023.3840237807</v>
      </c>
      <c r="AH23" s="109">
        <f t="shared" si="13"/>
        <v>165159.98584548681</v>
      </c>
      <c r="AI23" s="75">
        <f t="shared" ref="AI23:AT23" si="14">AI12/AI8*AI16</f>
        <v>210009.75967094855</v>
      </c>
      <c r="AJ23" s="75">
        <f t="shared" si="14"/>
        <v>220594.0562802428</v>
      </c>
      <c r="AK23" s="75">
        <f t="shared" si="14"/>
        <v>221670.20534872776</v>
      </c>
      <c r="AL23" s="75">
        <f t="shared" si="14"/>
        <v>225888.93781660954</v>
      </c>
      <c r="AM23" s="75">
        <f t="shared" si="14"/>
        <v>228319.28522893696</v>
      </c>
      <c r="AN23" s="75">
        <f t="shared" si="14"/>
        <v>232375.41057703359</v>
      </c>
      <c r="AO23" s="75">
        <f t="shared" si="14"/>
        <v>235186.41749351021</v>
      </c>
      <c r="AP23" s="75">
        <f t="shared" si="14"/>
        <v>239071.78467527425</v>
      </c>
      <c r="AQ23" s="75">
        <f t="shared" si="14"/>
        <v>242948.40347494947</v>
      </c>
      <c r="AR23" s="75">
        <f t="shared" si="14"/>
        <v>245277.52584362423</v>
      </c>
      <c r="AS23" s="75">
        <f t="shared" si="14"/>
        <v>247901.39334087953</v>
      </c>
      <c r="AT23" s="109">
        <f t="shared" si="14"/>
        <v>249414.68662252423</v>
      </c>
    </row>
    <row r="24" spans="2:46" x14ac:dyDescent="0.2">
      <c r="B24" s="139" t="s">
        <v>196</v>
      </c>
      <c r="C24" t="s">
        <v>41</v>
      </c>
      <c r="F24" s="109">
        <f>Inventory!C126</f>
        <v>122740.36764659446</v>
      </c>
      <c r="G24" s="75">
        <f>Inventory!D126</f>
        <v>89519.755341803495</v>
      </c>
      <c r="H24" s="75">
        <f>Inventory!E126</f>
        <v>133282.28981147683</v>
      </c>
      <c r="I24" s="75">
        <f>Inventory!F126</f>
        <v>101296.10986735833</v>
      </c>
      <c r="J24" s="109">
        <f>Inventory!G126</f>
        <v>137656.2268151195</v>
      </c>
      <c r="K24" s="75">
        <f>Inventory!I126</f>
        <v>164935.99417150408</v>
      </c>
      <c r="L24" s="75">
        <f>Inventory!J126</f>
        <v>193903.74068068169</v>
      </c>
      <c r="M24" s="75">
        <f>Inventory!K126</f>
        <v>170115.5622484886</v>
      </c>
      <c r="N24" s="75">
        <f>Inventory!L126</f>
        <v>199537.26568435898</v>
      </c>
      <c r="O24" s="75">
        <f>Inventory!M126</f>
        <v>172196.60090187157</v>
      </c>
      <c r="P24" s="75">
        <f>Inventory!N126</f>
        <v>181961.31929558</v>
      </c>
      <c r="Q24" s="75">
        <f>Inventory!O126</f>
        <v>182907.81395916952</v>
      </c>
      <c r="R24" s="75">
        <f>Inventory!P126</f>
        <v>192672.5323528779</v>
      </c>
      <c r="S24" s="75">
        <f>Inventory!Q126</f>
        <v>193619.02701646741</v>
      </c>
      <c r="T24" s="75">
        <f>Inventory!R126</f>
        <v>197975.70762234522</v>
      </c>
      <c r="U24" s="75">
        <f>Inventory!S126</f>
        <v>170298.1138628578</v>
      </c>
      <c r="V24" s="109">
        <f>Inventory!T126</f>
        <v>208686.92067964314</v>
      </c>
      <c r="W24" s="75">
        <f>Inventory!V126</f>
        <v>248544.44820641109</v>
      </c>
      <c r="X24" s="75">
        <f>Inventory!W126</f>
        <v>214797.10402814668</v>
      </c>
      <c r="Y24" s="75">
        <f>Inventory!X126</f>
        <v>218082.31657220988</v>
      </c>
      <c r="Z24" s="75">
        <f>Inventory!Y126</f>
        <v>205698.13921342205</v>
      </c>
      <c r="AA24" s="75">
        <f>Inventory!Z126</f>
        <v>183163.23661844648</v>
      </c>
      <c r="AB24" s="75">
        <f>Inventory!AA126</f>
        <v>195617.48456154688</v>
      </c>
      <c r="AC24" s="75">
        <f>Inventory!AB126</f>
        <v>201396.93080651746</v>
      </c>
      <c r="AD24" s="75">
        <f>Inventory!AC126</f>
        <v>171311.23885284213</v>
      </c>
      <c r="AE24" s="75">
        <f>Inventory!AD126</f>
        <v>189471.09174416796</v>
      </c>
      <c r="AF24" s="75">
        <f>Inventory!AE126</f>
        <v>239147.30133362368</v>
      </c>
      <c r="AG24" s="75">
        <f>Inventory!AF126</f>
        <v>214774.83852247751</v>
      </c>
      <c r="AH24" s="109">
        <f>Inventory!AG126</f>
        <v>254588.09644094575</v>
      </c>
      <c r="AI24" s="75">
        <f>Inventory!AI126</f>
        <v>250980.66014150588</v>
      </c>
      <c r="AJ24" s="75">
        <f>Inventory!AJ126</f>
        <v>244647.64414997035</v>
      </c>
      <c r="AK24" s="75">
        <f>Inventory!AK126</f>
        <v>296693.85613153991</v>
      </c>
      <c r="AL24" s="75">
        <f>Inventory!AL126</f>
        <v>267574.34909311956</v>
      </c>
      <c r="AM24" s="75">
        <f>Inventory!AM126</f>
        <v>270601.52588679176</v>
      </c>
      <c r="AN24" s="75">
        <f>Inventory!AN126</f>
        <v>263272.44749401486</v>
      </c>
      <c r="AO24" s="75">
        <f>Inventory!AO126</f>
        <v>288096.41129817331</v>
      </c>
      <c r="AP24" s="75">
        <f>Inventory!AP126</f>
        <v>263833.33686420409</v>
      </c>
      <c r="AQ24" s="75">
        <f>Inventory!AQ126</f>
        <v>301215.53841868747</v>
      </c>
      <c r="AR24" s="75">
        <f>Inventory!AR126</f>
        <v>276952.46398471826</v>
      </c>
      <c r="AS24" s="75">
        <f>Inventory!AS126</f>
        <v>288096.41366057721</v>
      </c>
      <c r="AT24" s="109">
        <f>Inventory!AT126</f>
        <v>325478.61521506053</v>
      </c>
    </row>
    <row r="25" spans="2:46" x14ac:dyDescent="0.2">
      <c r="B25" s="139" t="s">
        <v>193</v>
      </c>
      <c r="C25" t="s">
        <v>41</v>
      </c>
      <c r="G25" s="75"/>
      <c r="H25" s="75"/>
      <c r="I25" s="75"/>
      <c r="J25" s="109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109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109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109"/>
    </row>
    <row r="26" spans="2:46" x14ac:dyDescent="0.2">
      <c r="B26" s="140" t="s">
        <v>241</v>
      </c>
      <c r="C26" s="114" t="s">
        <v>41</v>
      </c>
      <c r="D26" s="114"/>
      <c r="E26" s="114"/>
      <c r="F26" s="114"/>
      <c r="G26" s="144">
        <f>G12/G8*G19</f>
        <v>0</v>
      </c>
      <c r="H26" s="144">
        <f t="shared" ref="H26:I26" si="15">H12/H8*H19</f>
        <v>0</v>
      </c>
      <c r="I26" s="144">
        <f t="shared" si="15"/>
        <v>0</v>
      </c>
      <c r="J26" s="246">
        <f>J12/J8*J19</f>
        <v>0</v>
      </c>
      <c r="K26" s="144">
        <f t="shared" ref="K26:V26" si="16">K12/K8*K19</f>
        <v>107342.42342014903</v>
      </c>
      <c r="L26" s="144">
        <f t="shared" si="16"/>
        <v>122356.11778357142</v>
      </c>
      <c r="M26" s="144">
        <f t="shared" si="16"/>
        <v>124329.8493768874</v>
      </c>
      <c r="N26" s="144">
        <f t="shared" si="16"/>
        <v>126288.34948595267</v>
      </c>
      <c r="O26" s="144">
        <f t="shared" si="16"/>
        <v>126696.62134049056</v>
      </c>
      <c r="P26" s="144">
        <f t="shared" si="16"/>
        <v>127635.4569404372</v>
      </c>
      <c r="Q26" s="144">
        <f t="shared" si="16"/>
        <v>127699.08297042215</v>
      </c>
      <c r="R26" s="144">
        <f t="shared" si="16"/>
        <v>127754.37643187308</v>
      </c>
      <c r="S26" s="144">
        <f t="shared" si="16"/>
        <v>128262.93536947299</v>
      </c>
      <c r="T26" s="144">
        <f t="shared" si="16"/>
        <v>128253.84617925134</v>
      </c>
      <c r="U26" s="144">
        <f t="shared" si="16"/>
        <v>128636.15904438315</v>
      </c>
      <c r="V26" s="246">
        <f t="shared" si="16"/>
        <v>128586.36987085166</v>
      </c>
      <c r="W26" s="144">
        <f t="shared" ref="W26:AH26" si="17">W12/W8*W19</f>
        <v>130849.04754626956</v>
      </c>
      <c r="X26" s="144">
        <f t="shared" si="17"/>
        <v>137588.87975479724</v>
      </c>
      <c r="Y26" s="144">
        <f t="shared" si="17"/>
        <v>137633.58235244622</v>
      </c>
      <c r="Z26" s="144">
        <f t="shared" si="17"/>
        <v>140546.95605939871</v>
      </c>
      <c r="AA26" s="144">
        <f t="shared" si="17"/>
        <v>142748.94504948411</v>
      </c>
      <c r="AB26" s="144">
        <f t="shared" si="17"/>
        <v>146140.05204347469</v>
      </c>
      <c r="AC26" s="144">
        <f t="shared" si="17"/>
        <v>148875.78520969558</v>
      </c>
      <c r="AD26" s="144">
        <f t="shared" si="17"/>
        <v>151789.42956749446</v>
      </c>
      <c r="AE26" s="144">
        <f t="shared" si="17"/>
        <v>155350.82651050756</v>
      </c>
      <c r="AF26" s="144">
        <f t="shared" si="17"/>
        <v>158398.15913668601</v>
      </c>
      <c r="AG26" s="144">
        <f t="shared" si="17"/>
        <v>162023.3840237807</v>
      </c>
      <c r="AH26" s="246">
        <f t="shared" si="17"/>
        <v>165159.98584548681</v>
      </c>
      <c r="AI26" s="144">
        <f t="shared" ref="AI26:AT26" si="18">AI12/AI8*AI19</f>
        <v>210009.75967094855</v>
      </c>
      <c r="AJ26" s="144">
        <f t="shared" si="18"/>
        <v>220594.0562802428</v>
      </c>
      <c r="AK26" s="144">
        <f t="shared" si="18"/>
        <v>221670.20534872776</v>
      </c>
      <c r="AL26" s="144">
        <f t="shared" si="18"/>
        <v>225888.93781660954</v>
      </c>
      <c r="AM26" s="144">
        <f t="shared" si="18"/>
        <v>228319.28522893696</v>
      </c>
      <c r="AN26" s="144">
        <f t="shared" si="18"/>
        <v>232375.41057703359</v>
      </c>
      <c r="AO26" s="144">
        <f t="shared" si="18"/>
        <v>235186.41749351021</v>
      </c>
      <c r="AP26" s="144">
        <f t="shared" si="18"/>
        <v>239071.78467527425</v>
      </c>
      <c r="AQ26" s="144">
        <f t="shared" si="18"/>
        <v>242948.40347494947</v>
      </c>
      <c r="AR26" s="144">
        <f t="shared" si="18"/>
        <v>245277.52584362423</v>
      </c>
      <c r="AS26" s="144">
        <f t="shared" si="18"/>
        <v>247901.39334087953</v>
      </c>
      <c r="AT26" s="246">
        <f t="shared" si="18"/>
        <v>249414.68662252423</v>
      </c>
    </row>
    <row r="27" spans="2:46" x14ac:dyDescent="0.2">
      <c r="B27" s="142" t="s">
        <v>354</v>
      </c>
      <c r="C27" s="6" t="s">
        <v>48</v>
      </c>
      <c r="F27" s="75">
        <f>SUM(F24:F26)</f>
        <v>122740.36764659446</v>
      </c>
      <c r="G27" s="75">
        <f t="shared" ref="G27:I27" si="19">G22-G23+G24+G25-G26</f>
        <v>94616.02858380758</v>
      </c>
      <c r="H27" s="75">
        <f t="shared" si="19"/>
        <v>139934.22591456195</v>
      </c>
      <c r="I27" s="75">
        <f t="shared" si="19"/>
        <v>109492.42079829803</v>
      </c>
      <c r="J27" s="109">
        <f>J22-J23+J24+J25-J26</f>
        <v>147383.75473668327</v>
      </c>
      <c r="K27" s="75">
        <f>K22-K23+K24+K25-K26</f>
        <v>74580.129461055607</v>
      </c>
      <c r="L27" s="75">
        <f t="shared" ref="L27" si="20">L22-L23+L24+L25-L26</f>
        <v>90960.05219599884</v>
      </c>
      <c r="M27" s="75">
        <f t="shared" ref="M27" si="21">M22-M23+M24+M25-M26</f>
        <v>65558.120963309077</v>
      </c>
      <c r="N27" s="75">
        <f t="shared" ref="N27" si="22">N22-N23+N24+N25-N26</f>
        <v>93411.083933137066</v>
      </c>
      <c r="O27" s="75">
        <f t="shared" ref="O27" si="23">O22-O23+O24+O25-O26</f>
        <v>65683.629484403355</v>
      </c>
      <c r="P27" s="75">
        <f t="shared" ref="P27" si="24">P22-P23+P24+P25-P26</f>
        <v>74667.089697019866</v>
      </c>
      <c r="Q27" s="75">
        <f t="shared" ref="Q27" si="25">Q22-Q23+Q24+Q25-Q26</f>
        <v>75569.264760812584</v>
      </c>
      <c r="R27" s="75">
        <f t="shared" ref="R27" si="26">R22-R23+R24+R25-R26</f>
        <v>85285.168969443461</v>
      </c>
      <c r="S27" s="75">
        <f t="shared" ref="S27" si="27">S22-S23+S24+S25-S26</f>
        <v>85805.084988232775</v>
      </c>
      <c r="T27" s="75">
        <f t="shared" ref="T27" si="28">T22-T23+T24+T25-T26</f>
        <v>90162.802870199885</v>
      </c>
      <c r="U27" s="75">
        <f t="shared" ref="U27" si="29">U22-U23+U24+U25-U26</f>
        <v>62151.766811938985</v>
      </c>
      <c r="V27" s="109">
        <f>V22-V23+V24+V25-V26</f>
        <v>100590.71031040419</v>
      </c>
      <c r="W27" s="75">
        <f t="shared" ref="W27" si="30">W22-W23+W24+W25-W26</f>
        <v>138361.06512014958</v>
      </c>
      <c r="X27" s="75">
        <f t="shared" ref="X27" si="31">X22-X23+X24+X25-X26</f>
        <v>98838.194423454086</v>
      </c>
      <c r="Y27" s="75">
        <f t="shared" ref="Y27" si="32">Y22-Y23+Y24+Y25-Y26</f>
        <v>102126.20718864186</v>
      </c>
      <c r="Z27" s="75">
        <f t="shared" ref="Z27" si="33">Z22-Z23+Z24+Z25-Z26</f>
        <v>87347.59903185154</v>
      </c>
      <c r="AA27" s="75">
        <f t="shared" ref="AA27" si="34">AA22-AA23+AA24+AA25-AA26</f>
        <v>63013.914971424441</v>
      </c>
      <c r="AB27" s="75">
        <f t="shared" ref="AB27" si="35">AB22-AB23+AB24+AB25-AB26</f>
        <v>72692.020579782897</v>
      </c>
      <c r="AC27" s="75">
        <f t="shared" ref="AC27" si="36">AC22-AC23+AC24+AC25-AC26</f>
        <v>76220.231617556914</v>
      </c>
      <c r="AD27" s="75">
        <f t="shared" ref="AD27" si="37">AD22-AD23+AD24+AD25-AD26</f>
        <v>43722.0679550434</v>
      </c>
      <c r="AE27" s="75">
        <f t="shared" ref="AE27" si="38">AE22-AE23+AE24+AE25-AE26</f>
        <v>58960.803563596768</v>
      </c>
      <c r="AF27" s="75">
        <f t="shared" ref="AF27" si="39">AF22-AF23+AF24+AF25-AF26</f>
        <v>106121.10733743326</v>
      </c>
      <c r="AG27" s="75">
        <f t="shared" ref="AG27" si="40">AG22-AG23+AG24+AG25-AG26</f>
        <v>78712.200138103915</v>
      </c>
      <c r="AH27" s="109">
        <f t="shared" ref="AH27" si="41">AH22-AH23+AH24+AH25-AH26</f>
        <v>115924.03613014834</v>
      </c>
      <c r="AI27" s="75">
        <f t="shared" ref="AI27" si="42">AI22-AI23+AI24+AI25-AI26</f>
        <v>74936.187716316897</v>
      </c>
      <c r="AJ27" s="75">
        <f t="shared" ref="AJ27" si="43">AJ22-AJ23+AJ24+AJ25-AJ26</f>
        <v>59768.235993389855</v>
      </c>
      <c r="AK27" s="75">
        <f t="shared" ref="AK27" si="44">AK22-AK23+AK24+AK25-AK26</f>
        <v>111000.56004341482</v>
      </c>
      <c r="AL27" s="75">
        <f t="shared" ref="AL27" si="45">AL22-AL23+AL24+AL25-AL26</f>
        <v>78318.61840479527</v>
      </c>
      <c r="AM27" s="75">
        <f t="shared" ref="AM27" si="46">AM22-AM23+AM24+AM25-AM26</f>
        <v>79334.935709272249</v>
      </c>
      <c r="AN27" s="75">
        <f t="shared" ref="AN27" si="47">AN22-AN23+AN24+AN25-AN26</f>
        <v>68631.361627276638</v>
      </c>
      <c r="AO27" s="75">
        <f t="shared" ref="AO27" si="48">AO22-AO23+AO24+AO25-AO26</f>
        <v>91128.647273249197</v>
      </c>
      <c r="AP27" s="75">
        <f t="shared" ref="AP27" si="49">AP22-AP23+AP24+AP25-AP26</f>
        <v>63628.580499329168</v>
      </c>
      <c r="AQ27" s="75">
        <f t="shared" ref="AQ27" si="50">AQ22-AQ23+AQ24+AQ25-AQ26</f>
        <v>97796.324980037229</v>
      </c>
      <c r="AR27" s="75">
        <f t="shared" ref="AR27" si="51">AR22-AR23+AR24+AR25-AR26</f>
        <v>71579.874184879387</v>
      </c>
      <c r="AS27" s="75">
        <f t="shared" ref="AS27" si="52">AS22-AS23+AS24+AS25-AS26</f>
        <v>80539.719901915931</v>
      </c>
      <c r="AT27" s="109">
        <f t="shared" ref="AT27" si="53">AT22-AT23+AT24+AT25-AT26</f>
        <v>116660.80312524579</v>
      </c>
    </row>
    <row r="29" spans="2:46" ht="16" thickBot="1" x14ac:dyDescent="0.25">
      <c r="B29" s="142" t="s">
        <v>353</v>
      </c>
      <c r="C29" s="6" t="s">
        <v>48</v>
      </c>
      <c r="F29" s="75">
        <f>E27-F27</f>
        <v>-122740.36764659446</v>
      </c>
      <c r="G29" s="75">
        <f>F27-G27</f>
        <v>28124.339062786879</v>
      </c>
      <c r="H29" s="75">
        <f t="shared" ref="H29:J29" si="54">G27-H27</f>
        <v>-45318.197330754367</v>
      </c>
      <c r="I29" s="75">
        <f t="shared" si="54"/>
        <v>30441.805116263917</v>
      </c>
      <c r="J29" s="75">
        <f t="shared" si="54"/>
        <v>-37891.333938385244</v>
      </c>
      <c r="K29" s="75">
        <f>J27-K27</f>
        <v>72803.625275627666</v>
      </c>
      <c r="L29" s="75">
        <f t="shared" ref="L29:AT29" si="55">K27-L27</f>
        <v>-16379.922734943233</v>
      </c>
      <c r="M29" s="75">
        <f t="shared" si="55"/>
        <v>25401.931232689763</v>
      </c>
      <c r="N29" s="75">
        <f t="shared" si="55"/>
        <v>-27852.96296982799</v>
      </c>
      <c r="O29" s="75">
        <f t="shared" si="55"/>
        <v>27727.454448733712</v>
      </c>
      <c r="P29" s="75">
        <f t="shared" si="55"/>
        <v>-8983.4602126165119</v>
      </c>
      <c r="Q29" s="75">
        <f t="shared" si="55"/>
        <v>-902.17506379271799</v>
      </c>
      <c r="R29" s="75">
        <f t="shared" si="55"/>
        <v>-9715.9042086308764</v>
      </c>
      <c r="S29" s="75">
        <f t="shared" si="55"/>
        <v>-519.91601878931397</v>
      </c>
      <c r="T29" s="75">
        <f t="shared" si="55"/>
        <v>-4357.7178819671099</v>
      </c>
      <c r="U29" s="75">
        <f t="shared" si="55"/>
        <v>28011.036058260899</v>
      </c>
      <c r="V29" s="75">
        <f t="shared" si="55"/>
        <v>-38438.943498465203</v>
      </c>
      <c r="W29" s="75">
        <f t="shared" si="55"/>
        <v>-37770.35480974539</v>
      </c>
      <c r="X29" s="75">
        <f t="shared" si="55"/>
        <v>39522.870696695492</v>
      </c>
      <c r="Y29" s="75">
        <f t="shared" si="55"/>
        <v>-3288.0127651877701</v>
      </c>
      <c r="Z29" s="75">
        <f t="shared" si="55"/>
        <v>14778.608156790317</v>
      </c>
      <c r="AA29" s="75">
        <f t="shared" si="55"/>
        <v>24333.684060427098</v>
      </c>
      <c r="AB29" s="75">
        <f t="shared" si="55"/>
        <v>-9678.1056083584554</v>
      </c>
      <c r="AC29" s="75">
        <f t="shared" si="55"/>
        <v>-3528.2110377740173</v>
      </c>
      <c r="AD29" s="75">
        <f t="shared" si="55"/>
        <v>32498.163662513514</v>
      </c>
      <c r="AE29" s="75">
        <f t="shared" si="55"/>
        <v>-15238.735608553368</v>
      </c>
      <c r="AF29" s="75">
        <f t="shared" si="55"/>
        <v>-47160.303773836495</v>
      </c>
      <c r="AG29" s="75">
        <f t="shared" si="55"/>
        <v>27408.907199329347</v>
      </c>
      <c r="AH29" s="75">
        <f t="shared" si="55"/>
        <v>-37211.83599204442</v>
      </c>
      <c r="AI29" s="75">
        <f t="shared" si="55"/>
        <v>40987.848413831438</v>
      </c>
      <c r="AJ29" s="75">
        <f t="shared" si="55"/>
        <v>15167.951722927042</v>
      </c>
      <c r="AK29" s="75">
        <f t="shared" si="55"/>
        <v>-51232.324050024967</v>
      </c>
      <c r="AL29" s="75">
        <f t="shared" si="55"/>
        <v>32681.941638619552</v>
      </c>
      <c r="AM29" s="75">
        <f t="shared" si="55"/>
        <v>-1016.3173044769792</v>
      </c>
      <c r="AN29" s="75">
        <f t="shared" si="55"/>
        <v>10703.574081995612</v>
      </c>
      <c r="AO29" s="75">
        <f t="shared" si="55"/>
        <v>-22497.285645972559</v>
      </c>
      <c r="AP29" s="75">
        <f t="shared" si="55"/>
        <v>27500.066773920029</v>
      </c>
      <c r="AQ29" s="75">
        <f t="shared" si="55"/>
        <v>-34167.744480708061</v>
      </c>
      <c r="AR29" s="75">
        <f t="shared" si="55"/>
        <v>26216.450795157842</v>
      </c>
      <c r="AS29" s="75">
        <f t="shared" si="55"/>
        <v>-8959.8457170365436</v>
      </c>
      <c r="AT29" s="75">
        <f t="shared" si="55"/>
        <v>-36121.083223329857</v>
      </c>
    </row>
    <row r="30" spans="2:46" ht="17" thickTop="1" thickBot="1" x14ac:dyDescent="0.25">
      <c r="B30" s="6" t="s">
        <v>352</v>
      </c>
      <c r="C30" s="6" t="s">
        <v>48</v>
      </c>
      <c r="F30" s="275"/>
      <c r="G30" s="275"/>
      <c r="H30" s="275"/>
      <c r="I30" s="275"/>
      <c r="J30" s="276">
        <f>E27-J27</f>
        <v>-147383.75473668327</v>
      </c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6">
        <f>J27-V27</f>
        <v>46793.044426279084</v>
      </c>
      <c r="W30" s="277"/>
      <c r="X30" s="277"/>
      <c r="Y30" s="277"/>
      <c r="Z30" s="277"/>
      <c r="AA30" s="277"/>
      <c r="AB30" s="277"/>
      <c r="AC30" s="277"/>
      <c r="AD30" s="277"/>
      <c r="AE30" s="277"/>
      <c r="AF30" s="277"/>
      <c r="AG30" s="277"/>
      <c r="AH30" s="276">
        <f>V27-AH27</f>
        <v>-15333.325819744146</v>
      </c>
      <c r="AI30" s="277"/>
      <c r="AJ30" s="277"/>
      <c r="AK30" s="277"/>
      <c r="AL30" s="277"/>
      <c r="AM30" s="277"/>
      <c r="AN30" s="277"/>
      <c r="AO30" s="277"/>
      <c r="AP30" s="277"/>
      <c r="AQ30" s="277"/>
      <c r="AR30" s="277"/>
      <c r="AS30" s="277"/>
      <c r="AT30" s="276">
        <f>AH27-AT27</f>
        <v>-736.76699509745231</v>
      </c>
    </row>
    <row r="31" spans="2:46" ht="16" thickTop="1" x14ac:dyDescent="0.2"/>
    <row r="33" spans="2:46" ht="28" x14ac:dyDescent="0.35">
      <c r="B33" s="5" t="str">
        <f>'Cover Page'!$B$6</f>
        <v>Solea</v>
      </c>
    </row>
    <row r="34" spans="2:46" x14ac:dyDescent="0.2">
      <c r="B34" s="6" t="str">
        <f>UPPER("currently running: "&amp;CHOOSE(Scenarios!$C$8,Scenarios!$B$15,Scenarios!$B$16,Scenarios!$B$17)&amp;" Scenario")</f>
        <v>CURRENTLY RUNNING: BASE CASE SCENARIO</v>
      </c>
    </row>
    <row r="35" spans="2:46" x14ac:dyDescent="0.2">
      <c r="B35" s="6" t="s">
        <v>355</v>
      </c>
    </row>
    <row r="37" spans="2:46" x14ac:dyDescent="0.2">
      <c r="B37" s="9" t="str">
        <f>B5</f>
        <v>Frequency</v>
      </c>
      <c r="C37" s="9" t="str">
        <f t="shared" ref="C37:AT38" si="56">C5</f>
        <v xml:space="preserve">Monthly 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</row>
    <row r="38" spans="2:46" x14ac:dyDescent="0.2">
      <c r="B38" s="10" t="str">
        <f>B6</f>
        <v>Period</v>
      </c>
      <c r="C38" s="10"/>
      <c r="D38" s="10"/>
      <c r="E38" s="10"/>
      <c r="F38" s="11">
        <f t="shared" si="56"/>
        <v>45900</v>
      </c>
      <c r="G38" s="11">
        <f t="shared" si="56"/>
        <v>45930</v>
      </c>
      <c r="H38" s="11">
        <f t="shared" si="56"/>
        <v>45961</v>
      </c>
      <c r="I38" s="11">
        <f t="shared" si="56"/>
        <v>45991</v>
      </c>
      <c r="J38" s="11">
        <f t="shared" si="56"/>
        <v>46022</v>
      </c>
      <c r="K38" s="11">
        <f t="shared" si="56"/>
        <v>46053</v>
      </c>
      <c r="L38" s="11">
        <f t="shared" si="56"/>
        <v>46081</v>
      </c>
      <c r="M38" s="11">
        <f t="shared" si="56"/>
        <v>46112</v>
      </c>
      <c r="N38" s="11">
        <f t="shared" si="56"/>
        <v>46142</v>
      </c>
      <c r="O38" s="11">
        <f t="shared" si="56"/>
        <v>46173</v>
      </c>
      <c r="P38" s="11">
        <f t="shared" si="56"/>
        <v>46203</v>
      </c>
      <c r="Q38" s="11">
        <f t="shared" si="56"/>
        <v>46234</v>
      </c>
      <c r="R38" s="11">
        <f t="shared" si="56"/>
        <v>46265</v>
      </c>
      <c r="S38" s="11">
        <f t="shared" si="56"/>
        <v>46295</v>
      </c>
      <c r="T38" s="11">
        <f t="shared" si="56"/>
        <v>46326</v>
      </c>
      <c r="U38" s="11">
        <f t="shared" si="56"/>
        <v>46356</v>
      </c>
      <c r="V38" s="11">
        <f t="shared" si="56"/>
        <v>46387</v>
      </c>
      <c r="W38" s="11">
        <f t="shared" si="56"/>
        <v>46418</v>
      </c>
      <c r="X38" s="11">
        <f t="shared" si="56"/>
        <v>46446</v>
      </c>
      <c r="Y38" s="11">
        <f t="shared" si="56"/>
        <v>46477</v>
      </c>
      <c r="Z38" s="11">
        <f t="shared" si="56"/>
        <v>46507</v>
      </c>
      <c r="AA38" s="11">
        <f t="shared" si="56"/>
        <v>46538</v>
      </c>
      <c r="AB38" s="11">
        <f t="shared" si="56"/>
        <v>46568</v>
      </c>
      <c r="AC38" s="11">
        <f t="shared" si="56"/>
        <v>46599</v>
      </c>
      <c r="AD38" s="11">
        <f t="shared" si="56"/>
        <v>46630</v>
      </c>
      <c r="AE38" s="11">
        <f t="shared" si="56"/>
        <v>46660</v>
      </c>
      <c r="AF38" s="11">
        <f t="shared" si="56"/>
        <v>46691</v>
      </c>
      <c r="AG38" s="11">
        <f t="shared" si="56"/>
        <v>46721</v>
      </c>
      <c r="AH38" s="11">
        <f t="shared" si="56"/>
        <v>46752</v>
      </c>
      <c r="AI38" s="11">
        <f t="shared" si="56"/>
        <v>46783</v>
      </c>
      <c r="AJ38" s="11">
        <f t="shared" si="56"/>
        <v>46812</v>
      </c>
      <c r="AK38" s="11">
        <f t="shared" si="56"/>
        <v>46843</v>
      </c>
      <c r="AL38" s="11">
        <f t="shared" si="56"/>
        <v>46873</v>
      </c>
      <c r="AM38" s="11">
        <f t="shared" si="56"/>
        <v>46904</v>
      </c>
      <c r="AN38" s="11">
        <f t="shared" si="56"/>
        <v>46934</v>
      </c>
      <c r="AO38" s="11">
        <f t="shared" si="56"/>
        <v>46965</v>
      </c>
      <c r="AP38" s="11">
        <f t="shared" si="56"/>
        <v>46996</v>
      </c>
      <c r="AQ38" s="11">
        <f t="shared" si="56"/>
        <v>47026</v>
      </c>
      <c r="AR38" s="11">
        <f t="shared" si="56"/>
        <v>47057</v>
      </c>
      <c r="AS38" s="11">
        <f t="shared" si="56"/>
        <v>47087</v>
      </c>
      <c r="AT38" s="11">
        <f t="shared" si="56"/>
        <v>47118</v>
      </c>
    </row>
    <row r="40" spans="2:46" x14ac:dyDescent="0.2">
      <c r="B40" s="6" t="s">
        <v>243</v>
      </c>
    </row>
    <row r="41" spans="2:46" x14ac:dyDescent="0.2">
      <c r="B41" s="139" t="s">
        <v>244</v>
      </c>
      <c r="C41" t="s">
        <v>41</v>
      </c>
      <c r="G41" s="76">
        <f>'Model '!J49</f>
        <v>-5732.4139609492959</v>
      </c>
      <c r="H41" s="76">
        <f>'Model '!K49</f>
        <v>-1618.066358485783</v>
      </c>
      <c r="I41" s="76">
        <f>'Model '!L49</f>
        <v>1070.4941110271175</v>
      </c>
      <c r="J41" s="76">
        <f>'Model '!M49</f>
        <v>4211.7154308239369</v>
      </c>
      <c r="K41" s="76">
        <f>'Model '!O49</f>
        <v>5274.0058566995103</v>
      </c>
      <c r="L41" s="76">
        <f>'Model '!P49</f>
        <v>7471.2577025872106</v>
      </c>
      <c r="M41" s="76">
        <f>'Model '!Q49</f>
        <v>7843.0717185167414</v>
      </c>
      <c r="N41" s="76">
        <f>'Model '!R49</f>
        <v>7990.911726080637</v>
      </c>
      <c r="O41" s="76">
        <f>'Model '!S49</f>
        <v>7691.3203903112062</v>
      </c>
      <c r="P41" s="76">
        <f>'Model '!T49</f>
        <v>7839.1603978751027</v>
      </c>
      <c r="Q41" s="76">
        <f>'Model '!U49</f>
        <v>7855.5870721056499</v>
      </c>
      <c r="R41" s="76">
        <f>'Model '!V49</f>
        <v>7806.3070796695456</v>
      </c>
      <c r="S41" s="76">
        <f>'Model '!W49</f>
        <v>7822.7337539001155</v>
      </c>
      <c r="T41" s="76">
        <f>'Model '!X49</f>
        <v>7773.4537614640112</v>
      </c>
      <c r="U41" s="76">
        <f>'Model '!Y49</f>
        <v>7724.1737690279069</v>
      </c>
      <c r="V41" s="76">
        <f>'Model '!Z49</f>
        <v>7872.0137765918025</v>
      </c>
      <c r="W41" s="76">
        <f>'Model '!AB49</f>
        <v>7953.8548746440429</v>
      </c>
      <c r="X41" s="76">
        <f>'Model '!AC49</f>
        <v>7822.8789612597066</v>
      </c>
      <c r="Y41" s="76">
        <f>'Model '!AD49</f>
        <v>8767.4230777650919</v>
      </c>
      <c r="Z41" s="76">
        <f>'Model '!AE49</f>
        <v>9674.0144456858234</v>
      </c>
      <c r="AA41" s="76">
        <f>'Model '!AF49</f>
        <v>10544.20927862294</v>
      </c>
      <c r="AB41" s="76">
        <f>'Model '!AG49</f>
        <v>11515.764703855661</v>
      </c>
      <c r="AC41" s="76">
        <f>'Model '!AH49</f>
        <v>12301.093443901331</v>
      </c>
      <c r="AD41" s="76">
        <f>'Model '!AI49</f>
        <v>13112.710304425162</v>
      </c>
      <c r="AE41" s="76">
        <f>'Model '!AJ49</f>
        <v>14187.533253782805</v>
      </c>
      <c r="AF41" s="76">
        <f>'Model '!AK49</f>
        <v>14914.799873639537</v>
      </c>
      <c r="AG41" s="76">
        <f>'Model '!AL49</f>
        <v>15523.976101019574</v>
      </c>
      <c r="AH41" s="76">
        <f>'Model '!AM49</f>
        <v>16546.558368345221</v>
      </c>
      <c r="AI41" s="76">
        <f>'Model '!AO49</f>
        <v>17306.918804937988</v>
      </c>
      <c r="AJ41" s="76">
        <f>'Model '!AP49</f>
        <v>18169.678420654611</v>
      </c>
      <c r="AK41" s="76">
        <f>'Model '!AQ49</f>
        <v>19133.282894152748</v>
      </c>
      <c r="AL41" s="76">
        <f>'Model '!AR49</f>
        <v>19762.787771049661</v>
      </c>
      <c r="AM41" s="76">
        <f>'Model '!AS49</f>
        <v>20716.577069331834</v>
      </c>
      <c r="AN41" s="76">
        <f>'Model '!AT49</f>
        <v>21559.70633461645</v>
      </c>
      <c r="AO41" s="76">
        <f>'Model '!AU49</f>
        <v>22428.953018298253</v>
      </c>
      <c r="AP41" s="76">
        <f>'Model '!AV49</f>
        <v>24053.723212898363</v>
      </c>
      <c r="AQ41" s="76">
        <f>'Model '!AW49</f>
        <v>24165.259294898369</v>
      </c>
      <c r="AR41" s="76">
        <f>'Model '!AX49</f>
        <v>23979.365824898374</v>
      </c>
      <c r="AS41" s="76">
        <f>'Model '!AY49</f>
        <v>24090.90190689838</v>
      </c>
      <c r="AT41" s="76">
        <f>'Model '!AZ49</f>
        <v>24053.723212898363</v>
      </c>
    </row>
    <row r="42" spans="2:46" x14ac:dyDescent="0.2">
      <c r="B42" s="140" t="s">
        <v>245</v>
      </c>
      <c r="C42" s="114" t="s">
        <v>41</v>
      </c>
      <c r="D42" s="114"/>
      <c r="E42" s="114"/>
      <c r="F42" s="144">
        <f>F29</f>
        <v>-122740.36764659446</v>
      </c>
      <c r="G42" s="144">
        <f>G29</f>
        <v>28124.339062786879</v>
      </c>
      <c r="H42" s="144">
        <f t="shared" ref="H42:AT42" si="57">H29</f>
        <v>-45318.197330754367</v>
      </c>
      <c r="I42" s="144">
        <f t="shared" si="57"/>
        <v>30441.805116263917</v>
      </c>
      <c r="J42" s="144">
        <f t="shared" si="57"/>
        <v>-37891.333938385244</v>
      </c>
      <c r="K42" s="144">
        <f>K29</f>
        <v>72803.625275627666</v>
      </c>
      <c r="L42" s="144">
        <f t="shared" si="57"/>
        <v>-16379.922734943233</v>
      </c>
      <c r="M42" s="144">
        <f t="shared" si="57"/>
        <v>25401.931232689763</v>
      </c>
      <c r="N42" s="144">
        <f t="shared" si="57"/>
        <v>-27852.96296982799</v>
      </c>
      <c r="O42" s="144">
        <f t="shared" si="57"/>
        <v>27727.454448733712</v>
      </c>
      <c r="P42" s="144">
        <f t="shared" si="57"/>
        <v>-8983.4602126165119</v>
      </c>
      <c r="Q42" s="144">
        <f t="shared" si="57"/>
        <v>-902.17506379271799</v>
      </c>
      <c r="R42" s="144">
        <f t="shared" si="57"/>
        <v>-9715.9042086308764</v>
      </c>
      <c r="S42" s="144">
        <f t="shared" si="57"/>
        <v>-519.91601878931397</v>
      </c>
      <c r="T42" s="144">
        <f t="shared" si="57"/>
        <v>-4357.7178819671099</v>
      </c>
      <c r="U42" s="144">
        <f t="shared" si="57"/>
        <v>28011.036058260899</v>
      </c>
      <c r="V42" s="144">
        <f t="shared" si="57"/>
        <v>-38438.943498465203</v>
      </c>
      <c r="W42" s="144">
        <f t="shared" si="57"/>
        <v>-37770.35480974539</v>
      </c>
      <c r="X42" s="144">
        <f t="shared" si="57"/>
        <v>39522.870696695492</v>
      </c>
      <c r="Y42" s="144">
        <f t="shared" si="57"/>
        <v>-3288.0127651877701</v>
      </c>
      <c r="Z42" s="144">
        <f t="shared" si="57"/>
        <v>14778.608156790317</v>
      </c>
      <c r="AA42" s="144">
        <f t="shared" si="57"/>
        <v>24333.684060427098</v>
      </c>
      <c r="AB42" s="144">
        <f t="shared" si="57"/>
        <v>-9678.1056083584554</v>
      </c>
      <c r="AC42" s="144">
        <f t="shared" si="57"/>
        <v>-3528.2110377740173</v>
      </c>
      <c r="AD42" s="144">
        <f t="shared" si="57"/>
        <v>32498.163662513514</v>
      </c>
      <c r="AE42" s="144">
        <f t="shared" si="57"/>
        <v>-15238.735608553368</v>
      </c>
      <c r="AF42" s="144">
        <f t="shared" si="57"/>
        <v>-47160.303773836495</v>
      </c>
      <c r="AG42" s="144">
        <f t="shared" si="57"/>
        <v>27408.907199329347</v>
      </c>
      <c r="AH42" s="144">
        <f t="shared" si="57"/>
        <v>-37211.83599204442</v>
      </c>
      <c r="AI42" s="144">
        <f t="shared" si="57"/>
        <v>40987.848413831438</v>
      </c>
      <c r="AJ42" s="144">
        <f t="shared" si="57"/>
        <v>15167.951722927042</v>
      </c>
      <c r="AK42" s="144">
        <f t="shared" si="57"/>
        <v>-51232.324050024967</v>
      </c>
      <c r="AL42" s="144">
        <f t="shared" si="57"/>
        <v>32681.941638619552</v>
      </c>
      <c r="AM42" s="144">
        <f t="shared" si="57"/>
        <v>-1016.3173044769792</v>
      </c>
      <c r="AN42" s="144">
        <f t="shared" si="57"/>
        <v>10703.574081995612</v>
      </c>
      <c r="AO42" s="144">
        <f t="shared" si="57"/>
        <v>-22497.285645972559</v>
      </c>
      <c r="AP42" s="144">
        <f t="shared" si="57"/>
        <v>27500.066773920029</v>
      </c>
      <c r="AQ42" s="144">
        <f t="shared" si="57"/>
        <v>-34167.744480708061</v>
      </c>
      <c r="AR42" s="144">
        <f t="shared" si="57"/>
        <v>26216.450795157842</v>
      </c>
      <c r="AS42" s="144">
        <f t="shared" si="57"/>
        <v>-8959.8457170365436</v>
      </c>
      <c r="AT42" s="144">
        <f t="shared" si="57"/>
        <v>-36121.083223329857</v>
      </c>
    </row>
    <row r="43" spans="2:46" x14ac:dyDescent="0.2">
      <c r="B43" s="141" t="s">
        <v>246</v>
      </c>
      <c r="G43" s="133">
        <f>SUM(G41:G42)</f>
        <v>22391.925101837583</v>
      </c>
      <c r="H43" s="80">
        <f t="shared" ref="H43:AT43" si="58">SUM(H41:H42)</f>
        <v>-46936.26368924015</v>
      </c>
      <c r="I43" s="80">
        <f t="shared" si="58"/>
        <v>31512.299227291034</v>
      </c>
      <c r="J43" s="133">
        <f t="shared" si="58"/>
        <v>-33679.618507561303</v>
      </c>
      <c r="K43" s="80">
        <f t="shared" si="58"/>
        <v>78077.63113232718</v>
      </c>
      <c r="L43" s="80">
        <f t="shared" si="58"/>
        <v>-8908.6650323560225</v>
      </c>
      <c r="M43" s="80">
        <f t="shared" si="58"/>
        <v>33245.002951206508</v>
      </c>
      <c r="N43" s="80">
        <f t="shared" si="58"/>
        <v>-19862.051243747352</v>
      </c>
      <c r="O43" s="80">
        <f t="shared" si="58"/>
        <v>35418.77483904492</v>
      </c>
      <c r="P43" s="80">
        <f t="shared" si="58"/>
        <v>-1144.2998147414091</v>
      </c>
      <c r="Q43" s="80">
        <f t="shared" si="58"/>
        <v>6953.4120083129319</v>
      </c>
      <c r="R43" s="80">
        <f t="shared" si="58"/>
        <v>-1909.5971289613308</v>
      </c>
      <c r="S43" s="80">
        <f t="shared" si="58"/>
        <v>7302.8177351108016</v>
      </c>
      <c r="T43" s="80">
        <f t="shared" si="58"/>
        <v>3415.7358794969014</v>
      </c>
      <c r="U43" s="80">
        <f t="shared" si="58"/>
        <v>35735.209827288803</v>
      </c>
      <c r="V43" s="133">
        <f t="shared" si="58"/>
        <v>-30566.929721873399</v>
      </c>
      <c r="W43" s="80">
        <f t="shared" si="58"/>
        <v>-29816.499935101347</v>
      </c>
      <c r="X43" s="80">
        <f t="shared" si="58"/>
        <v>47345.749657955195</v>
      </c>
      <c r="Y43" s="80">
        <f t="shared" si="58"/>
        <v>5479.4103125773217</v>
      </c>
      <c r="Z43" s="80">
        <f t="shared" si="58"/>
        <v>24452.622602476142</v>
      </c>
      <c r="AA43" s="80">
        <f t="shared" si="58"/>
        <v>34877.893339050039</v>
      </c>
      <c r="AB43" s="80">
        <f t="shared" si="58"/>
        <v>1837.6590954972053</v>
      </c>
      <c r="AC43" s="80">
        <f t="shared" si="58"/>
        <v>8772.8824061273135</v>
      </c>
      <c r="AD43" s="80">
        <f t="shared" si="58"/>
        <v>45610.873966938678</v>
      </c>
      <c r="AE43" s="80">
        <f t="shared" si="58"/>
        <v>-1051.202354770563</v>
      </c>
      <c r="AF43" s="80">
        <f t="shared" si="58"/>
        <v>-32245.503900196956</v>
      </c>
      <c r="AG43" s="80">
        <f t="shared" si="58"/>
        <v>42932.88330034892</v>
      </c>
      <c r="AH43" s="133">
        <f t="shared" si="58"/>
        <v>-20665.277623699199</v>
      </c>
      <c r="AI43" s="80">
        <f t="shared" si="58"/>
        <v>58294.767218769426</v>
      </c>
      <c r="AJ43" s="80">
        <f t="shared" si="58"/>
        <v>33337.630143581657</v>
      </c>
      <c r="AK43" s="80">
        <f t="shared" si="58"/>
        <v>-32099.041155872219</v>
      </c>
      <c r="AL43" s="80">
        <f t="shared" si="58"/>
        <v>52444.729409669213</v>
      </c>
      <c r="AM43" s="80">
        <f t="shared" si="58"/>
        <v>19700.259764854854</v>
      </c>
      <c r="AN43" s="80">
        <f t="shared" si="58"/>
        <v>32263.280416612062</v>
      </c>
      <c r="AO43" s="80">
        <f t="shared" si="58"/>
        <v>-68.332627674306423</v>
      </c>
      <c r="AP43" s="80">
        <f t="shared" si="58"/>
        <v>51553.789986818389</v>
      </c>
      <c r="AQ43" s="80">
        <f t="shared" si="58"/>
        <v>-10002.485185809692</v>
      </c>
      <c r="AR43" s="80">
        <f t="shared" si="58"/>
        <v>50195.816620056212</v>
      </c>
      <c r="AS43" s="80">
        <f t="shared" si="58"/>
        <v>15131.056189861836</v>
      </c>
      <c r="AT43" s="133">
        <f t="shared" si="58"/>
        <v>-12067.360010431494</v>
      </c>
    </row>
    <row r="45" spans="2:46" x14ac:dyDescent="0.2">
      <c r="B45" s="6" t="s">
        <v>249</v>
      </c>
    </row>
    <row r="46" spans="2:46" x14ac:dyDescent="0.2">
      <c r="B46" s="140" t="s">
        <v>250</v>
      </c>
      <c r="C46" s="114" t="s">
        <v>41</v>
      </c>
      <c r="D46" s="114"/>
      <c r="E46" s="114"/>
      <c r="F46" s="114"/>
      <c r="G46" s="166">
        <v>0</v>
      </c>
      <c r="H46" s="166">
        <v>0</v>
      </c>
      <c r="I46" s="166">
        <v>0</v>
      </c>
      <c r="J46" s="166">
        <v>0</v>
      </c>
      <c r="K46" s="166">
        <v>0</v>
      </c>
      <c r="L46" s="166">
        <v>0</v>
      </c>
      <c r="M46" s="166">
        <v>0</v>
      </c>
      <c r="N46" s="166">
        <v>0</v>
      </c>
      <c r="O46" s="166">
        <v>0</v>
      </c>
      <c r="P46" s="166">
        <v>0</v>
      </c>
      <c r="Q46" s="166">
        <v>0</v>
      </c>
      <c r="R46" s="166">
        <v>0</v>
      </c>
      <c r="S46" s="166">
        <v>0</v>
      </c>
      <c r="T46" s="166">
        <v>0</v>
      </c>
      <c r="U46" s="166">
        <v>0</v>
      </c>
      <c r="V46" s="166">
        <v>0</v>
      </c>
      <c r="W46" s="166">
        <v>0</v>
      </c>
      <c r="X46" s="166">
        <v>0</v>
      </c>
      <c r="Y46" s="166">
        <v>0</v>
      </c>
      <c r="Z46" s="166">
        <v>0</v>
      </c>
      <c r="AA46" s="166">
        <v>0</v>
      </c>
      <c r="AB46" s="166">
        <v>0</v>
      </c>
      <c r="AC46" s="166">
        <v>0</v>
      </c>
      <c r="AD46" s="166">
        <v>0</v>
      </c>
      <c r="AE46" s="166">
        <v>0</v>
      </c>
      <c r="AF46" s="166">
        <v>0</v>
      </c>
      <c r="AG46" s="166">
        <v>0</v>
      </c>
      <c r="AH46" s="166">
        <v>0</v>
      </c>
      <c r="AI46" s="166">
        <v>0</v>
      </c>
      <c r="AJ46" s="166">
        <v>0</v>
      </c>
      <c r="AK46" s="166">
        <v>0</v>
      </c>
      <c r="AL46" s="166">
        <v>0</v>
      </c>
      <c r="AM46" s="166">
        <v>0</v>
      </c>
      <c r="AN46" s="166">
        <v>0</v>
      </c>
      <c r="AO46" s="166">
        <v>0</v>
      </c>
      <c r="AP46" s="166">
        <v>0</v>
      </c>
      <c r="AQ46" s="166">
        <v>0</v>
      </c>
      <c r="AR46" s="166">
        <v>0</v>
      </c>
      <c r="AS46" s="166">
        <v>0</v>
      </c>
      <c r="AT46" s="166">
        <v>0</v>
      </c>
    </row>
    <row r="47" spans="2:46" x14ac:dyDescent="0.2">
      <c r="B47" s="141" t="s">
        <v>251</v>
      </c>
      <c r="C47" s="6"/>
    </row>
    <row r="49" spans="2:46" x14ac:dyDescent="0.2">
      <c r="B49" s="6" t="s">
        <v>252</v>
      </c>
    </row>
    <row r="50" spans="2:46" x14ac:dyDescent="0.2">
      <c r="B50" s="139" t="s">
        <v>317</v>
      </c>
      <c r="C50" t="s">
        <v>41</v>
      </c>
      <c r="G50" s="75">
        <f>'Model '!J68</f>
        <v>1070.1754385964914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5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75">
        <v>0</v>
      </c>
      <c r="AD50" s="75">
        <v>0</v>
      </c>
      <c r="AE50" s="75">
        <v>0</v>
      </c>
      <c r="AF50" s="75">
        <v>0</v>
      </c>
      <c r="AG50" s="75">
        <v>0</v>
      </c>
      <c r="AH50" s="75"/>
      <c r="AI50" s="75">
        <v>0</v>
      </c>
      <c r="AJ50" s="75">
        <v>0</v>
      </c>
      <c r="AK50" s="75">
        <v>0</v>
      </c>
      <c r="AL50" s="75">
        <v>0</v>
      </c>
      <c r="AM50" s="75">
        <v>0</v>
      </c>
      <c r="AN50" s="75">
        <v>0</v>
      </c>
      <c r="AO50" s="75">
        <v>0</v>
      </c>
      <c r="AP50" s="75">
        <v>0</v>
      </c>
      <c r="AQ50" s="75">
        <v>0</v>
      </c>
      <c r="AR50" s="75">
        <v>0</v>
      </c>
      <c r="AS50" s="75">
        <v>0</v>
      </c>
      <c r="AT50" s="75"/>
    </row>
    <row r="51" spans="2:46" x14ac:dyDescent="0.2">
      <c r="B51" s="139" t="s">
        <v>253</v>
      </c>
      <c r="C51" t="s">
        <v>41</v>
      </c>
      <c r="G51" s="75">
        <f>'Model '!J69</f>
        <v>380000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f>'Model '!K69</f>
        <v>-38000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75">
        <v>0</v>
      </c>
      <c r="AD51" s="75">
        <v>0</v>
      </c>
      <c r="AE51" s="75">
        <v>0</v>
      </c>
      <c r="AF51" s="75">
        <v>0</v>
      </c>
      <c r="AG51" s="75">
        <v>0</v>
      </c>
      <c r="AH51" s="75">
        <f>'Model '!L69</f>
        <v>-38000</v>
      </c>
      <c r="AI51" s="75">
        <v>0</v>
      </c>
      <c r="AJ51" s="75">
        <v>0</v>
      </c>
      <c r="AK51" s="75">
        <v>0</v>
      </c>
      <c r="AL51" s="75">
        <v>0</v>
      </c>
      <c r="AM51" s="75">
        <v>0</v>
      </c>
      <c r="AN51" s="75">
        <v>0</v>
      </c>
      <c r="AO51" s="75">
        <v>0</v>
      </c>
      <c r="AP51" s="75">
        <v>0</v>
      </c>
      <c r="AQ51" s="75">
        <v>0</v>
      </c>
      <c r="AR51" s="75">
        <v>0</v>
      </c>
      <c r="AS51" s="75">
        <v>0</v>
      </c>
      <c r="AT51" s="75">
        <f>'Model '!M69</f>
        <v>-304000</v>
      </c>
    </row>
    <row r="52" spans="2:46" x14ac:dyDescent="0.2">
      <c r="B52" s="140" t="s">
        <v>254</v>
      </c>
      <c r="C52" s="114" t="s">
        <v>41</v>
      </c>
      <c r="D52" s="114"/>
      <c r="E52" s="114"/>
      <c r="F52" s="114"/>
      <c r="G52" s="144">
        <f>'Model '!J70</f>
        <v>0</v>
      </c>
      <c r="H52" s="144">
        <v>0</v>
      </c>
      <c r="I52" s="144">
        <v>0</v>
      </c>
      <c r="J52" s="144">
        <v>0</v>
      </c>
      <c r="K52" s="144">
        <v>0</v>
      </c>
      <c r="L52" s="144">
        <v>0</v>
      </c>
      <c r="M52" s="144">
        <v>0</v>
      </c>
      <c r="N52" s="144">
        <v>0</v>
      </c>
      <c r="O52" s="144">
        <v>0</v>
      </c>
      <c r="P52" s="144">
        <v>0</v>
      </c>
      <c r="Q52" s="144">
        <v>0</v>
      </c>
      <c r="R52" s="144">
        <v>0</v>
      </c>
      <c r="S52" s="144">
        <v>0</v>
      </c>
      <c r="T52" s="144">
        <v>0</v>
      </c>
      <c r="U52" s="144">
        <v>0</v>
      </c>
      <c r="V52" s="144">
        <f>'Model '!K70</f>
        <v>-50030.198352656276</v>
      </c>
      <c r="W52" s="144">
        <v>0</v>
      </c>
      <c r="X52" s="144">
        <v>0</v>
      </c>
      <c r="Y52" s="144">
        <v>0</v>
      </c>
      <c r="Z52" s="144">
        <v>0</v>
      </c>
      <c r="AA52" s="144">
        <v>0</v>
      </c>
      <c r="AB52" s="144">
        <v>0</v>
      </c>
      <c r="AC52" s="144">
        <v>0</v>
      </c>
      <c r="AD52" s="144">
        <v>0</v>
      </c>
      <c r="AE52" s="144">
        <v>0</v>
      </c>
      <c r="AF52" s="144">
        <v>0</v>
      </c>
      <c r="AG52" s="144">
        <v>0</v>
      </c>
      <c r="AH52" s="144">
        <f>'Model '!L70</f>
        <v>-78575.649177820771</v>
      </c>
      <c r="AI52" s="144">
        <v>0</v>
      </c>
      <c r="AJ52" s="144">
        <v>0</v>
      </c>
      <c r="AK52" s="144">
        <v>0</v>
      </c>
      <c r="AL52" s="144">
        <v>0</v>
      </c>
      <c r="AM52" s="144">
        <v>0</v>
      </c>
      <c r="AN52" s="144">
        <v>0</v>
      </c>
      <c r="AO52" s="144">
        <v>0</v>
      </c>
      <c r="AP52" s="144">
        <v>0</v>
      </c>
      <c r="AQ52" s="144">
        <v>0</v>
      </c>
      <c r="AR52" s="144">
        <v>0</v>
      </c>
      <c r="AS52" s="144">
        <v>0</v>
      </c>
      <c r="AT52" s="144">
        <f>'Model '!M70</f>
        <v>-142681.48277104314</v>
      </c>
    </row>
    <row r="53" spans="2:46" x14ac:dyDescent="0.2">
      <c r="B53" s="141" t="s">
        <v>256</v>
      </c>
      <c r="G53" s="109">
        <f>SUM(G50:G52)</f>
        <v>381070.17543859652</v>
      </c>
      <c r="H53" s="109">
        <f t="shared" ref="H53:AT53" si="59">SUM(H50:H52)</f>
        <v>0</v>
      </c>
      <c r="I53" s="109">
        <f t="shared" si="59"/>
        <v>0</v>
      </c>
      <c r="J53" s="109">
        <f t="shared" si="59"/>
        <v>0</v>
      </c>
      <c r="K53" s="109">
        <f t="shared" si="59"/>
        <v>0</v>
      </c>
      <c r="L53" s="109">
        <f t="shared" si="59"/>
        <v>0</v>
      </c>
      <c r="M53" s="109">
        <f t="shared" si="59"/>
        <v>0</v>
      </c>
      <c r="N53" s="109">
        <f t="shared" si="59"/>
        <v>0</v>
      </c>
      <c r="O53" s="109">
        <f t="shared" si="59"/>
        <v>0</v>
      </c>
      <c r="P53" s="109">
        <f t="shared" si="59"/>
        <v>0</v>
      </c>
      <c r="Q53" s="109">
        <f t="shared" si="59"/>
        <v>0</v>
      </c>
      <c r="R53" s="109">
        <f t="shared" si="59"/>
        <v>0</v>
      </c>
      <c r="S53" s="109">
        <f t="shared" si="59"/>
        <v>0</v>
      </c>
      <c r="T53" s="109">
        <f t="shared" si="59"/>
        <v>0</v>
      </c>
      <c r="U53" s="109">
        <f t="shared" si="59"/>
        <v>0</v>
      </c>
      <c r="V53" s="109">
        <f t="shared" si="59"/>
        <v>-88030.198352656269</v>
      </c>
      <c r="W53" s="109">
        <f t="shared" si="59"/>
        <v>0</v>
      </c>
      <c r="X53" s="109">
        <f t="shared" si="59"/>
        <v>0</v>
      </c>
      <c r="Y53" s="109">
        <f t="shared" si="59"/>
        <v>0</v>
      </c>
      <c r="Z53" s="109">
        <f t="shared" si="59"/>
        <v>0</v>
      </c>
      <c r="AA53" s="109">
        <f t="shared" si="59"/>
        <v>0</v>
      </c>
      <c r="AB53" s="109">
        <f t="shared" si="59"/>
        <v>0</v>
      </c>
      <c r="AC53" s="109">
        <f t="shared" si="59"/>
        <v>0</v>
      </c>
      <c r="AD53" s="109">
        <f t="shared" si="59"/>
        <v>0</v>
      </c>
      <c r="AE53" s="109">
        <f t="shared" si="59"/>
        <v>0</v>
      </c>
      <c r="AF53" s="109">
        <f t="shared" si="59"/>
        <v>0</v>
      </c>
      <c r="AG53" s="109">
        <f t="shared" si="59"/>
        <v>0</v>
      </c>
      <c r="AH53" s="109">
        <f t="shared" si="59"/>
        <v>-116575.64917782077</v>
      </c>
      <c r="AI53" s="109">
        <f t="shared" si="59"/>
        <v>0</v>
      </c>
      <c r="AJ53" s="109">
        <f t="shared" si="59"/>
        <v>0</v>
      </c>
      <c r="AK53" s="109">
        <f t="shared" si="59"/>
        <v>0</v>
      </c>
      <c r="AL53" s="109">
        <f t="shared" si="59"/>
        <v>0</v>
      </c>
      <c r="AM53" s="109">
        <f t="shared" si="59"/>
        <v>0</v>
      </c>
      <c r="AN53" s="109">
        <f t="shared" si="59"/>
        <v>0</v>
      </c>
      <c r="AO53" s="109">
        <f t="shared" si="59"/>
        <v>0</v>
      </c>
      <c r="AP53" s="109">
        <f t="shared" si="59"/>
        <v>0</v>
      </c>
      <c r="AQ53" s="109">
        <f t="shared" si="59"/>
        <v>0</v>
      </c>
      <c r="AR53" s="109">
        <f t="shared" si="59"/>
        <v>0</v>
      </c>
      <c r="AS53" s="109">
        <f t="shared" si="59"/>
        <v>0</v>
      </c>
      <c r="AT53" s="109">
        <f t="shared" si="59"/>
        <v>-446681.48277104314</v>
      </c>
    </row>
    <row r="55" spans="2:46" x14ac:dyDescent="0.2">
      <c r="B55" t="s">
        <v>257</v>
      </c>
      <c r="C55" t="s">
        <v>41</v>
      </c>
      <c r="G55" s="77">
        <f>G53+G43</f>
        <v>403462.10054043413</v>
      </c>
      <c r="H55" s="77">
        <f>H53+H43</f>
        <v>-46936.26368924015</v>
      </c>
      <c r="I55" s="77">
        <f t="shared" ref="I55:AT55" si="60">I53+I43</f>
        <v>31512.299227291034</v>
      </c>
      <c r="J55" s="77">
        <f t="shared" si="60"/>
        <v>-33679.618507561303</v>
      </c>
      <c r="K55" s="77">
        <f t="shared" si="60"/>
        <v>78077.63113232718</v>
      </c>
      <c r="L55" s="77">
        <f t="shared" si="60"/>
        <v>-8908.6650323560225</v>
      </c>
      <c r="M55" s="77">
        <f t="shared" si="60"/>
        <v>33245.002951206508</v>
      </c>
      <c r="N55" s="77">
        <f t="shared" si="60"/>
        <v>-19862.051243747352</v>
      </c>
      <c r="O55" s="77">
        <f t="shared" si="60"/>
        <v>35418.77483904492</v>
      </c>
      <c r="P55" s="77">
        <f t="shared" si="60"/>
        <v>-1144.2998147414091</v>
      </c>
      <c r="Q55" s="77">
        <f t="shared" si="60"/>
        <v>6953.4120083129319</v>
      </c>
      <c r="R55" s="77">
        <f t="shared" si="60"/>
        <v>-1909.5971289613308</v>
      </c>
      <c r="S55" s="77">
        <f t="shared" si="60"/>
        <v>7302.8177351108016</v>
      </c>
      <c r="T55" s="77">
        <f t="shared" si="60"/>
        <v>3415.7358794969014</v>
      </c>
      <c r="U55" s="77">
        <f t="shared" si="60"/>
        <v>35735.209827288803</v>
      </c>
      <c r="V55" s="77">
        <f t="shared" si="60"/>
        <v>-118597.12807452967</v>
      </c>
      <c r="W55" s="77">
        <f t="shared" si="60"/>
        <v>-29816.499935101347</v>
      </c>
      <c r="X55" s="77">
        <f t="shared" si="60"/>
        <v>47345.749657955195</v>
      </c>
      <c r="Y55" s="77">
        <f t="shared" si="60"/>
        <v>5479.4103125773217</v>
      </c>
      <c r="Z55" s="77">
        <f t="shared" si="60"/>
        <v>24452.622602476142</v>
      </c>
      <c r="AA55" s="77">
        <f t="shared" si="60"/>
        <v>34877.893339050039</v>
      </c>
      <c r="AB55" s="77">
        <f t="shared" si="60"/>
        <v>1837.6590954972053</v>
      </c>
      <c r="AC55" s="77">
        <f t="shared" si="60"/>
        <v>8772.8824061273135</v>
      </c>
      <c r="AD55" s="77">
        <f t="shared" si="60"/>
        <v>45610.873966938678</v>
      </c>
      <c r="AE55" s="77">
        <f t="shared" si="60"/>
        <v>-1051.202354770563</v>
      </c>
      <c r="AF55" s="77">
        <f t="shared" si="60"/>
        <v>-32245.503900196956</v>
      </c>
      <c r="AG55" s="77">
        <f t="shared" si="60"/>
        <v>42932.88330034892</v>
      </c>
      <c r="AH55" s="77">
        <f t="shared" si="60"/>
        <v>-137240.92680151996</v>
      </c>
      <c r="AI55" s="77">
        <f t="shared" si="60"/>
        <v>58294.767218769426</v>
      </c>
      <c r="AJ55" s="77">
        <f t="shared" si="60"/>
        <v>33337.630143581657</v>
      </c>
      <c r="AK55" s="77">
        <f t="shared" si="60"/>
        <v>-32099.041155872219</v>
      </c>
      <c r="AL55" s="77">
        <f t="shared" si="60"/>
        <v>52444.729409669213</v>
      </c>
      <c r="AM55" s="77">
        <f t="shared" si="60"/>
        <v>19700.259764854854</v>
      </c>
      <c r="AN55" s="77">
        <f t="shared" si="60"/>
        <v>32263.280416612062</v>
      </c>
      <c r="AO55" s="77">
        <f t="shared" si="60"/>
        <v>-68.332627674306423</v>
      </c>
      <c r="AP55" s="77">
        <f t="shared" si="60"/>
        <v>51553.789986818389</v>
      </c>
      <c r="AQ55" s="77">
        <f t="shared" si="60"/>
        <v>-10002.485185809692</v>
      </c>
      <c r="AR55" s="77">
        <f t="shared" si="60"/>
        <v>50195.816620056212</v>
      </c>
      <c r="AS55" s="77">
        <f t="shared" si="60"/>
        <v>15131.056189861836</v>
      </c>
      <c r="AT55" s="77">
        <f t="shared" si="60"/>
        <v>-458748.84278147464</v>
      </c>
    </row>
    <row r="56" spans="2:46" x14ac:dyDescent="0.2">
      <c r="B56" s="114" t="s">
        <v>258</v>
      </c>
      <c r="C56" s="114" t="s">
        <v>41</v>
      </c>
      <c r="D56" s="114"/>
      <c r="E56" s="114"/>
      <c r="F56" s="144">
        <f>F42</f>
        <v>-122740.36764659446</v>
      </c>
      <c r="G56" s="161">
        <f>F57</f>
        <v>-122740.36764659446</v>
      </c>
      <c r="H56" s="161">
        <f>G57</f>
        <v>280721.73289383965</v>
      </c>
      <c r="I56" s="161">
        <f t="shared" ref="I56:AT56" si="61">H57</f>
        <v>233785.4692045995</v>
      </c>
      <c r="J56" s="161">
        <f t="shared" si="61"/>
        <v>265297.76843189052</v>
      </c>
      <c r="K56" s="161">
        <f t="shared" si="61"/>
        <v>231618.14992432922</v>
      </c>
      <c r="L56" s="161">
        <f t="shared" si="61"/>
        <v>309695.78105665639</v>
      </c>
      <c r="M56" s="161">
        <f t="shared" si="61"/>
        <v>300787.11602430034</v>
      </c>
      <c r="N56" s="161">
        <f t="shared" si="61"/>
        <v>334032.11897550686</v>
      </c>
      <c r="O56" s="161">
        <f t="shared" si="61"/>
        <v>314170.06773175951</v>
      </c>
      <c r="P56" s="161">
        <f t="shared" si="61"/>
        <v>349588.84257080441</v>
      </c>
      <c r="Q56" s="161">
        <f t="shared" si="61"/>
        <v>348444.54275606299</v>
      </c>
      <c r="R56" s="161">
        <f t="shared" si="61"/>
        <v>355397.95476437593</v>
      </c>
      <c r="S56" s="161">
        <f t="shared" si="61"/>
        <v>353488.35763541458</v>
      </c>
      <c r="T56" s="161">
        <f t="shared" si="61"/>
        <v>360791.17537052539</v>
      </c>
      <c r="U56" s="161">
        <f t="shared" si="61"/>
        <v>364206.9112500223</v>
      </c>
      <c r="V56" s="161">
        <f t="shared" si="61"/>
        <v>399942.12107731111</v>
      </c>
      <c r="W56" s="161">
        <f t="shared" si="61"/>
        <v>281344.99300278141</v>
      </c>
      <c r="X56" s="161">
        <f t="shared" si="61"/>
        <v>251528.49306768007</v>
      </c>
      <c r="Y56" s="161">
        <f t="shared" si="61"/>
        <v>298874.2427256353</v>
      </c>
      <c r="Z56" s="161">
        <f t="shared" si="61"/>
        <v>304353.65303821262</v>
      </c>
      <c r="AA56" s="161">
        <f t="shared" si="61"/>
        <v>328806.27564068878</v>
      </c>
      <c r="AB56" s="161">
        <f t="shared" si="61"/>
        <v>363684.16897973884</v>
      </c>
      <c r="AC56" s="161">
        <f t="shared" si="61"/>
        <v>365521.82807523606</v>
      </c>
      <c r="AD56" s="161">
        <f t="shared" si="61"/>
        <v>374294.71048136335</v>
      </c>
      <c r="AE56" s="161">
        <f t="shared" si="61"/>
        <v>419905.58444830205</v>
      </c>
      <c r="AF56" s="161">
        <f t="shared" si="61"/>
        <v>418854.38209353149</v>
      </c>
      <c r="AG56" s="161">
        <f t="shared" si="61"/>
        <v>386608.87819333456</v>
      </c>
      <c r="AH56" s="161">
        <f t="shared" si="61"/>
        <v>429541.7614936835</v>
      </c>
      <c r="AI56" s="161">
        <f t="shared" si="61"/>
        <v>292300.83469216351</v>
      </c>
      <c r="AJ56" s="161">
        <f t="shared" si="61"/>
        <v>350595.60191093292</v>
      </c>
      <c r="AK56" s="161">
        <f t="shared" si="61"/>
        <v>383933.23205451458</v>
      </c>
      <c r="AL56" s="161">
        <f t="shared" si="61"/>
        <v>351834.19089864235</v>
      </c>
      <c r="AM56" s="161">
        <f t="shared" si="61"/>
        <v>404278.92030831159</v>
      </c>
      <c r="AN56" s="161">
        <f t="shared" si="61"/>
        <v>423979.18007316644</v>
      </c>
      <c r="AO56" s="161">
        <f t="shared" si="61"/>
        <v>456242.46048977849</v>
      </c>
      <c r="AP56" s="161">
        <f t="shared" si="61"/>
        <v>456174.12786210416</v>
      </c>
      <c r="AQ56" s="161">
        <f t="shared" si="61"/>
        <v>507727.91784892255</v>
      </c>
      <c r="AR56" s="161">
        <f t="shared" si="61"/>
        <v>497725.43266311288</v>
      </c>
      <c r="AS56" s="161">
        <f t="shared" si="61"/>
        <v>547921.24928316905</v>
      </c>
      <c r="AT56" s="161">
        <f t="shared" si="61"/>
        <v>563052.30547303089</v>
      </c>
    </row>
    <row r="57" spans="2:46" s="6" customFormat="1" x14ac:dyDescent="0.2">
      <c r="B57" s="6" t="s">
        <v>259</v>
      </c>
      <c r="C57" s="6" t="s">
        <v>48</v>
      </c>
      <c r="F57" s="279">
        <f>SUM(F55:F56)</f>
        <v>-122740.36764659446</v>
      </c>
      <c r="G57" s="279">
        <f>SUM(G55:G56)</f>
        <v>280721.73289383965</v>
      </c>
      <c r="H57" s="279">
        <f t="shared" ref="H57:AT57" si="62">SUM(H55:H56)</f>
        <v>233785.4692045995</v>
      </c>
      <c r="I57" s="279">
        <f t="shared" si="62"/>
        <v>265297.76843189052</v>
      </c>
      <c r="J57" s="280">
        <f t="shared" si="62"/>
        <v>231618.14992432922</v>
      </c>
      <c r="K57" s="279">
        <f t="shared" si="62"/>
        <v>309695.78105665639</v>
      </c>
      <c r="L57" s="279">
        <f t="shared" si="62"/>
        <v>300787.11602430034</v>
      </c>
      <c r="M57" s="279">
        <f t="shared" si="62"/>
        <v>334032.11897550686</v>
      </c>
      <c r="N57" s="279">
        <f t="shared" si="62"/>
        <v>314170.06773175951</v>
      </c>
      <c r="O57" s="279">
        <f t="shared" si="62"/>
        <v>349588.84257080441</v>
      </c>
      <c r="P57" s="279">
        <f t="shared" si="62"/>
        <v>348444.54275606299</v>
      </c>
      <c r="Q57" s="279">
        <f t="shared" si="62"/>
        <v>355397.95476437593</v>
      </c>
      <c r="R57" s="279">
        <f t="shared" si="62"/>
        <v>353488.35763541458</v>
      </c>
      <c r="S57" s="279">
        <f t="shared" si="62"/>
        <v>360791.17537052539</v>
      </c>
      <c r="T57" s="279">
        <f t="shared" si="62"/>
        <v>364206.9112500223</v>
      </c>
      <c r="U57" s="279">
        <f t="shared" si="62"/>
        <v>399942.12107731111</v>
      </c>
      <c r="V57" s="281">
        <f t="shared" si="62"/>
        <v>281344.99300278141</v>
      </c>
      <c r="W57" s="279">
        <f t="shared" si="62"/>
        <v>251528.49306768007</v>
      </c>
      <c r="X57" s="279">
        <f t="shared" si="62"/>
        <v>298874.2427256353</v>
      </c>
      <c r="Y57" s="279">
        <f t="shared" si="62"/>
        <v>304353.65303821262</v>
      </c>
      <c r="Z57" s="279">
        <f t="shared" si="62"/>
        <v>328806.27564068878</v>
      </c>
      <c r="AA57" s="279">
        <f t="shared" si="62"/>
        <v>363684.16897973884</v>
      </c>
      <c r="AB57" s="279">
        <f t="shared" si="62"/>
        <v>365521.82807523606</v>
      </c>
      <c r="AC57" s="279">
        <f t="shared" si="62"/>
        <v>374294.71048136335</v>
      </c>
      <c r="AD57" s="279">
        <f t="shared" si="62"/>
        <v>419905.58444830205</v>
      </c>
      <c r="AE57" s="279">
        <f t="shared" si="62"/>
        <v>418854.38209353149</v>
      </c>
      <c r="AF57" s="279">
        <f t="shared" si="62"/>
        <v>386608.87819333456</v>
      </c>
      <c r="AG57" s="279">
        <f t="shared" si="62"/>
        <v>429541.7614936835</v>
      </c>
      <c r="AH57" s="281">
        <f t="shared" si="62"/>
        <v>292300.83469216351</v>
      </c>
      <c r="AI57" s="279">
        <f t="shared" si="62"/>
        <v>350595.60191093292</v>
      </c>
      <c r="AJ57" s="279">
        <f t="shared" si="62"/>
        <v>383933.23205451458</v>
      </c>
      <c r="AK57" s="279">
        <f t="shared" si="62"/>
        <v>351834.19089864235</v>
      </c>
      <c r="AL57" s="279">
        <f t="shared" si="62"/>
        <v>404278.92030831159</v>
      </c>
      <c r="AM57" s="279">
        <f t="shared" si="62"/>
        <v>423979.18007316644</v>
      </c>
      <c r="AN57" s="279">
        <f t="shared" si="62"/>
        <v>456242.46048977849</v>
      </c>
      <c r="AO57" s="279">
        <f t="shared" si="62"/>
        <v>456174.12786210416</v>
      </c>
      <c r="AP57" s="279">
        <f t="shared" si="62"/>
        <v>507727.91784892255</v>
      </c>
      <c r="AQ57" s="279">
        <f t="shared" si="62"/>
        <v>497725.43266311288</v>
      </c>
      <c r="AR57" s="279">
        <f t="shared" si="62"/>
        <v>547921.24928316905</v>
      </c>
      <c r="AS57" s="279">
        <f t="shared" si="62"/>
        <v>563052.30547303089</v>
      </c>
      <c r="AT57" s="281">
        <f t="shared" si="62"/>
        <v>104303.46269155625</v>
      </c>
    </row>
    <row r="58" spans="2:46" s="6" customFormat="1" x14ac:dyDescent="0.2">
      <c r="F58" s="279"/>
      <c r="G58" s="279"/>
      <c r="H58" s="279"/>
      <c r="I58" s="279"/>
      <c r="J58" s="280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  <c r="AC58" s="279"/>
      <c r="AD58" s="279"/>
      <c r="AE58" s="279"/>
      <c r="AF58" s="279"/>
      <c r="AG58" s="279"/>
      <c r="AH58" s="279"/>
      <c r="AI58" s="279"/>
      <c r="AJ58" s="279"/>
      <c r="AK58" s="279"/>
      <c r="AL58" s="279"/>
      <c r="AM58" s="279"/>
      <c r="AN58" s="279"/>
      <c r="AO58" s="279"/>
      <c r="AP58" s="279"/>
      <c r="AQ58" s="279"/>
      <c r="AR58" s="279"/>
      <c r="AS58" s="279"/>
      <c r="AT58" s="279"/>
    </row>
    <row r="59" spans="2:46" x14ac:dyDescent="0.2">
      <c r="B59" s="9" t="str">
        <f>B37</f>
        <v>Frequency</v>
      </c>
      <c r="C59" s="9" t="str">
        <f t="shared" ref="C59" si="63">C37</f>
        <v xml:space="preserve">Monthly 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</row>
    <row r="60" spans="2:46" x14ac:dyDescent="0.2">
      <c r="B60" s="10" t="str">
        <f>B38</f>
        <v>Period</v>
      </c>
      <c r="C60" s="10"/>
      <c r="D60" s="10"/>
      <c r="E60" s="10"/>
      <c r="F60" s="11">
        <f t="shared" ref="F60:AS60" si="64">F38</f>
        <v>45900</v>
      </c>
      <c r="G60" s="11">
        <f t="shared" si="64"/>
        <v>45930</v>
      </c>
      <c r="H60" s="11">
        <f t="shared" si="64"/>
        <v>45961</v>
      </c>
      <c r="I60" s="11">
        <f t="shared" si="64"/>
        <v>45991</v>
      </c>
      <c r="J60" s="11">
        <f t="shared" si="64"/>
        <v>46022</v>
      </c>
      <c r="K60" s="11">
        <f t="shared" si="64"/>
        <v>46053</v>
      </c>
      <c r="L60" s="11">
        <f t="shared" si="64"/>
        <v>46081</v>
      </c>
      <c r="M60" s="11">
        <f t="shared" si="64"/>
        <v>46112</v>
      </c>
      <c r="N60" s="11">
        <f t="shared" si="64"/>
        <v>46142</v>
      </c>
      <c r="O60" s="11">
        <f t="shared" si="64"/>
        <v>46173</v>
      </c>
      <c r="P60" s="11">
        <f t="shared" si="64"/>
        <v>46203</v>
      </c>
      <c r="Q60" s="11">
        <f t="shared" si="64"/>
        <v>46234</v>
      </c>
      <c r="R60" s="11">
        <f t="shared" si="64"/>
        <v>46265</v>
      </c>
      <c r="S60" s="11">
        <f t="shared" si="64"/>
        <v>46295</v>
      </c>
      <c r="T60" s="11">
        <f t="shared" si="64"/>
        <v>46326</v>
      </c>
      <c r="U60" s="11">
        <f t="shared" si="64"/>
        <v>46356</v>
      </c>
      <c r="V60" s="11">
        <f t="shared" si="64"/>
        <v>46387</v>
      </c>
      <c r="W60" s="11">
        <f t="shared" si="64"/>
        <v>46418</v>
      </c>
      <c r="X60" s="11">
        <f t="shared" si="64"/>
        <v>46446</v>
      </c>
      <c r="Y60" s="11">
        <f t="shared" si="64"/>
        <v>46477</v>
      </c>
      <c r="Z60" s="11">
        <f t="shared" si="64"/>
        <v>46507</v>
      </c>
      <c r="AA60" s="11">
        <f t="shared" si="64"/>
        <v>46538</v>
      </c>
      <c r="AB60" s="11">
        <f t="shared" si="64"/>
        <v>46568</v>
      </c>
      <c r="AC60" s="11">
        <f t="shared" si="64"/>
        <v>46599</v>
      </c>
      <c r="AD60" s="11">
        <f t="shared" si="64"/>
        <v>46630</v>
      </c>
      <c r="AE60" s="11">
        <f t="shared" si="64"/>
        <v>46660</v>
      </c>
      <c r="AF60" s="11">
        <f t="shared" si="64"/>
        <v>46691</v>
      </c>
      <c r="AG60" s="11">
        <f t="shared" si="64"/>
        <v>46721</v>
      </c>
      <c r="AH60" s="11">
        <f t="shared" si="64"/>
        <v>46752</v>
      </c>
      <c r="AI60" s="11">
        <f t="shared" si="64"/>
        <v>46783</v>
      </c>
      <c r="AJ60" s="11">
        <f t="shared" si="64"/>
        <v>46812</v>
      </c>
      <c r="AK60" s="11">
        <f t="shared" si="64"/>
        <v>46843</v>
      </c>
      <c r="AL60" s="11">
        <f t="shared" si="64"/>
        <v>46873</v>
      </c>
      <c r="AM60" s="11">
        <f t="shared" si="64"/>
        <v>46904</v>
      </c>
      <c r="AN60" s="11">
        <f t="shared" si="64"/>
        <v>46934</v>
      </c>
      <c r="AO60" s="11">
        <f t="shared" si="64"/>
        <v>46965</v>
      </c>
      <c r="AP60" s="11">
        <f t="shared" si="64"/>
        <v>46996</v>
      </c>
      <c r="AQ60" s="11">
        <f t="shared" si="64"/>
        <v>47026</v>
      </c>
      <c r="AR60" s="11">
        <f t="shared" si="64"/>
        <v>47057</v>
      </c>
      <c r="AS60" s="11">
        <f t="shared" si="64"/>
        <v>47087</v>
      </c>
      <c r="AT60" s="11">
        <f t="shared" ref="AT60" si="65">AT38</f>
        <v>47118</v>
      </c>
    </row>
    <row r="61" spans="2:46" s="6" customFormat="1" x14ac:dyDescent="0.2">
      <c r="F61" s="279"/>
      <c r="G61" s="279"/>
      <c r="H61" s="279"/>
      <c r="I61" s="279"/>
      <c r="J61" s="282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  <c r="AI61" s="279"/>
      <c r="AJ61" s="279"/>
      <c r="AK61" s="279"/>
      <c r="AL61" s="279"/>
      <c r="AM61" s="279"/>
      <c r="AN61" s="279"/>
      <c r="AO61" s="279"/>
      <c r="AP61" s="279"/>
      <c r="AQ61" s="279"/>
      <c r="AR61" s="279"/>
      <c r="AS61" s="279"/>
      <c r="AT61" s="279"/>
    </row>
    <row r="62" spans="2:46" s="6" customFormat="1" x14ac:dyDescent="0.2">
      <c r="B62" s="6" t="s">
        <v>265</v>
      </c>
      <c r="C62"/>
      <c r="F62" s="279"/>
      <c r="G62" s="279"/>
      <c r="H62" s="279"/>
      <c r="I62" s="279"/>
      <c r="J62" s="282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  <c r="AI62" s="279"/>
      <c r="AJ62" s="279"/>
      <c r="AK62" s="279"/>
      <c r="AL62" s="279"/>
      <c r="AM62" s="279"/>
      <c r="AN62" s="279"/>
      <c r="AO62" s="279"/>
      <c r="AP62" s="279"/>
      <c r="AQ62" s="279"/>
      <c r="AR62" s="279"/>
      <c r="AS62" s="279"/>
      <c r="AT62" s="279"/>
    </row>
    <row r="63" spans="2:46" s="6" customFormat="1" x14ac:dyDescent="0.2">
      <c r="B63" s="139" t="s">
        <v>266</v>
      </c>
      <c r="C63" t="s">
        <v>41</v>
      </c>
      <c r="F63" s="279"/>
      <c r="G63" s="77">
        <f>G57</f>
        <v>280721.73289383965</v>
      </c>
      <c r="H63" s="77">
        <f t="shared" ref="H63:AT63" si="66">H57</f>
        <v>233785.4692045995</v>
      </c>
      <c r="I63" s="77">
        <f t="shared" si="66"/>
        <v>265297.76843189052</v>
      </c>
      <c r="J63" s="77">
        <f t="shared" si="66"/>
        <v>231618.14992432922</v>
      </c>
      <c r="K63" s="77">
        <f t="shared" si="66"/>
        <v>309695.78105665639</v>
      </c>
      <c r="L63" s="77">
        <f t="shared" si="66"/>
        <v>300787.11602430034</v>
      </c>
      <c r="M63" s="77">
        <f t="shared" si="66"/>
        <v>334032.11897550686</v>
      </c>
      <c r="N63" s="77">
        <f t="shared" si="66"/>
        <v>314170.06773175951</v>
      </c>
      <c r="O63" s="77">
        <f t="shared" si="66"/>
        <v>349588.84257080441</v>
      </c>
      <c r="P63" s="77">
        <f t="shared" si="66"/>
        <v>348444.54275606299</v>
      </c>
      <c r="Q63" s="77">
        <f t="shared" si="66"/>
        <v>355397.95476437593</v>
      </c>
      <c r="R63" s="77">
        <f t="shared" si="66"/>
        <v>353488.35763541458</v>
      </c>
      <c r="S63" s="77">
        <f t="shared" si="66"/>
        <v>360791.17537052539</v>
      </c>
      <c r="T63" s="77">
        <f t="shared" si="66"/>
        <v>364206.9112500223</v>
      </c>
      <c r="U63" s="77">
        <f t="shared" si="66"/>
        <v>399942.12107731111</v>
      </c>
      <c r="V63" s="77">
        <f t="shared" si="66"/>
        <v>281344.99300278141</v>
      </c>
      <c r="W63" s="77">
        <f t="shared" si="66"/>
        <v>251528.49306768007</v>
      </c>
      <c r="X63" s="77">
        <f t="shared" si="66"/>
        <v>298874.2427256353</v>
      </c>
      <c r="Y63" s="77">
        <f t="shared" si="66"/>
        <v>304353.65303821262</v>
      </c>
      <c r="Z63" s="77">
        <f t="shared" si="66"/>
        <v>328806.27564068878</v>
      </c>
      <c r="AA63" s="77">
        <f t="shared" si="66"/>
        <v>363684.16897973884</v>
      </c>
      <c r="AB63" s="77">
        <f t="shared" si="66"/>
        <v>365521.82807523606</v>
      </c>
      <c r="AC63" s="77">
        <f t="shared" si="66"/>
        <v>374294.71048136335</v>
      </c>
      <c r="AD63" s="77">
        <f t="shared" si="66"/>
        <v>419905.58444830205</v>
      </c>
      <c r="AE63" s="77">
        <f t="shared" si="66"/>
        <v>418854.38209353149</v>
      </c>
      <c r="AF63" s="77">
        <f t="shared" si="66"/>
        <v>386608.87819333456</v>
      </c>
      <c r="AG63" s="77">
        <f t="shared" si="66"/>
        <v>429541.7614936835</v>
      </c>
      <c r="AH63" s="77">
        <f t="shared" si="66"/>
        <v>292300.83469216351</v>
      </c>
      <c r="AI63" s="77">
        <f t="shared" si="66"/>
        <v>350595.60191093292</v>
      </c>
      <c r="AJ63" s="77">
        <f t="shared" si="66"/>
        <v>383933.23205451458</v>
      </c>
      <c r="AK63" s="77">
        <f t="shared" si="66"/>
        <v>351834.19089864235</v>
      </c>
      <c r="AL63" s="77">
        <f t="shared" si="66"/>
        <v>404278.92030831159</v>
      </c>
      <c r="AM63" s="77">
        <f t="shared" si="66"/>
        <v>423979.18007316644</v>
      </c>
      <c r="AN63" s="77">
        <f t="shared" si="66"/>
        <v>456242.46048977849</v>
      </c>
      <c r="AO63" s="77">
        <f t="shared" si="66"/>
        <v>456174.12786210416</v>
      </c>
      <c r="AP63" s="77">
        <f t="shared" si="66"/>
        <v>507727.91784892255</v>
      </c>
      <c r="AQ63" s="77">
        <f t="shared" si="66"/>
        <v>497725.43266311288</v>
      </c>
      <c r="AR63" s="77">
        <f t="shared" si="66"/>
        <v>547921.24928316905</v>
      </c>
      <c r="AS63" s="77">
        <f t="shared" si="66"/>
        <v>563052.30547303089</v>
      </c>
      <c r="AT63" s="77">
        <f t="shared" si="66"/>
        <v>104303.46269155625</v>
      </c>
    </row>
    <row r="64" spans="2:46" s="6" customFormat="1" x14ac:dyDescent="0.2">
      <c r="B64" s="139" t="s">
        <v>267</v>
      </c>
      <c r="C64" t="s">
        <v>41</v>
      </c>
      <c r="F64" s="279"/>
      <c r="G64" s="77">
        <f>G22</f>
        <v>41000.094039180694</v>
      </c>
      <c r="H64" s="77">
        <f t="shared" ref="H64:AT64" si="67">H22</f>
        <v>51084.157569757386</v>
      </c>
      <c r="I64" s="77">
        <f t="shared" si="67"/>
        <v>62178.150920013191</v>
      </c>
      <c r="J64" s="77">
        <f t="shared" si="67"/>
        <v>72593.588730258663</v>
      </c>
      <c r="K64" s="77">
        <f t="shared" si="67"/>
        <v>124328.9821298496</v>
      </c>
      <c r="L64" s="77">
        <f t="shared" si="67"/>
        <v>141768.54708245999</v>
      </c>
      <c r="M64" s="77">
        <f t="shared" si="67"/>
        <v>144102.25746859529</v>
      </c>
      <c r="N64" s="77">
        <f t="shared" si="67"/>
        <v>146450.51722068342</v>
      </c>
      <c r="O64" s="77">
        <f t="shared" si="67"/>
        <v>146880.2712635129</v>
      </c>
      <c r="P64" s="77">
        <f t="shared" si="67"/>
        <v>147976.68428231427</v>
      </c>
      <c r="Q64" s="77">
        <f t="shared" si="67"/>
        <v>148059.61674248736</v>
      </c>
      <c r="R64" s="77">
        <f t="shared" si="67"/>
        <v>148121.38948031174</v>
      </c>
      <c r="S64" s="77">
        <f t="shared" si="67"/>
        <v>148711.92871071133</v>
      </c>
      <c r="T64" s="77">
        <f t="shared" si="67"/>
        <v>148694.78760635733</v>
      </c>
      <c r="U64" s="77">
        <f t="shared" si="67"/>
        <v>149125.97103784748</v>
      </c>
      <c r="V64" s="77">
        <f t="shared" si="67"/>
        <v>149076.52937246437</v>
      </c>
      <c r="W64" s="77">
        <f t="shared" si="67"/>
        <v>151514.71200627761</v>
      </c>
      <c r="X64" s="77">
        <f t="shared" si="67"/>
        <v>159218.84990490187</v>
      </c>
      <c r="Y64" s="77">
        <f t="shared" si="67"/>
        <v>159311.05532132441</v>
      </c>
      <c r="Z64" s="77">
        <f t="shared" si="67"/>
        <v>162743.37193722691</v>
      </c>
      <c r="AA64" s="77">
        <f t="shared" si="67"/>
        <v>165348.56845194619</v>
      </c>
      <c r="AB64" s="77">
        <f t="shared" si="67"/>
        <v>169354.64010518539</v>
      </c>
      <c r="AC64" s="77">
        <f t="shared" si="67"/>
        <v>172574.87123043061</v>
      </c>
      <c r="AD64" s="77">
        <f t="shared" si="67"/>
        <v>175989.68823719019</v>
      </c>
      <c r="AE64" s="77">
        <f t="shared" si="67"/>
        <v>180191.36484044392</v>
      </c>
      <c r="AF64" s="77">
        <f t="shared" si="67"/>
        <v>183770.1242771816</v>
      </c>
      <c r="AG64" s="77">
        <f t="shared" si="67"/>
        <v>187984.12966318781</v>
      </c>
      <c r="AH64" s="77">
        <f t="shared" si="67"/>
        <v>191655.9113801762</v>
      </c>
      <c r="AI64" s="77">
        <f t="shared" si="67"/>
        <v>243975.04691670812</v>
      </c>
      <c r="AJ64" s="77">
        <f t="shared" si="67"/>
        <v>256308.70440390511</v>
      </c>
      <c r="AK64" s="77">
        <f t="shared" si="67"/>
        <v>257647.11460933043</v>
      </c>
      <c r="AL64" s="77">
        <f t="shared" si="67"/>
        <v>262522.14494489477</v>
      </c>
      <c r="AM64" s="77">
        <f t="shared" si="67"/>
        <v>265371.98028035439</v>
      </c>
      <c r="AN64" s="77">
        <f t="shared" si="67"/>
        <v>270109.73528732895</v>
      </c>
      <c r="AO64" s="77">
        <f t="shared" si="67"/>
        <v>273405.07096209633</v>
      </c>
      <c r="AP64" s="77">
        <f t="shared" si="67"/>
        <v>277938.81298567355</v>
      </c>
      <c r="AQ64" s="77">
        <f t="shared" si="67"/>
        <v>282477.59351124871</v>
      </c>
      <c r="AR64" s="77">
        <f t="shared" si="67"/>
        <v>285182.46188740962</v>
      </c>
      <c r="AS64" s="77">
        <f t="shared" si="67"/>
        <v>288246.09292309778</v>
      </c>
      <c r="AT64" s="77">
        <f t="shared" si="67"/>
        <v>290011.56115523371</v>
      </c>
    </row>
    <row r="65" spans="1:46" s="6" customFormat="1" x14ac:dyDescent="0.2">
      <c r="B65" s="139" t="s">
        <v>196</v>
      </c>
      <c r="C65" t="s">
        <v>41</v>
      </c>
      <c r="F65" s="279"/>
      <c r="G65" s="77">
        <f>G24</f>
        <v>89519.755341803495</v>
      </c>
      <c r="H65" s="77">
        <f t="shared" ref="H65:AT65" si="68">H24</f>
        <v>133282.28981147683</v>
      </c>
      <c r="I65" s="77">
        <f t="shared" si="68"/>
        <v>101296.10986735833</v>
      </c>
      <c r="J65" s="77">
        <f t="shared" si="68"/>
        <v>137656.2268151195</v>
      </c>
      <c r="K65" s="77">
        <f t="shared" si="68"/>
        <v>164935.99417150408</v>
      </c>
      <c r="L65" s="77">
        <f t="shared" si="68"/>
        <v>193903.74068068169</v>
      </c>
      <c r="M65" s="77">
        <f t="shared" si="68"/>
        <v>170115.5622484886</v>
      </c>
      <c r="N65" s="77">
        <f t="shared" si="68"/>
        <v>199537.26568435898</v>
      </c>
      <c r="O65" s="77">
        <f t="shared" si="68"/>
        <v>172196.60090187157</v>
      </c>
      <c r="P65" s="77">
        <f t="shared" si="68"/>
        <v>181961.31929558</v>
      </c>
      <c r="Q65" s="77">
        <f t="shared" si="68"/>
        <v>182907.81395916952</v>
      </c>
      <c r="R65" s="77">
        <f t="shared" si="68"/>
        <v>192672.5323528779</v>
      </c>
      <c r="S65" s="77">
        <f t="shared" si="68"/>
        <v>193619.02701646741</v>
      </c>
      <c r="T65" s="77">
        <f t="shared" si="68"/>
        <v>197975.70762234522</v>
      </c>
      <c r="U65" s="77">
        <f t="shared" si="68"/>
        <v>170298.1138628578</v>
      </c>
      <c r="V65" s="77">
        <f t="shared" si="68"/>
        <v>208686.92067964314</v>
      </c>
      <c r="W65" s="77">
        <f t="shared" si="68"/>
        <v>248544.44820641109</v>
      </c>
      <c r="X65" s="77">
        <f t="shared" si="68"/>
        <v>214797.10402814668</v>
      </c>
      <c r="Y65" s="77">
        <f t="shared" si="68"/>
        <v>218082.31657220988</v>
      </c>
      <c r="Z65" s="77">
        <f t="shared" si="68"/>
        <v>205698.13921342205</v>
      </c>
      <c r="AA65" s="77">
        <f t="shared" si="68"/>
        <v>183163.23661844648</v>
      </c>
      <c r="AB65" s="77">
        <f t="shared" si="68"/>
        <v>195617.48456154688</v>
      </c>
      <c r="AC65" s="77">
        <f t="shared" si="68"/>
        <v>201396.93080651746</v>
      </c>
      <c r="AD65" s="77">
        <f t="shared" si="68"/>
        <v>171311.23885284213</v>
      </c>
      <c r="AE65" s="77">
        <f t="shared" si="68"/>
        <v>189471.09174416796</v>
      </c>
      <c r="AF65" s="77">
        <f t="shared" si="68"/>
        <v>239147.30133362368</v>
      </c>
      <c r="AG65" s="77">
        <f t="shared" si="68"/>
        <v>214774.83852247751</v>
      </c>
      <c r="AH65" s="77">
        <f t="shared" si="68"/>
        <v>254588.09644094575</v>
      </c>
      <c r="AI65" s="77">
        <f t="shared" si="68"/>
        <v>250980.66014150588</v>
      </c>
      <c r="AJ65" s="77">
        <f t="shared" si="68"/>
        <v>244647.64414997035</v>
      </c>
      <c r="AK65" s="77">
        <f t="shared" si="68"/>
        <v>296693.85613153991</v>
      </c>
      <c r="AL65" s="77">
        <f t="shared" si="68"/>
        <v>267574.34909311956</v>
      </c>
      <c r="AM65" s="77">
        <f t="shared" si="68"/>
        <v>270601.52588679176</v>
      </c>
      <c r="AN65" s="77">
        <f t="shared" si="68"/>
        <v>263272.44749401486</v>
      </c>
      <c r="AO65" s="77">
        <f t="shared" si="68"/>
        <v>288096.41129817331</v>
      </c>
      <c r="AP65" s="77">
        <f t="shared" si="68"/>
        <v>263833.33686420409</v>
      </c>
      <c r="AQ65" s="77">
        <f t="shared" si="68"/>
        <v>301215.53841868747</v>
      </c>
      <c r="AR65" s="77">
        <f t="shared" si="68"/>
        <v>276952.46398471826</v>
      </c>
      <c r="AS65" s="77">
        <f t="shared" si="68"/>
        <v>288096.41366057721</v>
      </c>
      <c r="AT65" s="77">
        <f t="shared" si="68"/>
        <v>325478.61521506053</v>
      </c>
    </row>
    <row r="66" spans="1:46" s="6" customFormat="1" x14ac:dyDescent="0.2">
      <c r="B66" s="139" t="s">
        <v>193</v>
      </c>
      <c r="C66" t="s">
        <v>41</v>
      </c>
      <c r="F66" s="279"/>
      <c r="G66" s="279"/>
      <c r="H66" s="279"/>
      <c r="I66" s="279"/>
      <c r="J66" s="282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79"/>
      <c r="AE66" s="279"/>
      <c r="AF66" s="279"/>
      <c r="AG66" s="279"/>
      <c r="AH66" s="279"/>
      <c r="AI66" s="279"/>
      <c r="AJ66" s="279"/>
      <c r="AK66" s="279"/>
      <c r="AL66" s="279"/>
      <c r="AM66" s="279"/>
      <c r="AN66" s="279"/>
      <c r="AO66" s="279"/>
      <c r="AP66" s="279"/>
      <c r="AQ66" s="279"/>
      <c r="AR66" s="279"/>
      <c r="AS66" s="279"/>
      <c r="AT66" s="279"/>
    </row>
    <row r="67" spans="1:46" s="6" customFormat="1" x14ac:dyDescent="0.2">
      <c r="B67" s="141" t="s">
        <v>268</v>
      </c>
      <c r="C67" s="6" t="s">
        <v>48</v>
      </c>
      <c r="F67" s="279"/>
      <c r="G67" s="279">
        <f>SUM(G63:G66)</f>
        <v>411241.58227482386</v>
      </c>
      <c r="H67" s="279">
        <f t="shared" ref="H67:AT67" si="69">SUM(H63:H66)</f>
        <v>418151.91658583371</v>
      </c>
      <c r="I67" s="279">
        <f t="shared" si="69"/>
        <v>428772.02921926207</v>
      </c>
      <c r="J67" s="280">
        <f t="shared" si="69"/>
        <v>441867.96546970739</v>
      </c>
      <c r="K67" s="279">
        <f t="shared" si="69"/>
        <v>598960.75735801004</v>
      </c>
      <c r="L67" s="279">
        <f t="shared" si="69"/>
        <v>636459.40378744202</v>
      </c>
      <c r="M67" s="279">
        <f t="shared" si="69"/>
        <v>648249.93869259069</v>
      </c>
      <c r="N67" s="279">
        <f t="shared" si="69"/>
        <v>660157.85063680192</v>
      </c>
      <c r="O67" s="279">
        <f t="shared" si="69"/>
        <v>668665.71473618888</v>
      </c>
      <c r="P67" s="279">
        <f t="shared" si="69"/>
        <v>678382.54633395723</v>
      </c>
      <c r="Q67" s="279">
        <f t="shared" si="69"/>
        <v>686365.38546603278</v>
      </c>
      <c r="R67" s="279">
        <f t="shared" si="69"/>
        <v>694282.27946860425</v>
      </c>
      <c r="S67" s="279">
        <f t="shared" si="69"/>
        <v>703122.13109770417</v>
      </c>
      <c r="T67" s="279">
        <f t="shared" si="69"/>
        <v>710877.40647872479</v>
      </c>
      <c r="U67" s="279">
        <f t="shared" si="69"/>
        <v>719366.20597801637</v>
      </c>
      <c r="V67" s="280">
        <f t="shared" si="69"/>
        <v>639108.44305488898</v>
      </c>
      <c r="W67" s="279">
        <f t="shared" si="69"/>
        <v>651587.65328036877</v>
      </c>
      <c r="X67" s="279">
        <f t="shared" si="69"/>
        <v>672890.19665868382</v>
      </c>
      <c r="Y67" s="279">
        <f t="shared" si="69"/>
        <v>681747.024931747</v>
      </c>
      <c r="Z67" s="279">
        <f t="shared" si="69"/>
        <v>697247.78679133777</v>
      </c>
      <c r="AA67" s="279">
        <f t="shared" si="69"/>
        <v>712195.97405013139</v>
      </c>
      <c r="AB67" s="279">
        <f t="shared" si="69"/>
        <v>730493.95274196845</v>
      </c>
      <c r="AC67" s="279">
        <f t="shared" si="69"/>
        <v>748266.5125183115</v>
      </c>
      <c r="AD67" s="279">
        <f t="shared" si="69"/>
        <v>767206.51153833431</v>
      </c>
      <c r="AE67" s="279">
        <f t="shared" si="69"/>
        <v>788516.83867814334</v>
      </c>
      <c r="AF67" s="279">
        <f t="shared" si="69"/>
        <v>809526.30380413984</v>
      </c>
      <c r="AG67" s="279">
        <f t="shared" si="69"/>
        <v>832300.72967934888</v>
      </c>
      <c r="AH67" s="281">
        <f t="shared" si="69"/>
        <v>738544.84251328546</v>
      </c>
      <c r="AI67" s="279">
        <f t="shared" si="69"/>
        <v>845551.30896914692</v>
      </c>
      <c r="AJ67" s="279">
        <f t="shared" si="69"/>
        <v>884889.58060839004</v>
      </c>
      <c r="AK67" s="279">
        <f t="shared" si="69"/>
        <v>906175.16163951275</v>
      </c>
      <c r="AL67" s="279">
        <f t="shared" si="69"/>
        <v>934375.41434632591</v>
      </c>
      <c r="AM67" s="279">
        <f t="shared" si="69"/>
        <v>959952.68624031264</v>
      </c>
      <c r="AN67" s="279">
        <f t="shared" si="69"/>
        <v>989624.64327112236</v>
      </c>
      <c r="AO67" s="279">
        <f t="shared" si="69"/>
        <v>1017675.6101223738</v>
      </c>
      <c r="AP67" s="279">
        <f t="shared" si="69"/>
        <v>1049500.0676988002</v>
      </c>
      <c r="AQ67" s="279">
        <f t="shared" si="69"/>
        <v>1081418.564593049</v>
      </c>
      <c r="AR67" s="279">
        <f t="shared" si="69"/>
        <v>1110056.1751552969</v>
      </c>
      <c r="AS67" s="279">
        <f t="shared" si="69"/>
        <v>1139394.8120567058</v>
      </c>
      <c r="AT67" s="280">
        <f t="shared" si="69"/>
        <v>719793.6390618505</v>
      </c>
    </row>
    <row r="68" spans="1:46" s="6" customFormat="1" x14ac:dyDescent="0.2">
      <c r="B68"/>
      <c r="C68"/>
      <c r="F68" s="279"/>
      <c r="G68" s="279"/>
      <c r="H68" s="279"/>
      <c r="I68" s="279"/>
      <c r="J68" s="282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79"/>
      <c r="AD68" s="279"/>
      <c r="AE68" s="279"/>
      <c r="AF68" s="279"/>
      <c r="AG68" s="279"/>
      <c r="AH68" s="279"/>
      <c r="AI68" s="279"/>
      <c r="AJ68" s="279"/>
      <c r="AK68" s="279"/>
      <c r="AL68" s="279"/>
      <c r="AM68" s="279"/>
      <c r="AN68" s="279"/>
      <c r="AO68" s="279"/>
      <c r="AP68" s="279"/>
      <c r="AQ68" s="279"/>
      <c r="AR68" s="279"/>
      <c r="AS68" s="279"/>
      <c r="AT68" s="279"/>
    </row>
    <row r="69" spans="1:46" s="6" customFormat="1" x14ac:dyDescent="0.2">
      <c r="B69" s="139" t="s">
        <v>269</v>
      </c>
      <c r="C69" t="s">
        <v>41</v>
      </c>
      <c r="F69" s="279"/>
      <c r="G69" s="279">
        <v>0</v>
      </c>
      <c r="H69" s="279">
        <v>0</v>
      </c>
      <c r="I69" s="279">
        <v>0</v>
      </c>
      <c r="J69" s="279">
        <v>0</v>
      </c>
      <c r="K69" s="279">
        <v>0</v>
      </c>
      <c r="L69" s="279">
        <v>0</v>
      </c>
      <c r="M69" s="279">
        <v>0</v>
      </c>
      <c r="N69" s="279">
        <v>0</v>
      </c>
      <c r="O69" s="279">
        <v>0</v>
      </c>
      <c r="P69" s="279">
        <v>0</v>
      </c>
      <c r="Q69" s="279">
        <v>0</v>
      </c>
      <c r="R69" s="279">
        <v>0</v>
      </c>
      <c r="S69" s="279">
        <v>0</v>
      </c>
      <c r="T69" s="279">
        <v>0</v>
      </c>
      <c r="U69" s="279">
        <v>0</v>
      </c>
      <c r="V69" s="279">
        <v>0</v>
      </c>
      <c r="W69" s="279">
        <v>0</v>
      </c>
      <c r="X69" s="279">
        <v>0</v>
      </c>
      <c r="Y69" s="279">
        <v>0</v>
      </c>
      <c r="Z69" s="279">
        <v>0</v>
      </c>
      <c r="AA69" s="279">
        <v>0</v>
      </c>
      <c r="AB69" s="279">
        <v>0</v>
      </c>
      <c r="AC69" s="279">
        <v>0</v>
      </c>
      <c r="AD69" s="279">
        <v>0</v>
      </c>
      <c r="AE69" s="279">
        <v>0</v>
      </c>
      <c r="AF69" s="279">
        <v>0</v>
      </c>
      <c r="AG69" s="279">
        <v>0</v>
      </c>
      <c r="AH69" s="279">
        <v>0</v>
      </c>
      <c r="AI69" s="279">
        <v>0</v>
      </c>
      <c r="AJ69" s="279">
        <v>0</v>
      </c>
      <c r="AK69" s="279">
        <v>0</v>
      </c>
      <c r="AL69" s="279">
        <v>0</v>
      </c>
      <c r="AM69" s="279">
        <v>0</v>
      </c>
      <c r="AN69" s="279">
        <v>0</v>
      </c>
      <c r="AO69" s="279">
        <v>0</v>
      </c>
      <c r="AP69" s="279">
        <v>0</v>
      </c>
      <c r="AQ69" s="279">
        <v>0</v>
      </c>
      <c r="AR69" s="279">
        <v>0</v>
      </c>
      <c r="AS69" s="279">
        <v>0</v>
      </c>
      <c r="AT69" s="279">
        <v>0</v>
      </c>
    </row>
    <row r="70" spans="1:46" s="6" customFormat="1" x14ac:dyDescent="0.2">
      <c r="B70" s="141" t="s">
        <v>270</v>
      </c>
      <c r="C70" s="6" t="s">
        <v>48</v>
      </c>
      <c r="F70" s="279"/>
      <c r="G70" s="279">
        <f>SUM(G69)</f>
        <v>0</v>
      </c>
      <c r="H70" s="279">
        <f t="shared" ref="H70:AT70" si="70">SUM(H69)</f>
        <v>0</v>
      </c>
      <c r="I70" s="279">
        <f t="shared" si="70"/>
        <v>0</v>
      </c>
      <c r="J70" s="279">
        <f t="shared" si="70"/>
        <v>0</v>
      </c>
      <c r="K70" s="279">
        <f t="shared" si="70"/>
        <v>0</v>
      </c>
      <c r="L70" s="279">
        <f t="shared" si="70"/>
        <v>0</v>
      </c>
      <c r="M70" s="279">
        <f t="shared" si="70"/>
        <v>0</v>
      </c>
      <c r="N70" s="279">
        <f t="shared" si="70"/>
        <v>0</v>
      </c>
      <c r="O70" s="279">
        <f t="shared" si="70"/>
        <v>0</v>
      </c>
      <c r="P70" s="279">
        <f t="shared" si="70"/>
        <v>0</v>
      </c>
      <c r="Q70" s="279">
        <f t="shared" si="70"/>
        <v>0</v>
      </c>
      <c r="R70" s="279">
        <f t="shared" si="70"/>
        <v>0</v>
      </c>
      <c r="S70" s="279">
        <f t="shared" si="70"/>
        <v>0</v>
      </c>
      <c r="T70" s="279">
        <f t="shared" si="70"/>
        <v>0</v>
      </c>
      <c r="U70" s="279">
        <f t="shared" si="70"/>
        <v>0</v>
      </c>
      <c r="V70" s="279">
        <f t="shared" si="70"/>
        <v>0</v>
      </c>
      <c r="W70" s="279">
        <f t="shared" si="70"/>
        <v>0</v>
      </c>
      <c r="X70" s="279">
        <f t="shared" si="70"/>
        <v>0</v>
      </c>
      <c r="Y70" s="279">
        <f t="shared" si="70"/>
        <v>0</v>
      </c>
      <c r="Z70" s="279">
        <f t="shared" si="70"/>
        <v>0</v>
      </c>
      <c r="AA70" s="279">
        <f t="shared" si="70"/>
        <v>0</v>
      </c>
      <c r="AB70" s="279">
        <f t="shared" si="70"/>
        <v>0</v>
      </c>
      <c r="AC70" s="279">
        <f t="shared" si="70"/>
        <v>0</v>
      </c>
      <c r="AD70" s="279">
        <f t="shared" si="70"/>
        <v>0</v>
      </c>
      <c r="AE70" s="279">
        <f t="shared" si="70"/>
        <v>0</v>
      </c>
      <c r="AF70" s="279">
        <f t="shared" si="70"/>
        <v>0</v>
      </c>
      <c r="AG70" s="279">
        <f t="shared" si="70"/>
        <v>0</v>
      </c>
      <c r="AH70" s="279">
        <f t="shared" si="70"/>
        <v>0</v>
      </c>
      <c r="AI70" s="279">
        <f t="shared" si="70"/>
        <v>0</v>
      </c>
      <c r="AJ70" s="279">
        <f t="shared" si="70"/>
        <v>0</v>
      </c>
      <c r="AK70" s="279">
        <f t="shared" si="70"/>
        <v>0</v>
      </c>
      <c r="AL70" s="279">
        <f t="shared" si="70"/>
        <v>0</v>
      </c>
      <c r="AM70" s="279">
        <f t="shared" si="70"/>
        <v>0</v>
      </c>
      <c r="AN70" s="279">
        <f t="shared" si="70"/>
        <v>0</v>
      </c>
      <c r="AO70" s="279">
        <f t="shared" si="70"/>
        <v>0</v>
      </c>
      <c r="AP70" s="279">
        <f t="shared" si="70"/>
        <v>0</v>
      </c>
      <c r="AQ70" s="279">
        <f t="shared" si="70"/>
        <v>0</v>
      </c>
      <c r="AR70" s="279">
        <f t="shared" si="70"/>
        <v>0</v>
      </c>
      <c r="AS70" s="279">
        <f t="shared" si="70"/>
        <v>0</v>
      </c>
      <c r="AT70" s="279">
        <f t="shared" si="70"/>
        <v>0</v>
      </c>
    </row>
    <row r="71" spans="1:46" s="6" customFormat="1" x14ac:dyDescent="0.2">
      <c r="B71"/>
      <c r="C71"/>
      <c r="F71" s="279"/>
      <c r="G71" s="279"/>
      <c r="H71" s="279"/>
      <c r="I71" s="279"/>
      <c r="J71" s="282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79"/>
      <c r="V71" s="279"/>
      <c r="W71" s="279"/>
      <c r="X71" s="279"/>
      <c r="Y71" s="279"/>
      <c r="Z71" s="279"/>
      <c r="AA71" s="279"/>
      <c r="AB71" s="279"/>
      <c r="AC71" s="279"/>
      <c r="AD71" s="279"/>
      <c r="AE71" s="279"/>
      <c r="AF71" s="279"/>
      <c r="AG71" s="279"/>
      <c r="AH71" s="279"/>
      <c r="AI71" s="279"/>
      <c r="AJ71" s="279"/>
      <c r="AK71" s="279"/>
      <c r="AL71" s="279"/>
      <c r="AM71" s="279"/>
      <c r="AN71" s="279"/>
      <c r="AO71" s="279"/>
      <c r="AP71" s="279"/>
      <c r="AQ71" s="279"/>
      <c r="AR71" s="279"/>
      <c r="AS71" s="279"/>
      <c r="AT71" s="279"/>
    </row>
    <row r="72" spans="1:46" s="6" customFormat="1" x14ac:dyDescent="0.2">
      <c r="B72" s="6" t="s">
        <v>271</v>
      </c>
      <c r="C72" s="6" t="s">
        <v>48</v>
      </c>
      <c r="F72" s="279"/>
      <c r="G72" s="279">
        <f>G70+G67</f>
        <v>411241.58227482386</v>
      </c>
      <c r="H72" s="279">
        <f t="shared" ref="H72:AT72" si="71">H70+H67</f>
        <v>418151.91658583371</v>
      </c>
      <c r="I72" s="279">
        <f t="shared" si="71"/>
        <v>428772.02921926207</v>
      </c>
      <c r="J72" s="279">
        <f t="shared" si="71"/>
        <v>441867.96546970739</v>
      </c>
      <c r="K72" s="279">
        <f t="shared" si="71"/>
        <v>598960.75735801004</v>
      </c>
      <c r="L72" s="279">
        <f t="shared" si="71"/>
        <v>636459.40378744202</v>
      </c>
      <c r="M72" s="279">
        <f t="shared" si="71"/>
        <v>648249.93869259069</v>
      </c>
      <c r="N72" s="279">
        <f t="shared" si="71"/>
        <v>660157.85063680192</v>
      </c>
      <c r="O72" s="279">
        <f t="shared" si="71"/>
        <v>668665.71473618888</v>
      </c>
      <c r="P72" s="279">
        <f t="shared" si="71"/>
        <v>678382.54633395723</v>
      </c>
      <c r="Q72" s="279">
        <f t="shared" si="71"/>
        <v>686365.38546603278</v>
      </c>
      <c r="R72" s="279">
        <f t="shared" si="71"/>
        <v>694282.27946860425</v>
      </c>
      <c r="S72" s="279">
        <f t="shared" si="71"/>
        <v>703122.13109770417</v>
      </c>
      <c r="T72" s="279">
        <f t="shared" si="71"/>
        <v>710877.40647872479</v>
      </c>
      <c r="U72" s="279">
        <f t="shared" si="71"/>
        <v>719366.20597801637</v>
      </c>
      <c r="V72" s="279">
        <f t="shared" si="71"/>
        <v>639108.44305488898</v>
      </c>
      <c r="W72" s="279">
        <f t="shared" si="71"/>
        <v>651587.65328036877</v>
      </c>
      <c r="X72" s="279">
        <f t="shared" si="71"/>
        <v>672890.19665868382</v>
      </c>
      <c r="Y72" s="279">
        <f t="shared" si="71"/>
        <v>681747.024931747</v>
      </c>
      <c r="Z72" s="279">
        <f t="shared" si="71"/>
        <v>697247.78679133777</v>
      </c>
      <c r="AA72" s="279">
        <f t="shared" si="71"/>
        <v>712195.97405013139</v>
      </c>
      <c r="AB72" s="279">
        <f t="shared" si="71"/>
        <v>730493.95274196845</v>
      </c>
      <c r="AC72" s="279">
        <f t="shared" si="71"/>
        <v>748266.5125183115</v>
      </c>
      <c r="AD72" s="279">
        <f t="shared" si="71"/>
        <v>767206.51153833431</v>
      </c>
      <c r="AE72" s="279">
        <f t="shared" si="71"/>
        <v>788516.83867814334</v>
      </c>
      <c r="AF72" s="279">
        <f t="shared" si="71"/>
        <v>809526.30380413984</v>
      </c>
      <c r="AG72" s="279">
        <f t="shared" si="71"/>
        <v>832300.72967934888</v>
      </c>
      <c r="AH72" s="279">
        <f t="shared" si="71"/>
        <v>738544.84251328546</v>
      </c>
      <c r="AI72" s="279">
        <f t="shared" si="71"/>
        <v>845551.30896914692</v>
      </c>
      <c r="AJ72" s="279">
        <f t="shared" si="71"/>
        <v>884889.58060839004</v>
      </c>
      <c r="AK72" s="279">
        <f t="shared" si="71"/>
        <v>906175.16163951275</v>
      </c>
      <c r="AL72" s="279">
        <f t="shared" si="71"/>
        <v>934375.41434632591</v>
      </c>
      <c r="AM72" s="279">
        <f t="shared" si="71"/>
        <v>959952.68624031264</v>
      </c>
      <c r="AN72" s="279">
        <f t="shared" si="71"/>
        <v>989624.64327112236</v>
      </c>
      <c r="AO72" s="279">
        <f t="shared" si="71"/>
        <v>1017675.6101223738</v>
      </c>
      <c r="AP72" s="279">
        <f t="shared" si="71"/>
        <v>1049500.0676988002</v>
      </c>
      <c r="AQ72" s="279">
        <f t="shared" si="71"/>
        <v>1081418.564593049</v>
      </c>
      <c r="AR72" s="279">
        <f t="shared" si="71"/>
        <v>1110056.1751552969</v>
      </c>
      <c r="AS72" s="279">
        <f t="shared" si="71"/>
        <v>1139394.8120567058</v>
      </c>
      <c r="AT72" s="279">
        <f t="shared" si="71"/>
        <v>719793.6390618505</v>
      </c>
    </row>
    <row r="73" spans="1:46" s="6" customFormat="1" x14ac:dyDescent="0.2">
      <c r="B73"/>
      <c r="C73"/>
      <c r="F73" s="279"/>
      <c r="G73" s="279"/>
      <c r="H73" s="279"/>
      <c r="I73" s="279"/>
      <c r="J73" s="282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  <c r="X73" s="279"/>
      <c r="Y73" s="279"/>
      <c r="Z73" s="279"/>
      <c r="AA73" s="279"/>
      <c r="AB73" s="279"/>
      <c r="AC73" s="279"/>
      <c r="AD73" s="279"/>
      <c r="AE73" s="279"/>
      <c r="AF73" s="279"/>
      <c r="AG73" s="279"/>
      <c r="AH73" s="279"/>
      <c r="AI73" s="279"/>
      <c r="AJ73" s="279"/>
      <c r="AK73" s="279"/>
      <c r="AL73" s="279"/>
      <c r="AM73" s="279"/>
      <c r="AN73" s="279"/>
      <c r="AO73" s="279"/>
      <c r="AP73" s="279"/>
      <c r="AQ73" s="279"/>
      <c r="AR73" s="279"/>
      <c r="AS73" s="279"/>
      <c r="AT73" s="279"/>
    </row>
    <row r="74" spans="1:46" s="6" customFormat="1" x14ac:dyDescent="0.2">
      <c r="B74" s="6" t="s">
        <v>272</v>
      </c>
      <c r="C74"/>
      <c r="F74" s="279"/>
      <c r="G74" s="279"/>
      <c r="H74" s="279"/>
      <c r="I74" s="279"/>
      <c r="J74" s="282"/>
      <c r="K74" s="279"/>
      <c r="L74" s="279"/>
      <c r="M74" s="279"/>
      <c r="N74" s="279"/>
      <c r="O74" s="279"/>
      <c r="P74" s="279"/>
      <c r="Q74" s="279"/>
      <c r="R74" s="279"/>
      <c r="S74" s="279"/>
      <c r="T74" s="279"/>
      <c r="U74" s="279"/>
      <c r="V74" s="279"/>
      <c r="W74" s="279"/>
      <c r="X74" s="279"/>
      <c r="Y74" s="279"/>
      <c r="Z74" s="279"/>
      <c r="AA74" s="279"/>
      <c r="AB74" s="279"/>
      <c r="AC74" s="279"/>
      <c r="AD74" s="279"/>
      <c r="AE74" s="279"/>
      <c r="AF74" s="279"/>
      <c r="AG74" s="279"/>
      <c r="AH74" s="279"/>
      <c r="AI74" s="279"/>
      <c r="AJ74" s="279"/>
      <c r="AK74" s="279"/>
      <c r="AL74" s="279"/>
      <c r="AM74" s="279"/>
      <c r="AN74" s="279"/>
      <c r="AO74" s="279"/>
      <c r="AP74" s="279"/>
      <c r="AQ74" s="279"/>
      <c r="AR74" s="279"/>
      <c r="AS74" s="279"/>
      <c r="AT74" s="279"/>
    </row>
    <row r="75" spans="1:46" x14ac:dyDescent="0.2">
      <c r="A75" s="6"/>
      <c r="B75" s="139" t="s">
        <v>192</v>
      </c>
      <c r="C75" t="s">
        <v>41</v>
      </c>
      <c r="D75" s="6"/>
      <c r="E75" s="6"/>
      <c r="F75" s="279"/>
      <c r="G75" s="77">
        <f>G23</f>
        <v>35903.820797176617</v>
      </c>
      <c r="H75" s="77">
        <f t="shared" ref="H75:AT75" si="72">H23</f>
        <v>44432.221466672258</v>
      </c>
      <c r="I75" s="77">
        <f t="shared" si="72"/>
        <v>53981.839989073487</v>
      </c>
      <c r="J75" s="77">
        <f t="shared" si="72"/>
        <v>62866.060808694885</v>
      </c>
      <c r="K75" s="77">
        <f t="shared" si="72"/>
        <v>107342.42342014903</v>
      </c>
      <c r="L75" s="77">
        <f t="shared" si="72"/>
        <v>122356.11778357142</v>
      </c>
      <c r="M75" s="77">
        <f t="shared" si="72"/>
        <v>124329.8493768874</v>
      </c>
      <c r="N75" s="77">
        <f t="shared" si="72"/>
        <v>126288.34948595267</v>
      </c>
      <c r="O75" s="77">
        <f t="shared" si="72"/>
        <v>126696.62134049056</v>
      </c>
      <c r="P75" s="77">
        <f t="shared" si="72"/>
        <v>127635.4569404372</v>
      </c>
      <c r="Q75" s="77">
        <f t="shared" si="72"/>
        <v>127699.08297042215</v>
      </c>
      <c r="R75" s="77">
        <f t="shared" si="72"/>
        <v>127754.37643187308</v>
      </c>
      <c r="S75" s="77">
        <f t="shared" si="72"/>
        <v>128262.93536947299</v>
      </c>
      <c r="T75" s="77">
        <f t="shared" si="72"/>
        <v>128253.84617925134</v>
      </c>
      <c r="U75" s="77">
        <f t="shared" si="72"/>
        <v>128636.15904438315</v>
      </c>
      <c r="V75" s="77">
        <f t="shared" si="72"/>
        <v>128586.36987085166</v>
      </c>
      <c r="W75" s="77">
        <f t="shared" si="72"/>
        <v>130849.04754626956</v>
      </c>
      <c r="X75" s="77">
        <f t="shared" si="72"/>
        <v>137588.87975479724</v>
      </c>
      <c r="Y75" s="77">
        <f t="shared" si="72"/>
        <v>137633.58235244622</v>
      </c>
      <c r="Z75" s="77">
        <f t="shared" si="72"/>
        <v>140546.95605939871</v>
      </c>
      <c r="AA75" s="77">
        <f t="shared" si="72"/>
        <v>142748.94504948411</v>
      </c>
      <c r="AB75" s="77">
        <f t="shared" si="72"/>
        <v>146140.05204347469</v>
      </c>
      <c r="AC75" s="77">
        <f t="shared" si="72"/>
        <v>148875.78520969558</v>
      </c>
      <c r="AD75" s="77">
        <f t="shared" si="72"/>
        <v>151789.42956749446</v>
      </c>
      <c r="AE75" s="77">
        <f t="shared" si="72"/>
        <v>155350.82651050756</v>
      </c>
      <c r="AF75" s="77">
        <f t="shared" si="72"/>
        <v>158398.15913668601</v>
      </c>
      <c r="AG75" s="77">
        <f t="shared" si="72"/>
        <v>162023.3840237807</v>
      </c>
      <c r="AH75" s="77">
        <f t="shared" si="72"/>
        <v>165159.98584548681</v>
      </c>
      <c r="AI75" s="77">
        <f t="shared" si="72"/>
        <v>210009.75967094855</v>
      </c>
      <c r="AJ75" s="77">
        <f t="shared" si="72"/>
        <v>220594.0562802428</v>
      </c>
      <c r="AK75" s="77">
        <f t="shared" si="72"/>
        <v>221670.20534872776</v>
      </c>
      <c r="AL75" s="77">
        <f t="shared" si="72"/>
        <v>225888.93781660954</v>
      </c>
      <c r="AM75" s="77">
        <f t="shared" si="72"/>
        <v>228319.28522893696</v>
      </c>
      <c r="AN75" s="77">
        <f t="shared" si="72"/>
        <v>232375.41057703359</v>
      </c>
      <c r="AO75" s="77">
        <f t="shared" si="72"/>
        <v>235186.41749351021</v>
      </c>
      <c r="AP75" s="77">
        <f t="shared" si="72"/>
        <v>239071.78467527425</v>
      </c>
      <c r="AQ75" s="77">
        <f t="shared" si="72"/>
        <v>242948.40347494947</v>
      </c>
      <c r="AR75" s="77">
        <f t="shared" si="72"/>
        <v>245277.52584362423</v>
      </c>
      <c r="AS75" s="77">
        <f t="shared" si="72"/>
        <v>247901.39334087953</v>
      </c>
      <c r="AT75" s="77">
        <f t="shared" si="72"/>
        <v>249414.68662252423</v>
      </c>
    </row>
    <row r="76" spans="1:46" x14ac:dyDescent="0.2">
      <c r="A76" s="6"/>
      <c r="B76" s="139" t="s">
        <v>241</v>
      </c>
      <c r="C76" t="s">
        <v>41</v>
      </c>
      <c r="D76" s="6"/>
      <c r="E76" s="6"/>
      <c r="F76" s="279"/>
      <c r="G76" s="77">
        <f>G26</f>
        <v>0</v>
      </c>
      <c r="H76" s="77">
        <f t="shared" ref="H76:AT76" si="73">H26</f>
        <v>0</v>
      </c>
      <c r="I76" s="77">
        <f t="shared" si="73"/>
        <v>0</v>
      </c>
      <c r="J76" s="77">
        <f t="shared" si="73"/>
        <v>0</v>
      </c>
      <c r="K76" s="77">
        <f t="shared" si="73"/>
        <v>107342.42342014903</v>
      </c>
      <c r="L76" s="77">
        <f t="shared" si="73"/>
        <v>122356.11778357142</v>
      </c>
      <c r="M76" s="77">
        <f t="shared" si="73"/>
        <v>124329.8493768874</v>
      </c>
      <c r="N76" s="77">
        <f t="shared" si="73"/>
        <v>126288.34948595267</v>
      </c>
      <c r="O76" s="77">
        <f t="shared" si="73"/>
        <v>126696.62134049056</v>
      </c>
      <c r="P76" s="77">
        <f t="shared" si="73"/>
        <v>127635.4569404372</v>
      </c>
      <c r="Q76" s="77">
        <f t="shared" si="73"/>
        <v>127699.08297042215</v>
      </c>
      <c r="R76" s="77">
        <f t="shared" si="73"/>
        <v>127754.37643187308</v>
      </c>
      <c r="S76" s="77">
        <f t="shared" si="73"/>
        <v>128262.93536947299</v>
      </c>
      <c r="T76" s="77">
        <f t="shared" si="73"/>
        <v>128253.84617925134</v>
      </c>
      <c r="U76" s="77">
        <f t="shared" si="73"/>
        <v>128636.15904438315</v>
      </c>
      <c r="V76" s="77">
        <f t="shared" si="73"/>
        <v>128586.36987085166</v>
      </c>
      <c r="W76" s="77">
        <f t="shared" si="73"/>
        <v>130849.04754626956</v>
      </c>
      <c r="X76" s="77">
        <f t="shared" si="73"/>
        <v>137588.87975479724</v>
      </c>
      <c r="Y76" s="77">
        <f t="shared" si="73"/>
        <v>137633.58235244622</v>
      </c>
      <c r="Z76" s="77">
        <f t="shared" si="73"/>
        <v>140546.95605939871</v>
      </c>
      <c r="AA76" s="77">
        <f t="shared" si="73"/>
        <v>142748.94504948411</v>
      </c>
      <c r="AB76" s="77">
        <f t="shared" si="73"/>
        <v>146140.05204347469</v>
      </c>
      <c r="AC76" s="77">
        <f t="shared" si="73"/>
        <v>148875.78520969558</v>
      </c>
      <c r="AD76" s="77">
        <f t="shared" si="73"/>
        <v>151789.42956749446</v>
      </c>
      <c r="AE76" s="77">
        <f t="shared" si="73"/>
        <v>155350.82651050756</v>
      </c>
      <c r="AF76" s="77">
        <f t="shared" si="73"/>
        <v>158398.15913668601</v>
      </c>
      <c r="AG76" s="77">
        <f t="shared" si="73"/>
        <v>162023.3840237807</v>
      </c>
      <c r="AH76" s="77">
        <f t="shared" si="73"/>
        <v>165159.98584548681</v>
      </c>
      <c r="AI76" s="77">
        <f t="shared" si="73"/>
        <v>210009.75967094855</v>
      </c>
      <c r="AJ76" s="77">
        <f t="shared" si="73"/>
        <v>220594.0562802428</v>
      </c>
      <c r="AK76" s="77">
        <f t="shared" si="73"/>
        <v>221670.20534872776</v>
      </c>
      <c r="AL76" s="77">
        <f t="shared" si="73"/>
        <v>225888.93781660954</v>
      </c>
      <c r="AM76" s="77">
        <f t="shared" si="73"/>
        <v>228319.28522893696</v>
      </c>
      <c r="AN76" s="77">
        <f t="shared" si="73"/>
        <v>232375.41057703359</v>
      </c>
      <c r="AO76" s="77">
        <f t="shared" si="73"/>
        <v>235186.41749351021</v>
      </c>
      <c r="AP76" s="77">
        <f t="shared" si="73"/>
        <v>239071.78467527425</v>
      </c>
      <c r="AQ76" s="77">
        <f t="shared" si="73"/>
        <v>242948.40347494947</v>
      </c>
      <c r="AR76" s="77">
        <f t="shared" si="73"/>
        <v>245277.52584362423</v>
      </c>
      <c r="AS76" s="77">
        <f t="shared" si="73"/>
        <v>247901.39334087953</v>
      </c>
      <c r="AT76" s="77">
        <f t="shared" si="73"/>
        <v>249414.68662252423</v>
      </c>
    </row>
    <row r="77" spans="1:46" x14ac:dyDescent="0.2">
      <c r="A77" s="6"/>
      <c r="B77" s="139" t="s">
        <v>273</v>
      </c>
      <c r="C77" t="s">
        <v>41</v>
      </c>
      <c r="D77" s="6"/>
      <c r="E77" s="6"/>
      <c r="F77" s="279"/>
      <c r="G77" s="77"/>
      <c r="H77" s="77"/>
      <c r="I77" s="77"/>
      <c r="J77" s="283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</row>
    <row r="78" spans="1:46" s="6" customFormat="1" x14ac:dyDescent="0.2">
      <c r="B78" s="141" t="s">
        <v>274</v>
      </c>
      <c r="C78" s="6" t="s">
        <v>48</v>
      </c>
      <c r="F78" s="279"/>
      <c r="G78" s="279">
        <f>SUM(G75:G77)</f>
        <v>35903.820797176617</v>
      </c>
      <c r="H78" s="279">
        <f t="shared" ref="H78:AT78" si="74">SUM(H75:H77)</f>
        <v>44432.221466672258</v>
      </c>
      <c r="I78" s="279">
        <f t="shared" si="74"/>
        <v>53981.839989073487</v>
      </c>
      <c r="J78" s="279">
        <f t="shared" si="74"/>
        <v>62866.060808694885</v>
      </c>
      <c r="K78" s="279">
        <f t="shared" si="74"/>
        <v>214684.84684029807</v>
      </c>
      <c r="L78" s="279">
        <f t="shared" si="74"/>
        <v>244712.23556714284</v>
      </c>
      <c r="M78" s="279">
        <f t="shared" si="74"/>
        <v>248659.69875377481</v>
      </c>
      <c r="N78" s="279">
        <f t="shared" si="74"/>
        <v>252576.69897190534</v>
      </c>
      <c r="O78" s="279">
        <f t="shared" si="74"/>
        <v>253393.24268098111</v>
      </c>
      <c r="P78" s="279">
        <f t="shared" si="74"/>
        <v>255270.9138808744</v>
      </c>
      <c r="Q78" s="279">
        <f t="shared" si="74"/>
        <v>255398.16594084431</v>
      </c>
      <c r="R78" s="279">
        <f t="shared" si="74"/>
        <v>255508.75286374617</v>
      </c>
      <c r="S78" s="279">
        <f t="shared" si="74"/>
        <v>256525.87073894599</v>
      </c>
      <c r="T78" s="279">
        <f t="shared" si="74"/>
        <v>256507.69235850268</v>
      </c>
      <c r="U78" s="279">
        <f t="shared" si="74"/>
        <v>257272.3180887663</v>
      </c>
      <c r="V78" s="279">
        <f t="shared" si="74"/>
        <v>257172.73974170332</v>
      </c>
      <c r="W78" s="279">
        <f t="shared" si="74"/>
        <v>261698.09509253912</v>
      </c>
      <c r="X78" s="279">
        <f t="shared" si="74"/>
        <v>275177.75950959447</v>
      </c>
      <c r="Y78" s="279">
        <f t="shared" si="74"/>
        <v>275267.16470489244</v>
      </c>
      <c r="Z78" s="279">
        <f t="shared" si="74"/>
        <v>281093.91211879742</v>
      </c>
      <c r="AA78" s="279">
        <f t="shared" si="74"/>
        <v>285497.89009896823</v>
      </c>
      <c r="AB78" s="279">
        <f t="shared" si="74"/>
        <v>292280.10408694937</v>
      </c>
      <c r="AC78" s="279">
        <f t="shared" si="74"/>
        <v>297751.57041939115</v>
      </c>
      <c r="AD78" s="279">
        <f t="shared" si="74"/>
        <v>303578.85913498892</v>
      </c>
      <c r="AE78" s="279">
        <f t="shared" si="74"/>
        <v>310701.65302101511</v>
      </c>
      <c r="AF78" s="279">
        <f t="shared" si="74"/>
        <v>316796.31827337202</v>
      </c>
      <c r="AG78" s="279">
        <f t="shared" si="74"/>
        <v>324046.7680475614</v>
      </c>
      <c r="AH78" s="279">
        <f t="shared" si="74"/>
        <v>330319.97169097362</v>
      </c>
      <c r="AI78" s="279">
        <f t="shared" si="74"/>
        <v>420019.5193418971</v>
      </c>
      <c r="AJ78" s="279">
        <f t="shared" si="74"/>
        <v>441188.11256048561</v>
      </c>
      <c r="AK78" s="279">
        <f t="shared" si="74"/>
        <v>443340.41069745552</v>
      </c>
      <c r="AL78" s="279">
        <f t="shared" si="74"/>
        <v>451777.87563321908</v>
      </c>
      <c r="AM78" s="279">
        <f t="shared" si="74"/>
        <v>456638.57045787392</v>
      </c>
      <c r="AN78" s="279">
        <f t="shared" si="74"/>
        <v>464750.82115406718</v>
      </c>
      <c r="AO78" s="279">
        <f t="shared" si="74"/>
        <v>470372.83498702041</v>
      </c>
      <c r="AP78" s="279">
        <f t="shared" si="74"/>
        <v>478143.5693505485</v>
      </c>
      <c r="AQ78" s="279">
        <f t="shared" si="74"/>
        <v>485896.80694989895</v>
      </c>
      <c r="AR78" s="279">
        <f t="shared" si="74"/>
        <v>490555.05168724846</v>
      </c>
      <c r="AS78" s="279">
        <f t="shared" si="74"/>
        <v>495802.78668175905</v>
      </c>
      <c r="AT78" s="279">
        <f t="shared" si="74"/>
        <v>498829.37324504845</v>
      </c>
    </row>
    <row r="79" spans="1:46" s="6" customFormat="1" x14ac:dyDescent="0.2">
      <c r="B79"/>
      <c r="C79"/>
      <c r="F79" s="279"/>
      <c r="G79" s="279"/>
      <c r="H79" s="279"/>
      <c r="I79" s="279"/>
      <c r="J79" s="282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  <c r="AJ79" s="279"/>
      <c r="AK79" s="279"/>
      <c r="AL79" s="279"/>
      <c r="AM79" s="279"/>
      <c r="AN79" s="279"/>
      <c r="AO79" s="279"/>
      <c r="AP79" s="279"/>
      <c r="AQ79" s="279"/>
      <c r="AR79" s="279"/>
      <c r="AS79" s="279"/>
      <c r="AT79" s="279"/>
    </row>
    <row r="80" spans="1:46" s="6" customFormat="1" x14ac:dyDescent="0.2">
      <c r="B80" s="139" t="s">
        <v>275</v>
      </c>
      <c r="C80" t="s">
        <v>41</v>
      </c>
      <c r="F80" s="279"/>
      <c r="G80" s="279">
        <v>0</v>
      </c>
      <c r="H80" s="279">
        <v>0</v>
      </c>
      <c r="I80" s="279">
        <v>0</v>
      </c>
      <c r="J80" s="279">
        <v>0</v>
      </c>
      <c r="K80" s="279">
        <v>0</v>
      </c>
      <c r="L80" s="279">
        <v>0</v>
      </c>
      <c r="M80" s="279">
        <v>0</v>
      </c>
      <c r="N80" s="279">
        <v>0</v>
      </c>
      <c r="O80" s="279">
        <v>0</v>
      </c>
      <c r="P80" s="279">
        <v>0</v>
      </c>
      <c r="Q80" s="279">
        <v>0</v>
      </c>
      <c r="R80" s="279">
        <v>0</v>
      </c>
      <c r="S80" s="279">
        <v>0</v>
      </c>
      <c r="T80" s="279">
        <v>0</v>
      </c>
      <c r="U80" s="279">
        <v>0</v>
      </c>
      <c r="V80" s="279">
        <v>0</v>
      </c>
      <c r="W80" s="279">
        <v>0</v>
      </c>
      <c r="X80" s="279">
        <v>0</v>
      </c>
      <c r="Y80" s="279">
        <v>0</v>
      </c>
      <c r="Z80" s="279">
        <v>0</v>
      </c>
      <c r="AA80" s="279">
        <v>0</v>
      </c>
      <c r="AB80" s="279">
        <v>0</v>
      </c>
      <c r="AC80" s="279">
        <v>0</v>
      </c>
      <c r="AD80" s="279">
        <v>0</v>
      </c>
      <c r="AE80" s="279">
        <v>0</v>
      </c>
      <c r="AF80" s="279">
        <v>0</v>
      </c>
      <c r="AG80" s="279">
        <v>0</v>
      </c>
      <c r="AH80" s="279">
        <v>0</v>
      </c>
      <c r="AI80" s="279">
        <v>0</v>
      </c>
      <c r="AJ80" s="279">
        <v>0</v>
      </c>
      <c r="AK80" s="279">
        <v>0</v>
      </c>
      <c r="AL80" s="279">
        <v>0</v>
      </c>
      <c r="AM80" s="279">
        <v>0</v>
      </c>
      <c r="AN80" s="279">
        <v>0</v>
      </c>
      <c r="AO80" s="279">
        <v>0</v>
      </c>
      <c r="AP80" s="279">
        <v>0</v>
      </c>
      <c r="AQ80" s="279">
        <v>0</v>
      </c>
      <c r="AR80" s="279">
        <v>0</v>
      </c>
      <c r="AS80" s="279">
        <v>0</v>
      </c>
      <c r="AT80" s="279">
        <v>0</v>
      </c>
    </row>
    <row r="81" spans="2:46" s="6" customFormat="1" x14ac:dyDescent="0.2">
      <c r="B81" s="141" t="s">
        <v>276</v>
      </c>
      <c r="C81" s="6" t="s">
        <v>48</v>
      </c>
      <c r="F81" s="279"/>
      <c r="G81" s="279">
        <f>G80</f>
        <v>0</v>
      </c>
      <c r="H81" s="279">
        <f t="shared" ref="H81:AT81" si="75">H80</f>
        <v>0</v>
      </c>
      <c r="I81" s="279">
        <f t="shared" si="75"/>
        <v>0</v>
      </c>
      <c r="J81" s="279">
        <f t="shared" si="75"/>
        <v>0</v>
      </c>
      <c r="K81" s="279">
        <f t="shared" si="75"/>
        <v>0</v>
      </c>
      <c r="L81" s="279">
        <f t="shared" si="75"/>
        <v>0</v>
      </c>
      <c r="M81" s="279">
        <f t="shared" si="75"/>
        <v>0</v>
      </c>
      <c r="N81" s="279">
        <f t="shared" si="75"/>
        <v>0</v>
      </c>
      <c r="O81" s="279">
        <f t="shared" si="75"/>
        <v>0</v>
      </c>
      <c r="P81" s="279">
        <f t="shared" si="75"/>
        <v>0</v>
      </c>
      <c r="Q81" s="279">
        <f t="shared" si="75"/>
        <v>0</v>
      </c>
      <c r="R81" s="279">
        <f t="shared" si="75"/>
        <v>0</v>
      </c>
      <c r="S81" s="279">
        <f t="shared" si="75"/>
        <v>0</v>
      </c>
      <c r="T81" s="279">
        <f t="shared" si="75"/>
        <v>0</v>
      </c>
      <c r="U81" s="279">
        <f t="shared" si="75"/>
        <v>0</v>
      </c>
      <c r="V81" s="279">
        <f t="shared" si="75"/>
        <v>0</v>
      </c>
      <c r="W81" s="279">
        <f t="shared" si="75"/>
        <v>0</v>
      </c>
      <c r="X81" s="279">
        <f t="shared" si="75"/>
        <v>0</v>
      </c>
      <c r="Y81" s="279">
        <f t="shared" si="75"/>
        <v>0</v>
      </c>
      <c r="Z81" s="279">
        <f t="shared" si="75"/>
        <v>0</v>
      </c>
      <c r="AA81" s="279">
        <f t="shared" si="75"/>
        <v>0</v>
      </c>
      <c r="AB81" s="279">
        <f t="shared" si="75"/>
        <v>0</v>
      </c>
      <c r="AC81" s="279">
        <f t="shared" si="75"/>
        <v>0</v>
      </c>
      <c r="AD81" s="279">
        <f t="shared" si="75"/>
        <v>0</v>
      </c>
      <c r="AE81" s="279">
        <f t="shared" si="75"/>
        <v>0</v>
      </c>
      <c r="AF81" s="279">
        <f t="shared" si="75"/>
        <v>0</v>
      </c>
      <c r="AG81" s="279">
        <f t="shared" si="75"/>
        <v>0</v>
      </c>
      <c r="AH81" s="279">
        <f t="shared" si="75"/>
        <v>0</v>
      </c>
      <c r="AI81" s="279">
        <f t="shared" si="75"/>
        <v>0</v>
      </c>
      <c r="AJ81" s="279">
        <f t="shared" si="75"/>
        <v>0</v>
      </c>
      <c r="AK81" s="279">
        <f t="shared" si="75"/>
        <v>0</v>
      </c>
      <c r="AL81" s="279">
        <f t="shared" si="75"/>
        <v>0</v>
      </c>
      <c r="AM81" s="279">
        <f t="shared" si="75"/>
        <v>0</v>
      </c>
      <c r="AN81" s="279">
        <f t="shared" si="75"/>
        <v>0</v>
      </c>
      <c r="AO81" s="279">
        <f t="shared" si="75"/>
        <v>0</v>
      </c>
      <c r="AP81" s="279">
        <f t="shared" si="75"/>
        <v>0</v>
      </c>
      <c r="AQ81" s="279">
        <f t="shared" si="75"/>
        <v>0</v>
      </c>
      <c r="AR81" s="279">
        <f t="shared" si="75"/>
        <v>0</v>
      </c>
      <c r="AS81" s="279">
        <f t="shared" si="75"/>
        <v>0</v>
      </c>
      <c r="AT81" s="279">
        <f t="shared" si="75"/>
        <v>0</v>
      </c>
    </row>
    <row r="82" spans="2:46" s="6" customFormat="1" x14ac:dyDescent="0.2">
      <c r="B82"/>
      <c r="C82"/>
      <c r="F82" s="279"/>
      <c r="G82" s="279"/>
      <c r="H82" s="279"/>
      <c r="I82" s="279"/>
      <c r="J82" s="282"/>
      <c r="K82" s="279"/>
      <c r="L82" s="279"/>
      <c r="M82" s="279"/>
      <c r="N82" s="279"/>
      <c r="O82" s="279"/>
      <c r="P82" s="279"/>
      <c r="Q82" s="279"/>
      <c r="R82" s="279"/>
      <c r="S82" s="279"/>
      <c r="T82" s="279"/>
      <c r="U82" s="279"/>
      <c r="V82" s="279"/>
      <c r="W82" s="279"/>
      <c r="X82" s="279"/>
      <c r="Y82" s="279"/>
      <c r="Z82" s="279"/>
      <c r="AA82" s="279"/>
      <c r="AB82" s="279"/>
      <c r="AC82" s="279"/>
      <c r="AD82" s="279"/>
      <c r="AE82" s="279"/>
      <c r="AF82" s="279"/>
      <c r="AG82" s="279"/>
      <c r="AH82" s="279"/>
      <c r="AI82" s="279"/>
      <c r="AJ82" s="279"/>
      <c r="AK82" s="279"/>
      <c r="AL82" s="279"/>
      <c r="AM82" s="279"/>
      <c r="AN82" s="279"/>
      <c r="AO82" s="279"/>
      <c r="AP82" s="279"/>
      <c r="AQ82" s="279"/>
      <c r="AR82" s="279"/>
      <c r="AS82" s="279"/>
      <c r="AT82" s="279"/>
    </row>
    <row r="83" spans="2:46" s="6" customFormat="1" x14ac:dyDescent="0.2">
      <c r="B83" s="141" t="s">
        <v>277</v>
      </c>
      <c r="C83" s="6" t="s">
        <v>48</v>
      </c>
      <c r="F83" s="279"/>
      <c r="G83" s="279">
        <f>G81+G78</f>
        <v>35903.820797176617</v>
      </c>
      <c r="H83" s="279">
        <f t="shared" ref="H83:AT83" si="76">H81+H78</f>
        <v>44432.221466672258</v>
      </c>
      <c r="I83" s="279">
        <f t="shared" si="76"/>
        <v>53981.839989073487</v>
      </c>
      <c r="J83" s="279">
        <f t="shared" si="76"/>
        <v>62866.060808694885</v>
      </c>
      <c r="K83" s="279">
        <f t="shared" si="76"/>
        <v>214684.84684029807</v>
      </c>
      <c r="L83" s="279">
        <f t="shared" si="76"/>
        <v>244712.23556714284</v>
      </c>
      <c r="M83" s="279">
        <f t="shared" si="76"/>
        <v>248659.69875377481</v>
      </c>
      <c r="N83" s="279">
        <f t="shared" si="76"/>
        <v>252576.69897190534</v>
      </c>
      <c r="O83" s="279">
        <f t="shared" si="76"/>
        <v>253393.24268098111</v>
      </c>
      <c r="P83" s="279">
        <f t="shared" si="76"/>
        <v>255270.9138808744</v>
      </c>
      <c r="Q83" s="279">
        <f t="shared" si="76"/>
        <v>255398.16594084431</v>
      </c>
      <c r="R83" s="279">
        <f t="shared" si="76"/>
        <v>255508.75286374617</v>
      </c>
      <c r="S83" s="279">
        <f t="shared" si="76"/>
        <v>256525.87073894599</v>
      </c>
      <c r="T83" s="279">
        <f t="shared" si="76"/>
        <v>256507.69235850268</v>
      </c>
      <c r="U83" s="279">
        <f t="shared" si="76"/>
        <v>257272.3180887663</v>
      </c>
      <c r="V83" s="279">
        <f t="shared" si="76"/>
        <v>257172.73974170332</v>
      </c>
      <c r="W83" s="279">
        <f t="shared" si="76"/>
        <v>261698.09509253912</v>
      </c>
      <c r="X83" s="279">
        <f t="shared" si="76"/>
        <v>275177.75950959447</v>
      </c>
      <c r="Y83" s="279">
        <f t="shared" si="76"/>
        <v>275267.16470489244</v>
      </c>
      <c r="Z83" s="279">
        <f t="shared" si="76"/>
        <v>281093.91211879742</v>
      </c>
      <c r="AA83" s="279">
        <f t="shared" si="76"/>
        <v>285497.89009896823</v>
      </c>
      <c r="AB83" s="279">
        <f t="shared" si="76"/>
        <v>292280.10408694937</v>
      </c>
      <c r="AC83" s="279">
        <f t="shared" si="76"/>
        <v>297751.57041939115</v>
      </c>
      <c r="AD83" s="279">
        <f t="shared" si="76"/>
        <v>303578.85913498892</v>
      </c>
      <c r="AE83" s="279">
        <f t="shared" si="76"/>
        <v>310701.65302101511</v>
      </c>
      <c r="AF83" s="279">
        <f t="shared" si="76"/>
        <v>316796.31827337202</v>
      </c>
      <c r="AG83" s="279">
        <f t="shared" si="76"/>
        <v>324046.7680475614</v>
      </c>
      <c r="AH83" s="279">
        <f t="shared" si="76"/>
        <v>330319.97169097362</v>
      </c>
      <c r="AI83" s="279">
        <f t="shared" si="76"/>
        <v>420019.5193418971</v>
      </c>
      <c r="AJ83" s="279">
        <f t="shared" si="76"/>
        <v>441188.11256048561</v>
      </c>
      <c r="AK83" s="279">
        <f t="shared" si="76"/>
        <v>443340.41069745552</v>
      </c>
      <c r="AL83" s="279">
        <f t="shared" si="76"/>
        <v>451777.87563321908</v>
      </c>
      <c r="AM83" s="279">
        <f t="shared" si="76"/>
        <v>456638.57045787392</v>
      </c>
      <c r="AN83" s="279">
        <f t="shared" si="76"/>
        <v>464750.82115406718</v>
      </c>
      <c r="AO83" s="279">
        <f t="shared" si="76"/>
        <v>470372.83498702041</v>
      </c>
      <c r="AP83" s="279">
        <f t="shared" si="76"/>
        <v>478143.5693505485</v>
      </c>
      <c r="AQ83" s="279">
        <f t="shared" si="76"/>
        <v>485896.80694989895</v>
      </c>
      <c r="AR83" s="279">
        <f t="shared" si="76"/>
        <v>490555.05168724846</v>
      </c>
      <c r="AS83" s="279">
        <f t="shared" si="76"/>
        <v>495802.78668175905</v>
      </c>
      <c r="AT83" s="279">
        <f t="shared" si="76"/>
        <v>498829.37324504845</v>
      </c>
    </row>
    <row r="84" spans="2:46" s="6" customFormat="1" x14ac:dyDescent="0.2">
      <c r="B84"/>
      <c r="C84"/>
      <c r="F84" s="279"/>
      <c r="G84" s="279"/>
      <c r="H84" s="279"/>
      <c r="I84" s="279"/>
      <c r="J84" s="282"/>
      <c r="K84" s="279"/>
      <c r="L84" s="279"/>
      <c r="M84" s="279"/>
      <c r="N84" s="279"/>
      <c r="O84" s="279"/>
      <c r="P84" s="279"/>
      <c r="Q84" s="279"/>
      <c r="R84" s="279"/>
      <c r="S84" s="279"/>
      <c r="T84" s="279"/>
      <c r="U84" s="279"/>
      <c r="V84" s="279"/>
      <c r="W84" s="279"/>
      <c r="X84" s="279"/>
      <c r="Y84" s="279"/>
      <c r="Z84" s="279"/>
      <c r="AA84" s="279"/>
      <c r="AB84" s="279"/>
      <c r="AC84" s="279"/>
      <c r="AD84" s="279"/>
      <c r="AE84" s="279"/>
      <c r="AF84" s="279"/>
      <c r="AG84" s="279"/>
      <c r="AH84" s="279"/>
      <c r="AI84" s="279"/>
      <c r="AJ84" s="279"/>
      <c r="AK84" s="279"/>
      <c r="AL84" s="279"/>
      <c r="AM84" s="279"/>
      <c r="AN84" s="279"/>
      <c r="AO84" s="279"/>
      <c r="AP84" s="279"/>
      <c r="AQ84" s="279"/>
      <c r="AR84" s="279"/>
      <c r="AS84" s="279"/>
      <c r="AT84" s="279"/>
    </row>
    <row r="85" spans="2:46" s="6" customFormat="1" x14ac:dyDescent="0.2">
      <c r="B85" s="139" t="s">
        <v>211</v>
      </c>
      <c r="C85" t="s">
        <v>41</v>
      </c>
      <c r="F85" s="279"/>
      <c r="G85" s="77">
        <f>G141</f>
        <v>1403.5087719298249</v>
      </c>
      <c r="H85" s="77">
        <f t="shared" ref="H85:AT85" si="77">H141</f>
        <v>1403.5087719298249</v>
      </c>
      <c r="I85" s="77">
        <f t="shared" si="77"/>
        <v>1403.5087719298249</v>
      </c>
      <c r="J85" s="77">
        <f t="shared" si="77"/>
        <v>1403.5087719298249</v>
      </c>
      <c r="K85" s="77">
        <f t="shared" si="77"/>
        <v>1403.5087719298249</v>
      </c>
      <c r="L85" s="77">
        <f t="shared" si="77"/>
        <v>1403.5087719298249</v>
      </c>
      <c r="M85" s="77">
        <f t="shared" si="77"/>
        <v>1403.5087719298249</v>
      </c>
      <c r="N85" s="77">
        <f t="shared" si="77"/>
        <v>1403.5087719298249</v>
      </c>
      <c r="O85" s="77">
        <f t="shared" si="77"/>
        <v>1403.5087719298249</v>
      </c>
      <c r="P85" s="77">
        <f t="shared" si="77"/>
        <v>1403.5087719298249</v>
      </c>
      <c r="Q85" s="77">
        <f t="shared" si="77"/>
        <v>1403.5087719298249</v>
      </c>
      <c r="R85" s="77">
        <f t="shared" si="77"/>
        <v>1403.5087719298249</v>
      </c>
      <c r="S85" s="77">
        <f t="shared" si="77"/>
        <v>1403.5087719298249</v>
      </c>
      <c r="T85" s="77">
        <f t="shared" si="77"/>
        <v>1403.5087719298249</v>
      </c>
      <c r="U85" s="77">
        <f t="shared" si="77"/>
        <v>1403.5087719298249</v>
      </c>
      <c r="V85" s="77">
        <f t="shared" si="77"/>
        <v>1403.5087719298249</v>
      </c>
      <c r="W85" s="77">
        <f t="shared" si="77"/>
        <v>1403.5087719298249</v>
      </c>
      <c r="X85" s="77">
        <f t="shared" si="77"/>
        <v>1403.5087719298249</v>
      </c>
      <c r="Y85" s="77">
        <f t="shared" si="77"/>
        <v>1403.5087719298249</v>
      </c>
      <c r="Z85" s="77">
        <f t="shared" si="77"/>
        <v>1403.5087719298249</v>
      </c>
      <c r="AA85" s="77">
        <f t="shared" si="77"/>
        <v>1403.5087719298249</v>
      </c>
      <c r="AB85" s="77">
        <f t="shared" si="77"/>
        <v>1403.5087719298249</v>
      </c>
      <c r="AC85" s="77">
        <f t="shared" si="77"/>
        <v>1403.5087719298249</v>
      </c>
      <c r="AD85" s="77">
        <f t="shared" si="77"/>
        <v>1403.5087719298249</v>
      </c>
      <c r="AE85" s="77">
        <f t="shared" si="77"/>
        <v>1403.5087719298249</v>
      </c>
      <c r="AF85" s="77">
        <f t="shared" si="77"/>
        <v>1403.5087719298249</v>
      </c>
      <c r="AG85" s="77">
        <f t="shared" si="77"/>
        <v>1403.5087719298249</v>
      </c>
      <c r="AH85" s="77">
        <f t="shared" si="77"/>
        <v>1403.5087719298249</v>
      </c>
      <c r="AI85" s="77">
        <f t="shared" si="77"/>
        <v>1403.5087719298249</v>
      </c>
      <c r="AJ85" s="77">
        <f t="shared" si="77"/>
        <v>1403.5087719298249</v>
      </c>
      <c r="AK85" s="77">
        <f t="shared" si="77"/>
        <v>1403.5087719298249</v>
      </c>
      <c r="AL85" s="77">
        <f t="shared" si="77"/>
        <v>1403.5087719298249</v>
      </c>
      <c r="AM85" s="77">
        <f t="shared" si="77"/>
        <v>1403.5087719298249</v>
      </c>
      <c r="AN85" s="77">
        <f t="shared" si="77"/>
        <v>1403.5087719298249</v>
      </c>
      <c r="AO85" s="77">
        <f t="shared" si="77"/>
        <v>1403.5087719298249</v>
      </c>
      <c r="AP85" s="77">
        <f t="shared" si="77"/>
        <v>1403.5087719298249</v>
      </c>
      <c r="AQ85" s="77">
        <f t="shared" si="77"/>
        <v>1403.5087719298249</v>
      </c>
      <c r="AR85" s="77">
        <f t="shared" si="77"/>
        <v>1403.5087719298249</v>
      </c>
      <c r="AS85" s="77">
        <f t="shared" si="77"/>
        <v>1403.5087719298249</v>
      </c>
      <c r="AT85" s="77">
        <f t="shared" si="77"/>
        <v>1403.5087719298249</v>
      </c>
    </row>
    <row r="86" spans="2:46" s="6" customFormat="1" x14ac:dyDescent="0.2">
      <c r="B86" s="139" t="s">
        <v>313</v>
      </c>
      <c r="C86" t="s">
        <v>41</v>
      </c>
      <c r="F86" s="279"/>
      <c r="G86" s="77">
        <f>G146</f>
        <v>379666.66666666669</v>
      </c>
      <c r="H86" s="77">
        <f t="shared" ref="H86:AT86" si="78">H146</f>
        <v>379666.66666666669</v>
      </c>
      <c r="I86" s="77">
        <f t="shared" si="78"/>
        <v>379666.66666666669</v>
      </c>
      <c r="J86" s="77">
        <f t="shared" si="78"/>
        <v>379666.66666666669</v>
      </c>
      <c r="K86" s="77">
        <f t="shared" si="78"/>
        <v>379666.66666666669</v>
      </c>
      <c r="L86" s="77">
        <f t="shared" si="78"/>
        <v>379666.66666666669</v>
      </c>
      <c r="M86" s="77">
        <f t="shared" si="78"/>
        <v>379666.66666666669</v>
      </c>
      <c r="N86" s="77">
        <f t="shared" si="78"/>
        <v>379666.66666666669</v>
      </c>
      <c r="O86" s="77">
        <f t="shared" si="78"/>
        <v>379666.66666666669</v>
      </c>
      <c r="P86" s="77">
        <f t="shared" si="78"/>
        <v>379666.66666666669</v>
      </c>
      <c r="Q86" s="77">
        <f t="shared" si="78"/>
        <v>379666.66666666669</v>
      </c>
      <c r="R86" s="77">
        <f t="shared" si="78"/>
        <v>379666.66666666669</v>
      </c>
      <c r="S86" s="77">
        <f t="shared" si="78"/>
        <v>379666.66666666669</v>
      </c>
      <c r="T86" s="77">
        <f t="shared" si="78"/>
        <v>379666.66666666669</v>
      </c>
      <c r="U86" s="77">
        <f t="shared" si="78"/>
        <v>379666.66666666669</v>
      </c>
      <c r="V86" s="77">
        <f t="shared" si="78"/>
        <v>341666.66666666669</v>
      </c>
      <c r="W86" s="77">
        <f t="shared" si="78"/>
        <v>341666.66666666669</v>
      </c>
      <c r="X86" s="77">
        <f t="shared" si="78"/>
        <v>341666.66666666669</v>
      </c>
      <c r="Y86" s="77">
        <f t="shared" si="78"/>
        <v>341666.66666666669</v>
      </c>
      <c r="Z86" s="77">
        <f t="shared" si="78"/>
        <v>341666.66666666669</v>
      </c>
      <c r="AA86" s="77">
        <f t="shared" si="78"/>
        <v>341666.66666666669</v>
      </c>
      <c r="AB86" s="77">
        <f t="shared" si="78"/>
        <v>341666.66666666669</v>
      </c>
      <c r="AC86" s="77">
        <f t="shared" si="78"/>
        <v>341666.66666666669</v>
      </c>
      <c r="AD86" s="77">
        <f t="shared" si="78"/>
        <v>341666.66666666669</v>
      </c>
      <c r="AE86" s="77">
        <f t="shared" si="78"/>
        <v>341666.66666666669</v>
      </c>
      <c r="AF86" s="77">
        <f t="shared" si="78"/>
        <v>341666.66666666669</v>
      </c>
      <c r="AG86" s="77">
        <f t="shared" si="78"/>
        <v>341666.66666666669</v>
      </c>
      <c r="AH86" s="77">
        <f t="shared" si="78"/>
        <v>303666.66666666669</v>
      </c>
      <c r="AI86" s="77">
        <f t="shared" si="78"/>
        <v>303666.66666666669</v>
      </c>
      <c r="AJ86" s="77">
        <f t="shared" si="78"/>
        <v>303666.66666666669</v>
      </c>
      <c r="AK86" s="77">
        <f t="shared" si="78"/>
        <v>303666.66666666669</v>
      </c>
      <c r="AL86" s="77">
        <f t="shared" si="78"/>
        <v>303666.66666666669</v>
      </c>
      <c r="AM86" s="77">
        <f t="shared" si="78"/>
        <v>303666.66666666669</v>
      </c>
      <c r="AN86" s="77">
        <f t="shared" si="78"/>
        <v>303666.66666666669</v>
      </c>
      <c r="AO86" s="77">
        <f t="shared" si="78"/>
        <v>303666.66666666669</v>
      </c>
      <c r="AP86" s="77">
        <f t="shared" si="78"/>
        <v>303666.66666666669</v>
      </c>
      <c r="AQ86" s="77">
        <f t="shared" si="78"/>
        <v>303666.66666666669</v>
      </c>
      <c r="AR86" s="77">
        <f t="shared" si="78"/>
        <v>303666.66666666669</v>
      </c>
      <c r="AS86" s="77">
        <f t="shared" si="78"/>
        <v>303666.66666666669</v>
      </c>
      <c r="AT86" s="77">
        <f t="shared" si="78"/>
        <v>-333.33333333333343</v>
      </c>
    </row>
    <row r="87" spans="2:46" s="6" customFormat="1" x14ac:dyDescent="0.2">
      <c r="B87" s="139" t="s">
        <v>220</v>
      </c>
      <c r="C87" t="s">
        <v>41</v>
      </c>
      <c r="F87" s="279"/>
      <c r="G87" s="77">
        <f>G156</f>
        <v>-5732.4139609492959</v>
      </c>
      <c r="H87" s="77">
        <f t="shared" ref="H87:AT87" si="79">H156</f>
        <v>-7350.4803194350789</v>
      </c>
      <c r="I87" s="77">
        <f t="shared" si="79"/>
        <v>-6279.9862084079614</v>
      </c>
      <c r="J87" s="77">
        <f t="shared" si="79"/>
        <v>-2068.2707775840245</v>
      </c>
      <c r="K87" s="77">
        <f t="shared" si="79"/>
        <v>3205.7350791154859</v>
      </c>
      <c r="L87" s="77">
        <f t="shared" si="79"/>
        <v>10676.992781702696</v>
      </c>
      <c r="M87" s="77">
        <f t="shared" si="79"/>
        <v>18520.064500219436</v>
      </c>
      <c r="N87" s="77">
        <f t="shared" si="79"/>
        <v>26510.976226300074</v>
      </c>
      <c r="O87" s="77">
        <f t="shared" si="79"/>
        <v>34202.296616611282</v>
      </c>
      <c r="P87" s="77">
        <f t="shared" si="79"/>
        <v>42041.457014486383</v>
      </c>
      <c r="Q87" s="77">
        <f t="shared" si="79"/>
        <v>49897.044086592032</v>
      </c>
      <c r="R87" s="77">
        <f t="shared" si="79"/>
        <v>57703.351166261578</v>
      </c>
      <c r="S87" s="77">
        <f t="shared" si="79"/>
        <v>65526.084920161695</v>
      </c>
      <c r="T87" s="77">
        <f t="shared" si="79"/>
        <v>73299.538681625709</v>
      </c>
      <c r="U87" s="77">
        <f t="shared" si="79"/>
        <v>81023.71245065362</v>
      </c>
      <c r="V87" s="77">
        <f t="shared" si="79"/>
        <v>38865.527874589148</v>
      </c>
      <c r="W87" s="77">
        <f t="shared" si="79"/>
        <v>46819.382749233191</v>
      </c>
      <c r="X87" s="77">
        <f t="shared" si="79"/>
        <v>54642.261710492894</v>
      </c>
      <c r="Y87" s="77">
        <f t="shared" si="79"/>
        <v>63409.68478825799</v>
      </c>
      <c r="Z87" s="77">
        <f t="shared" si="79"/>
        <v>73083.699233943815</v>
      </c>
      <c r="AA87" s="77">
        <f t="shared" si="79"/>
        <v>83627.908512566763</v>
      </c>
      <c r="AB87" s="77">
        <f t="shared" si="79"/>
        <v>95143.673216422423</v>
      </c>
      <c r="AC87" s="77">
        <f t="shared" si="79"/>
        <v>107444.76666032376</v>
      </c>
      <c r="AD87" s="77">
        <f t="shared" si="79"/>
        <v>120557.47696474892</v>
      </c>
      <c r="AE87" s="77">
        <f t="shared" si="79"/>
        <v>134745.01021853171</v>
      </c>
      <c r="AF87" s="77">
        <f t="shared" si="79"/>
        <v>149659.81009217125</v>
      </c>
      <c r="AG87" s="77">
        <f t="shared" si="79"/>
        <v>165183.78619319081</v>
      </c>
      <c r="AH87" s="77">
        <f t="shared" si="79"/>
        <v>103154.69538371527</v>
      </c>
      <c r="AI87" s="77">
        <f t="shared" si="79"/>
        <v>120461.61418865326</v>
      </c>
      <c r="AJ87" s="77">
        <f t="shared" si="79"/>
        <v>138631.29260930786</v>
      </c>
      <c r="AK87" s="77">
        <f t="shared" si="79"/>
        <v>157764.5755034606</v>
      </c>
      <c r="AL87" s="77">
        <f t="shared" si="79"/>
        <v>177527.36327451025</v>
      </c>
      <c r="AM87" s="77">
        <f t="shared" si="79"/>
        <v>198243.94034384208</v>
      </c>
      <c r="AN87" s="77">
        <f t="shared" si="79"/>
        <v>219803.64667845855</v>
      </c>
      <c r="AO87" s="77">
        <f t="shared" si="79"/>
        <v>242232.59969675681</v>
      </c>
      <c r="AP87" s="77">
        <f t="shared" si="79"/>
        <v>266286.32290965517</v>
      </c>
      <c r="AQ87" s="77">
        <f t="shared" si="79"/>
        <v>290451.58220455353</v>
      </c>
      <c r="AR87" s="77">
        <f t="shared" si="79"/>
        <v>314430.94802945189</v>
      </c>
      <c r="AS87" s="77">
        <f t="shared" si="79"/>
        <v>338521.84993635025</v>
      </c>
      <c r="AT87" s="77">
        <f t="shared" si="79"/>
        <v>219894.09037820547</v>
      </c>
    </row>
    <row r="88" spans="2:46" s="6" customFormat="1" x14ac:dyDescent="0.2">
      <c r="B88" s="141" t="s">
        <v>278</v>
      </c>
      <c r="C88" s="6" t="s">
        <v>48</v>
      </c>
      <c r="F88" s="279"/>
      <c r="G88" s="279">
        <f>SUM(G85:G87)</f>
        <v>375337.76147764723</v>
      </c>
      <c r="H88" s="279">
        <f t="shared" ref="H88:AT88" si="80">SUM(H85:H87)</f>
        <v>373719.69511916145</v>
      </c>
      <c r="I88" s="279">
        <f t="shared" si="80"/>
        <v>374790.18923018855</v>
      </c>
      <c r="J88" s="279">
        <f t="shared" si="80"/>
        <v>379001.90466101246</v>
      </c>
      <c r="K88" s="279">
        <f t="shared" si="80"/>
        <v>384275.91051771201</v>
      </c>
      <c r="L88" s="279">
        <f t="shared" si="80"/>
        <v>391747.16822029924</v>
      </c>
      <c r="M88" s="279">
        <f t="shared" si="80"/>
        <v>399590.23993881594</v>
      </c>
      <c r="N88" s="279">
        <f t="shared" si="80"/>
        <v>407581.15166489658</v>
      </c>
      <c r="O88" s="279">
        <f t="shared" si="80"/>
        <v>415272.47205520782</v>
      </c>
      <c r="P88" s="279">
        <f t="shared" si="80"/>
        <v>423111.63245308289</v>
      </c>
      <c r="Q88" s="279">
        <f t="shared" si="80"/>
        <v>430967.21952518856</v>
      </c>
      <c r="R88" s="279">
        <f t="shared" si="80"/>
        <v>438773.52660485811</v>
      </c>
      <c r="S88" s="279">
        <f t="shared" si="80"/>
        <v>446596.26035875821</v>
      </c>
      <c r="T88" s="279">
        <f t="shared" si="80"/>
        <v>454369.71412022226</v>
      </c>
      <c r="U88" s="279">
        <f t="shared" si="80"/>
        <v>462093.88788925012</v>
      </c>
      <c r="V88" s="279">
        <f t="shared" si="80"/>
        <v>381935.70331318566</v>
      </c>
      <c r="W88" s="279">
        <f t="shared" si="80"/>
        <v>389889.55818782968</v>
      </c>
      <c r="X88" s="279">
        <f t="shared" si="80"/>
        <v>397712.43714908941</v>
      </c>
      <c r="Y88" s="279">
        <f t="shared" si="80"/>
        <v>406479.86022685451</v>
      </c>
      <c r="Z88" s="279">
        <f t="shared" si="80"/>
        <v>416153.87467254035</v>
      </c>
      <c r="AA88" s="279">
        <f t="shared" si="80"/>
        <v>426698.08395116328</v>
      </c>
      <c r="AB88" s="279">
        <f t="shared" si="80"/>
        <v>438213.84865501896</v>
      </c>
      <c r="AC88" s="279">
        <f t="shared" si="80"/>
        <v>450514.94209892029</v>
      </c>
      <c r="AD88" s="279">
        <f t="shared" si="80"/>
        <v>463627.65240334545</v>
      </c>
      <c r="AE88" s="279">
        <f t="shared" si="80"/>
        <v>477815.18565712823</v>
      </c>
      <c r="AF88" s="279">
        <f t="shared" si="80"/>
        <v>492729.98553076776</v>
      </c>
      <c r="AG88" s="279">
        <f t="shared" si="80"/>
        <v>508253.96163178736</v>
      </c>
      <c r="AH88" s="279">
        <f t="shared" si="80"/>
        <v>408224.87082231179</v>
      </c>
      <c r="AI88" s="279">
        <f t="shared" si="80"/>
        <v>425531.78962724976</v>
      </c>
      <c r="AJ88" s="279">
        <f t="shared" si="80"/>
        <v>443701.46804790437</v>
      </c>
      <c r="AK88" s="279">
        <f t="shared" si="80"/>
        <v>462834.75094205712</v>
      </c>
      <c r="AL88" s="279">
        <f t="shared" si="80"/>
        <v>482597.53871310677</v>
      </c>
      <c r="AM88" s="279">
        <f t="shared" si="80"/>
        <v>503314.1157824386</v>
      </c>
      <c r="AN88" s="279">
        <f t="shared" si="80"/>
        <v>524873.82211705507</v>
      </c>
      <c r="AO88" s="279">
        <f t="shared" si="80"/>
        <v>547302.77513535332</v>
      </c>
      <c r="AP88" s="279">
        <f t="shared" si="80"/>
        <v>571356.49834825168</v>
      </c>
      <c r="AQ88" s="279">
        <f t="shared" si="80"/>
        <v>595521.75764315005</v>
      </c>
      <c r="AR88" s="279">
        <f t="shared" si="80"/>
        <v>619501.1234680484</v>
      </c>
      <c r="AS88" s="279">
        <f t="shared" si="80"/>
        <v>643592.02537494677</v>
      </c>
      <c r="AT88" s="279">
        <f t="shared" si="80"/>
        <v>220964.26581680196</v>
      </c>
    </row>
    <row r="89" spans="2:46" s="6" customFormat="1" x14ac:dyDescent="0.2">
      <c r="B89" s="139"/>
      <c r="C89"/>
      <c r="F89" s="279"/>
      <c r="G89" s="279"/>
      <c r="H89" s="279"/>
      <c r="I89" s="279"/>
      <c r="J89" s="282"/>
      <c r="K89" s="279"/>
      <c r="L89" s="279"/>
      <c r="M89" s="279"/>
      <c r="N89" s="279"/>
      <c r="O89" s="279"/>
      <c r="P89" s="279"/>
      <c r="Q89" s="279"/>
      <c r="R89" s="279"/>
      <c r="S89" s="279"/>
      <c r="T89" s="279"/>
      <c r="U89" s="279"/>
      <c r="V89" s="279"/>
      <c r="W89" s="279"/>
      <c r="X89" s="279"/>
      <c r="Y89" s="279"/>
      <c r="Z89" s="279"/>
      <c r="AA89" s="279"/>
      <c r="AB89" s="279"/>
      <c r="AC89" s="279"/>
      <c r="AD89" s="279"/>
      <c r="AE89" s="279"/>
      <c r="AF89" s="279"/>
      <c r="AG89" s="279"/>
      <c r="AH89" s="279"/>
      <c r="AI89" s="279"/>
      <c r="AJ89" s="279"/>
      <c r="AK89" s="279"/>
      <c r="AL89" s="279"/>
      <c r="AM89" s="279"/>
      <c r="AN89" s="279"/>
      <c r="AO89" s="279"/>
      <c r="AP89" s="279"/>
      <c r="AQ89" s="279"/>
      <c r="AR89" s="279"/>
      <c r="AS89" s="279"/>
      <c r="AT89" s="279"/>
    </row>
    <row r="90" spans="2:46" s="6" customFormat="1" x14ac:dyDescent="0.2">
      <c r="B90" s="142" t="s">
        <v>279</v>
      </c>
      <c r="C90" s="6" t="s">
        <v>48</v>
      </c>
      <c r="F90" s="279"/>
      <c r="G90" s="279">
        <f>G88+G83</f>
        <v>411241.58227482386</v>
      </c>
      <c r="H90" s="279">
        <f t="shared" ref="H90:AT90" si="81">H88+H83</f>
        <v>418151.91658583371</v>
      </c>
      <c r="I90" s="279">
        <f t="shared" si="81"/>
        <v>428772.02921926207</v>
      </c>
      <c r="J90" s="279">
        <f t="shared" si="81"/>
        <v>441867.96546970733</v>
      </c>
      <c r="K90" s="279">
        <f t="shared" si="81"/>
        <v>598960.75735801004</v>
      </c>
      <c r="L90" s="279">
        <f t="shared" si="81"/>
        <v>636459.40378744202</v>
      </c>
      <c r="M90" s="279">
        <f t="shared" si="81"/>
        <v>648249.93869259069</v>
      </c>
      <c r="N90" s="279">
        <f t="shared" si="81"/>
        <v>660157.85063680192</v>
      </c>
      <c r="O90" s="279">
        <f t="shared" si="81"/>
        <v>668665.71473618899</v>
      </c>
      <c r="P90" s="279">
        <f t="shared" si="81"/>
        <v>678382.54633395723</v>
      </c>
      <c r="Q90" s="279">
        <f t="shared" si="81"/>
        <v>686365.38546603289</v>
      </c>
      <c r="R90" s="279">
        <f t="shared" si="81"/>
        <v>694282.27946860425</v>
      </c>
      <c r="S90" s="279">
        <f t="shared" si="81"/>
        <v>703122.13109770417</v>
      </c>
      <c r="T90" s="279">
        <f t="shared" si="81"/>
        <v>710877.40647872491</v>
      </c>
      <c r="U90" s="279">
        <f t="shared" si="81"/>
        <v>719366.20597801637</v>
      </c>
      <c r="V90" s="279">
        <f t="shared" si="81"/>
        <v>639108.44305488898</v>
      </c>
      <c r="W90" s="279">
        <f t="shared" si="81"/>
        <v>651587.65328036877</v>
      </c>
      <c r="X90" s="279">
        <f t="shared" si="81"/>
        <v>672890.19665868394</v>
      </c>
      <c r="Y90" s="279">
        <f t="shared" si="81"/>
        <v>681747.024931747</v>
      </c>
      <c r="Z90" s="279">
        <f t="shared" si="81"/>
        <v>697247.78679133777</v>
      </c>
      <c r="AA90" s="279">
        <f t="shared" si="81"/>
        <v>712195.97405013151</v>
      </c>
      <c r="AB90" s="279">
        <f t="shared" si="81"/>
        <v>730493.95274196833</v>
      </c>
      <c r="AC90" s="279">
        <f t="shared" si="81"/>
        <v>748266.51251831139</v>
      </c>
      <c r="AD90" s="279">
        <f t="shared" si="81"/>
        <v>767206.51153833442</v>
      </c>
      <c r="AE90" s="279">
        <f t="shared" si="81"/>
        <v>788516.83867814334</v>
      </c>
      <c r="AF90" s="279">
        <f t="shared" si="81"/>
        <v>809526.30380413984</v>
      </c>
      <c r="AG90" s="279">
        <f t="shared" si="81"/>
        <v>832300.72967934876</v>
      </c>
      <c r="AH90" s="279">
        <f t="shared" si="81"/>
        <v>738544.84251328534</v>
      </c>
      <c r="AI90" s="279">
        <f t="shared" si="81"/>
        <v>845551.3089691468</v>
      </c>
      <c r="AJ90" s="279">
        <f t="shared" si="81"/>
        <v>884889.58060839004</v>
      </c>
      <c r="AK90" s="279">
        <f t="shared" si="81"/>
        <v>906175.16163951263</v>
      </c>
      <c r="AL90" s="279">
        <f t="shared" si="81"/>
        <v>934375.41434632591</v>
      </c>
      <c r="AM90" s="279">
        <f t="shared" si="81"/>
        <v>959952.68624031253</v>
      </c>
      <c r="AN90" s="279">
        <f t="shared" si="81"/>
        <v>989624.64327112224</v>
      </c>
      <c r="AO90" s="279">
        <f t="shared" si="81"/>
        <v>1017675.6101223738</v>
      </c>
      <c r="AP90" s="279">
        <f t="shared" si="81"/>
        <v>1049500.0676988002</v>
      </c>
      <c r="AQ90" s="279">
        <f t="shared" si="81"/>
        <v>1081418.564593049</v>
      </c>
      <c r="AR90" s="279">
        <f t="shared" si="81"/>
        <v>1110056.1751552969</v>
      </c>
      <c r="AS90" s="279">
        <f t="shared" si="81"/>
        <v>1139394.8120567058</v>
      </c>
      <c r="AT90" s="279">
        <f t="shared" si="81"/>
        <v>719793.63906185038</v>
      </c>
    </row>
    <row r="91" spans="2:46" s="6" customFormat="1" x14ac:dyDescent="0.2">
      <c r="B91" s="142"/>
      <c r="F91" s="279"/>
      <c r="G91" s="279"/>
      <c r="H91" s="279"/>
      <c r="I91" s="279"/>
      <c r="J91" s="282"/>
      <c r="K91" s="279"/>
      <c r="L91" s="279"/>
      <c r="M91" s="279"/>
      <c r="N91" s="279"/>
      <c r="O91" s="279"/>
      <c r="P91" s="279"/>
      <c r="Q91" s="279"/>
      <c r="R91" s="279"/>
      <c r="S91" s="279"/>
      <c r="T91" s="279"/>
      <c r="U91" s="279"/>
      <c r="V91" s="279"/>
      <c r="W91" s="279"/>
      <c r="X91" s="279"/>
      <c r="Y91" s="279"/>
      <c r="Z91" s="279"/>
      <c r="AA91" s="279"/>
      <c r="AB91" s="279"/>
      <c r="AC91" s="279"/>
      <c r="AD91" s="279"/>
      <c r="AE91" s="279"/>
      <c r="AF91" s="279"/>
      <c r="AG91" s="279"/>
      <c r="AH91" s="279"/>
      <c r="AI91" s="279"/>
      <c r="AJ91" s="279"/>
      <c r="AK91" s="279"/>
      <c r="AL91" s="279"/>
      <c r="AM91" s="279"/>
      <c r="AN91" s="279"/>
      <c r="AO91" s="279"/>
      <c r="AP91" s="279"/>
      <c r="AQ91" s="279"/>
      <c r="AR91" s="279"/>
      <c r="AS91" s="279"/>
      <c r="AT91" s="279"/>
    </row>
    <row r="92" spans="2:46" s="6" customFormat="1" x14ac:dyDescent="0.2">
      <c r="B92" s="232" t="s">
        <v>280</v>
      </c>
      <c r="C92" s="119" t="s">
        <v>281</v>
      </c>
      <c r="F92" s="279"/>
      <c r="G92" s="279">
        <f>G72-G90</f>
        <v>0</v>
      </c>
      <c r="H92" s="279">
        <f t="shared" ref="H92:AT92" si="82">H72-H90</f>
        <v>0</v>
      </c>
      <c r="I92" s="279">
        <f t="shared" si="82"/>
        <v>0</v>
      </c>
      <c r="J92" s="279">
        <f t="shared" si="82"/>
        <v>0</v>
      </c>
      <c r="K92" s="279">
        <f t="shared" si="82"/>
        <v>0</v>
      </c>
      <c r="L92" s="279">
        <f t="shared" si="82"/>
        <v>0</v>
      </c>
      <c r="M92" s="279">
        <f t="shared" si="82"/>
        <v>0</v>
      </c>
      <c r="N92" s="279">
        <f t="shared" si="82"/>
        <v>0</v>
      </c>
      <c r="O92" s="279">
        <f t="shared" si="82"/>
        <v>0</v>
      </c>
      <c r="P92" s="279">
        <f t="shared" si="82"/>
        <v>0</v>
      </c>
      <c r="Q92" s="279">
        <f t="shared" si="82"/>
        <v>0</v>
      </c>
      <c r="R92" s="279">
        <f t="shared" si="82"/>
        <v>0</v>
      </c>
      <c r="S92" s="279">
        <f t="shared" si="82"/>
        <v>0</v>
      </c>
      <c r="T92" s="279">
        <f t="shared" si="82"/>
        <v>0</v>
      </c>
      <c r="U92" s="279">
        <f t="shared" si="82"/>
        <v>0</v>
      </c>
      <c r="V92" s="279">
        <f t="shared" si="82"/>
        <v>0</v>
      </c>
      <c r="W92" s="279">
        <f t="shared" si="82"/>
        <v>0</v>
      </c>
      <c r="X92" s="279">
        <f t="shared" si="82"/>
        <v>0</v>
      </c>
      <c r="Y92" s="279">
        <f t="shared" si="82"/>
        <v>0</v>
      </c>
      <c r="Z92" s="279">
        <f t="shared" si="82"/>
        <v>0</v>
      </c>
      <c r="AA92" s="279">
        <f t="shared" si="82"/>
        <v>0</v>
      </c>
      <c r="AB92" s="279">
        <f t="shared" si="82"/>
        <v>0</v>
      </c>
      <c r="AC92" s="279">
        <f t="shared" si="82"/>
        <v>0</v>
      </c>
      <c r="AD92" s="279">
        <f t="shared" si="82"/>
        <v>0</v>
      </c>
      <c r="AE92" s="279">
        <f t="shared" si="82"/>
        <v>0</v>
      </c>
      <c r="AF92" s="279">
        <f t="shared" si="82"/>
        <v>0</v>
      </c>
      <c r="AG92" s="279">
        <f t="shared" si="82"/>
        <v>0</v>
      </c>
      <c r="AH92" s="279">
        <f t="shared" si="82"/>
        <v>0</v>
      </c>
      <c r="AI92" s="279">
        <f t="shared" si="82"/>
        <v>0</v>
      </c>
      <c r="AJ92" s="279">
        <f t="shared" si="82"/>
        <v>0</v>
      </c>
      <c r="AK92" s="279">
        <f t="shared" si="82"/>
        <v>0</v>
      </c>
      <c r="AL92" s="279">
        <f t="shared" si="82"/>
        <v>0</v>
      </c>
      <c r="AM92" s="279">
        <f t="shared" si="82"/>
        <v>0</v>
      </c>
      <c r="AN92" s="279">
        <f t="shared" si="82"/>
        <v>0</v>
      </c>
      <c r="AO92" s="279">
        <f t="shared" si="82"/>
        <v>0</v>
      </c>
      <c r="AP92" s="279">
        <f t="shared" si="82"/>
        <v>0</v>
      </c>
      <c r="AQ92" s="279">
        <f t="shared" si="82"/>
        <v>0</v>
      </c>
      <c r="AR92" s="279">
        <f t="shared" si="82"/>
        <v>0</v>
      </c>
      <c r="AS92" s="279">
        <f t="shared" si="82"/>
        <v>0</v>
      </c>
      <c r="AT92" s="279">
        <f t="shared" si="82"/>
        <v>0</v>
      </c>
    </row>
    <row r="93" spans="2:46" s="6" customFormat="1" x14ac:dyDescent="0.2">
      <c r="F93" s="279"/>
      <c r="G93" s="279"/>
      <c r="H93" s="279"/>
      <c r="I93" s="279"/>
      <c r="J93" s="282"/>
      <c r="K93" s="279"/>
      <c r="L93" s="279"/>
      <c r="M93" s="279"/>
      <c r="N93" s="279"/>
      <c r="O93" s="279"/>
      <c r="P93" s="279"/>
      <c r="Q93" s="279"/>
      <c r="R93" s="279"/>
      <c r="S93" s="279"/>
      <c r="T93" s="279"/>
      <c r="U93" s="279"/>
      <c r="V93" s="279"/>
      <c r="W93" s="279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279"/>
      <c r="AK93" s="279"/>
      <c r="AL93" s="279"/>
      <c r="AM93" s="279"/>
      <c r="AN93" s="279"/>
      <c r="AO93" s="279"/>
      <c r="AP93" s="279"/>
      <c r="AQ93" s="279"/>
      <c r="AR93" s="279"/>
      <c r="AS93" s="279"/>
      <c r="AT93" s="279"/>
    </row>
    <row r="94" spans="2:46" s="6" customFormat="1" x14ac:dyDescent="0.2">
      <c r="F94" s="279"/>
      <c r="G94" s="279"/>
      <c r="H94" s="279"/>
      <c r="I94" s="279"/>
      <c r="J94" s="282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9"/>
      <c r="Z94" s="279"/>
      <c r="AA94" s="279"/>
      <c r="AB94" s="279"/>
      <c r="AC94" s="279"/>
      <c r="AD94" s="279"/>
      <c r="AE94" s="279"/>
      <c r="AF94" s="279"/>
      <c r="AG94" s="279"/>
      <c r="AH94" s="279"/>
      <c r="AI94" s="279"/>
      <c r="AJ94" s="279"/>
      <c r="AK94" s="279"/>
      <c r="AL94" s="279"/>
      <c r="AM94" s="279"/>
      <c r="AN94" s="279"/>
      <c r="AO94" s="279"/>
      <c r="AP94" s="279"/>
      <c r="AQ94" s="279"/>
      <c r="AR94" s="279"/>
      <c r="AS94" s="279"/>
      <c r="AT94" s="279"/>
    </row>
    <row r="95" spans="2:46" s="6" customFormat="1" x14ac:dyDescent="0.2">
      <c r="F95" s="279"/>
      <c r="G95" s="279"/>
      <c r="H95" s="279"/>
      <c r="I95" s="279"/>
      <c r="J95" s="282"/>
      <c r="K95" s="279"/>
      <c r="L95" s="279"/>
      <c r="M95" s="279"/>
      <c r="N95" s="279"/>
      <c r="O95" s="279"/>
      <c r="P95" s="279"/>
      <c r="Q95" s="279"/>
      <c r="R95" s="279"/>
      <c r="S95" s="279"/>
      <c r="T95" s="279"/>
      <c r="U95" s="279"/>
      <c r="V95" s="279"/>
      <c r="W95" s="279"/>
      <c r="X95" s="279"/>
      <c r="Y95" s="279"/>
      <c r="Z95" s="279"/>
      <c r="AA95" s="279"/>
      <c r="AB95" s="279"/>
      <c r="AC95" s="279"/>
      <c r="AD95" s="279"/>
      <c r="AE95" s="279"/>
      <c r="AF95" s="279"/>
      <c r="AG95" s="279"/>
      <c r="AH95" s="279"/>
      <c r="AI95" s="279"/>
      <c r="AJ95" s="279"/>
      <c r="AK95" s="279"/>
      <c r="AL95" s="279"/>
      <c r="AM95" s="279"/>
      <c r="AN95" s="279"/>
      <c r="AO95" s="279"/>
      <c r="AP95" s="279"/>
      <c r="AQ95" s="279"/>
      <c r="AR95" s="279"/>
      <c r="AS95" s="279"/>
      <c r="AT95" s="279"/>
    </row>
    <row r="96" spans="2:46" s="6" customFormat="1" x14ac:dyDescent="0.2">
      <c r="F96" s="279"/>
      <c r="G96" s="279"/>
      <c r="H96" s="279"/>
      <c r="I96" s="279"/>
      <c r="J96" s="282"/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279"/>
      <c r="AO96" s="279"/>
      <c r="AP96" s="279"/>
      <c r="AQ96" s="279"/>
      <c r="AR96" s="279"/>
      <c r="AS96" s="279"/>
      <c r="AT96" s="279"/>
    </row>
    <row r="97" spans="6:46" s="6" customFormat="1" x14ac:dyDescent="0.2">
      <c r="F97" s="279"/>
      <c r="G97" s="279"/>
      <c r="H97" s="279"/>
      <c r="I97" s="279"/>
      <c r="J97" s="282"/>
      <c r="K97" s="279"/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79"/>
      <c r="Y97" s="279"/>
      <c r="Z97" s="279"/>
      <c r="AA97" s="279"/>
      <c r="AB97" s="279"/>
      <c r="AC97" s="279"/>
      <c r="AD97" s="279"/>
      <c r="AE97" s="279"/>
      <c r="AF97" s="279"/>
      <c r="AG97" s="279"/>
      <c r="AH97" s="279"/>
      <c r="AI97" s="279"/>
      <c r="AJ97" s="279"/>
      <c r="AK97" s="279"/>
      <c r="AL97" s="279"/>
      <c r="AM97" s="279"/>
      <c r="AN97" s="279"/>
      <c r="AO97" s="279"/>
      <c r="AP97" s="279"/>
      <c r="AQ97" s="279"/>
      <c r="AR97" s="279"/>
      <c r="AS97" s="279"/>
      <c r="AT97" s="279"/>
    </row>
    <row r="98" spans="6:46" s="6" customFormat="1" x14ac:dyDescent="0.2">
      <c r="F98" s="279"/>
      <c r="G98" s="279"/>
      <c r="H98" s="279"/>
      <c r="I98" s="279"/>
      <c r="J98" s="282"/>
      <c r="K98" s="279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79"/>
      <c r="AK98" s="279"/>
      <c r="AL98" s="279"/>
      <c r="AM98" s="279"/>
      <c r="AN98" s="279"/>
      <c r="AO98" s="279"/>
      <c r="AP98" s="279"/>
      <c r="AQ98" s="279"/>
      <c r="AR98" s="279"/>
      <c r="AS98" s="279"/>
      <c r="AT98" s="279"/>
    </row>
    <row r="99" spans="6:46" s="6" customFormat="1" x14ac:dyDescent="0.2">
      <c r="F99" s="279"/>
      <c r="G99" s="279"/>
      <c r="H99" s="279"/>
      <c r="I99" s="279"/>
      <c r="J99" s="282"/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79"/>
      <c r="AE99" s="279"/>
      <c r="AF99" s="279"/>
      <c r="AG99" s="279"/>
      <c r="AH99" s="279"/>
      <c r="AI99" s="279"/>
      <c r="AJ99" s="279"/>
      <c r="AK99" s="279"/>
      <c r="AL99" s="279"/>
      <c r="AM99" s="279"/>
      <c r="AN99" s="279"/>
      <c r="AO99" s="279"/>
      <c r="AP99" s="279"/>
      <c r="AQ99" s="279"/>
      <c r="AR99" s="279"/>
      <c r="AS99" s="279"/>
      <c r="AT99" s="279"/>
    </row>
    <row r="100" spans="6:46" s="6" customFormat="1" x14ac:dyDescent="0.2">
      <c r="F100" s="279"/>
      <c r="G100" s="279"/>
      <c r="H100" s="279"/>
      <c r="I100" s="279"/>
      <c r="J100" s="282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279"/>
      <c r="Z100" s="279"/>
      <c r="AA100" s="279"/>
      <c r="AB100" s="279"/>
      <c r="AC100" s="279"/>
      <c r="AD100" s="279"/>
      <c r="AE100" s="279"/>
      <c r="AF100" s="279"/>
      <c r="AG100" s="279"/>
      <c r="AH100" s="279"/>
      <c r="AI100" s="279"/>
      <c r="AJ100" s="279"/>
      <c r="AK100" s="279"/>
      <c r="AL100" s="279"/>
      <c r="AM100" s="279"/>
      <c r="AN100" s="279"/>
      <c r="AO100" s="279"/>
      <c r="AP100" s="279"/>
      <c r="AQ100" s="279"/>
      <c r="AR100" s="279"/>
      <c r="AS100" s="279"/>
      <c r="AT100" s="279"/>
    </row>
    <row r="101" spans="6:46" s="6" customFormat="1" x14ac:dyDescent="0.2">
      <c r="F101" s="279"/>
      <c r="G101" s="279"/>
      <c r="H101" s="279"/>
      <c r="I101" s="279"/>
      <c r="J101" s="282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79"/>
      <c r="X101" s="279"/>
      <c r="Y101" s="279"/>
      <c r="Z101" s="279"/>
      <c r="AA101" s="279"/>
      <c r="AB101" s="279"/>
      <c r="AC101" s="279"/>
      <c r="AD101" s="279"/>
      <c r="AE101" s="279"/>
      <c r="AF101" s="279"/>
      <c r="AG101" s="279"/>
      <c r="AH101" s="279"/>
      <c r="AI101" s="279"/>
      <c r="AJ101" s="279"/>
      <c r="AK101" s="279"/>
      <c r="AL101" s="279"/>
      <c r="AM101" s="279"/>
      <c r="AN101" s="279"/>
      <c r="AO101" s="279"/>
      <c r="AP101" s="279"/>
      <c r="AQ101" s="279"/>
      <c r="AR101" s="279"/>
      <c r="AS101" s="279"/>
      <c r="AT101" s="279"/>
    </row>
    <row r="102" spans="6:46" s="6" customFormat="1" x14ac:dyDescent="0.2">
      <c r="F102" s="279"/>
      <c r="G102" s="279"/>
      <c r="H102" s="279"/>
      <c r="I102" s="279"/>
      <c r="J102" s="282"/>
      <c r="K102" s="279"/>
      <c r="L102" s="279"/>
      <c r="M102" s="279"/>
      <c r="N102" s="279"/>
      <c r="O102" s="279"/>
      <c r="P102" s="279"/>
      <c r="Q102" s="279"/>
      <c r="R102" s="279"/>
      <c r="S102" s="279"/>
      <c r="T102" s="279"/>
      <c r="U102" s="279"/>
      <c r="V102" s="279"/>
      <c r="W102" s="279"/>
      <c r="X102" s="279"/>
      <c r="Y102" s="279"/>
      <c r="Z102" s="279"/>
      <c r="AA102" s="279"/>
      <c r="AB102" s="279"/>
      <c r="AC102" s="279"/>
      <c r="AD102" s="279"/>
      <c r="AE102" s="279"/>
      <c r="AF102" s="279"/>
      <c r="AG102" s="279"/>
      <c r="AH102" s="279"/>
      <c r="AI102" s="279"/>
      <c r="AJ102" s="279"/>
      <c r="AK102" s="279"/>
      <c r="AL102" s="279"/>
      <c r="AM102" s="279"/>
      <c r="AN102" s="279"/>
      <c r="AO102" s="279"/>
      <c r="AP102" s="279"/>
      <c r="AQ102" s="279"/>
      <c r="AR102" s="279"/>
      <c r="AS102" s="279"/>
      <c r="AT102" s="279"/>
    </row>
    <row r="103" spans="6:46" s="6" customFormat="1" x14ac:dyDescent="0.2">
      <c r="F103" s="279"/>
      <c r="G103" s="279"/>
      <c r="H103" s="279"/>
      <c r="I103" s="279"/>
      <c r="J103" s="282"/>
      <c r="K103" s="279"/>
      <c r="L103" s="279"/>
      <c r="M103" s="279"/>
      <c r="N103" s="279"/>
      <c r="O103" s="279"/>
      <c r="P103" s="279"/>
      <c r="Q103" s="279"/>
      <c r="R103" s="279"/>
      <c r="S103" s="279"/>
      <c r="T103" s="279"/>
      <c r="U103" s="279"/>
      <c r="V103" s="279"/>
      <c r="W103" s="279"/>
      <c r="X103" s="279"/>
      <c r="Y103" s="279"/>
      <c r="Z103" s="279"/>
      <c r="AA103" s="279"/>
      <c r="AB103" s="279"/>
      <c r="AC103" s="279"/>
      <c r="AD103" s="279"/>
      <c r="AE103" s="279"/>
      <c r="AF103" s="279"/>
      <c r="AG103" s="279"/>
      <c r="AH103" s="279"/>
      <c r="AI103" s="279"/>
      <c r="AJ103" s="279"/>
      <c r="AK103" s="279"/>
      <c r="AL103" s="279"/>
      <c r="AM103" s="279"/>
      <c r="AN103" s="279"/>
      <c r="AO103" s="279"/>
      <c r="AP103" s="279"/>
      <c r="AQ103" s="279"/>
      <c r="AR103" s="279"/>
      <c r="AS103" s="279"/>
      <c r="AT103" s="279"/>
    </row>
    <row r="104" spans="6:46" s="6" customFormat="1" x14ac:dyDescent="0.2">
      <c r="F104" s="279"/>
      <c r="G104" s="279"/>
      <c r="H104" s="279"/>
      <c r="I104" s="279"/>
      <c r="J104" s="282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279"/>
      <c r="AD104" s="279"/>
      <c r="AE104" s="279"/>
      <c r="AF104" s="279"/>
      <c r="AG104" s="279"/>
      <c r="AH104" s="279"/>
      <c r="AI104" s="279"/>
      <c r="AJ104" s="279"/>
      <c r="AK104" s="279"/>
      <c r="AL104" s="279"/>
      <c r="AM104" s="279"/>
      <c r="AN104" s="279"/>
      <c r="AO104" s="279"/>
      <c r="AP104" s="279"/>
      <c r="AQ104" s="279"/>
      <c r="AR104" s="279"/>
      <c r="AS104" s="279"/>
      <c r="AT104" s="279"/>
    </row>
    <row r="105" spans="6:46" s="6" customFormat="1" x14ac:dyDescent="0.2">
      <c r="F105" s="279"/>
      <c r="G105" s="279"/>
      <c r="H105" s="279"/>
      <c r="I105" s="279"/>
      <c r="J105" s="282"/>
      <c r="K105" s="279"/>
      <c r="L105" s="279"/>
      <c r="M105" s="279"/>
      <c r="N105" s="279"/>
      <c r="O105" s="279"/>
      <c r="P105" s="279"/>
      <c r="Q105" s="279"/>
      <c r="R105" s="279"/>
      <c r="S105" s="279"/>
      <c r="T105" s="279"/>
      <c r="U105" s="279"/>
      <c r="V105" s="279"/>
      <c r="W105" s="279"/>
      <c r="X105" s="279"/>
      <c r="Y105" s="279"/>
      <c r="Z105" s="279"/>
      <c r="AA105" s="279"/>
      <c r="AB105" s="279"/>
      <c r="AC105" s="279"/>
      <c r="AD105" s="279"/>
      <c r="AE105" s="279"/>
      <c r="AF105" s="279"/>
      <c r="AG105" s="279"/>
      <c r="AH105" s="279"/>
      <c r="AI105" s="279"/>
      <c r="AJ105" s="279"/>
      <c r="AK105" s="279"/>
      <c r="AL105" s="279"/>
      <c r="AM105" s="279"/>
      <c r="AN105" s="279"/>
      <c r="AO105" s="279"/>
      <c r="AP105" s="279"/>
      <c r="AQ105" s="279"/>
      <c r="AR105" s="279"/>
      <c r="AS105" s="279"/>
      <c r="AT105" s="279"/>
    </row>
    <row r="106" spans="6:46" s="6" customFormat="1" x14ac:dyDescent="0.2">
      <c r="F106" s="279"/>
      <c r="G106" s="279"/>
      <c r="H106" s="279"/>
      <c r="I106" s="279"/>
      <c r="J106" s="282"/>
      <c r="K106" s="279"/>
      <c r="L106" s="279"/>
      <c r="M106" s="279"/>
      <c r="N106" s="279"/>
      <c r="O106" s="279"/>
      <c r="P106" s="279"/>
      <c r="Q106" s="279"/>
      <c r="R106" s="279"/>
      <c r="S106" s="279"/>
      <c r="T106" s="279"/>
      <c r="U106" s="279"/>
      <c r="V106" s="279"/>
      <c r="W106" s="279"/>
      <c r="X106" s="279"/>
      <c r="Y106" s="279"/>
      <c r="Z106" s="279"/>
      <c r="AA106" s="279"/>
      <c r="AB106" s="279"/>
      <c r="AC106" s="279"/>
      <c r="AD106" s="279"/>
      <c r="AE106" s="279"/>
      <c r="AF106" s="279"/>
      <c r="AG106" s="279"/>
      <c r="AH106" s="279"/>
      <c r="AI106" s="279"/>
      <c r="AJ106" s="279"/>
      <c r="AK106" s="279"/>
      <c r="AL106" s="279"/>
      <c r="AM106" s="279"/>
      <c r="AN106" s="279"/>
      <c r="AO106" s="279"/>
      <c r="AP106" s="279"/>
      <c r="AQ106" s="279"/>
      <c r="AR106" s="279"/>
      <c r="AS106" s="279"/>
      <c r="AT106" s="279"/>
    </row>
    <row r="107" spans="6:46" s="6" customFormat="1" x14ac:dyDescent="0.2">
      <c r="F107" s="279"/>
      <c r="G107" s="279"/>
      <c r="H107" s="279"/>
      <c r="I107" s="279"/>
      <c r="J107" s="282"/>
      <c r="K107" s="279"/>
      <c r="L107" s="279"/>
      <c r="M107" s="279"/>
      <c r="N107" s="279"/>
      <c r="O107" s="279"/>
      <c r="P107" s="279"/>
      <c r="Q107" s="279"/>
      <c r="R107" s="279"/>
      <c r="S107" s="279"/>
      <c r="T107" s="279"/>
      <c r="U107" s="279"/>
      <c r="V107" s="279"/>
      <c r="W107" s="279"/>
      <c r="X107" s="279"/>
      <c r="Y107" s="279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79"/>
      <c r="AK107" s="279"/>
      <c r="AL107" s="279"/>
      <c r="AM107" s="279"/>
      <c r="AN107" s="279"/>
      <c r="AO107" s="279"/>
      <c r="AP107" s="279"/>
      <c r="AQ107" s="279"/>
      <c r="AR107" s="279"/>
      <c r="AS107" s="279"/>
      <c r="AT107" s="279"/>
    </row>
    <row r="108" spans="6:46" s="6" customFormat="1" x14ac:dyDescent="0.2">
      <c r="F108" s="279"/>
      <c r="G108" s="279"/>
      <c r="H108" s="279"/>
      <c r="I108" s="279"/>
      <c r="J108" s="282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279"/>
      <c r="X108" s="279"/>
      <c r="Y108" s="279"/>
      <c r="Z108" s="279"/>
      <c r="AA108" s="279"/>
      <c r="AB108" s="279"/>
      <c r="AC108" s="279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</row>
    <row r="109" spans="6:46" s="6" customFormat="1" x14ac:dyDescent="0.2">
      <c r="F109" s="279"/>
      <c r="G109" s="279"/>
      <c r="H109" s="279"/>
      <c r="I109" s="279"/>
      <c r="J109" s="282"/>
      <c r="K109" s="279"/>
      <c r="L109" s="279"/>
      <c r="M109" s="279"/>
      <c r="N109" s="279"/>
      <c r="O109" s="279"/>
      <c r="P109" s="279"/>
      <c r="Q109" s="279"/>
      <c r="R109" s="279"/>
      <c r="S109" s="279"/>
      <c r="T109" s="279"/>
      <c r="U109" s="279"/>
      <c r="V109" s="279"/>
      <c r="W109" s="279"/>
      <c r="X109" s="279"/>
      <c r="Y109" s="279"/>
      <c r="Z109" s="279"/>
      <c r="AA109" s="279"/>
      <c r="AB109" s="279"/>
      <c r="AC109" s="279"/>
      <c r="AD109" s="279"/>
      <c r="AE109" s="279"/>
      <c r="AF109" s="279"/>
      <c r="AG109" s="279"/>
      <c r="AH109" s="279"/>
      <c r="AI109" s="279"/>
      <c r="AJ109" s="279"/>
      <c r="AK109" s="279"/>
      <c r="AL109" s="279"/>
      <c r="AM109" s="279"/>
      <c r="AN109" s="279"/>
      <c r="AO109" s="279"/>
      <c r="AP109" s="279"/>
      <c r="AQ109" s="279"/>
      <c r="AR109" s="279"/>
      <c r="AS109" s="279"/>
      <c r="AT109" s="279"/>
    </row>
    <row r="110" spans="6:46" s="6" customFormat="1" x14ac:dyDescent="0.2">
      <c r="F110" s="279"/>
      <c r="G110" s="279"/>
      <c r="H110" s="279"/>
      <c r="I110" s="279"/>
      <c r="J110" s="282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279"/>
      <c r="AA110" s="279"/>
      <c r="AB110" s="279"/>
      <c r="AC110" s="279"/>
      <c r="AD110" s="279"/>
      <c r="AE110" s="279"/>
      <c r="AF110" s="279"/>
      <c r="AG110" s="279"/>
      <c r="AH110" s="279"/>
      <c r="AI110" s="279"/>
      <c r="AJ110" s="279"/>
      <c r="AK110" s="279"/>
      <c r="AL110" s="279"/>
      <c r="AM110" s="279"/>
      <c r="AN110" s="279"/>
      <c r="AO110" s="279"/>
      <c r="AP110" s="279"/>
      <c r="AQ110" s="279"/>
      <c r="AR110" s="279"/>
      <c r="AS110" s="279"/>
      <c r="AT110" s="279"/>
    </row>
    <row r="111" spans="6:46" s="6" customFormat="1" x14ac:dyDescent="0.2">
      <c r="F111" s="279"/>
      <c r="G111" s="279"/>
      <c r="H111" s="279"/>
      <c r="I111" s="279"/>
      <c r="J111" s="282"/>
      <c r="K111" s="279"/>
      <c r="L111" s="279"/>
      <c r="M111" s="279"/>
      <c r="N111" s="279"/>
      <c r="O111" s="279"/>
      <c r="P111" s="279"/>
      <c r="Q111" s="279"/>
      <c r="R111" s="279"/>
      <c r="S111" s="279"/>
      <c r="T111" s="279"/>
      <c r="U111" s="279"/>
      <c r="V111" s="279"/>
      <c r="W111" s="279"/>
      <c r="X111" s="279"/>
      <c r="Y111" s="279"/>
      <c r="Z111" s="279"/>
      <c r="AA111" s="279"/>
      <c r="AB111" s="279"/>
      <c r="AC111" s="279"/>
      <c r="AD111" s="279"/>
      <c r="AE111" s="279"/>
      <c r="AF111" s="279"/>
      <c r="AG111" s="279"/>
      <c r="AH111" s="279"/>
      <c r="AI111" s="279"/>
      <c r="AJ111" s="279"/>
      <c r="AK111" s="279"/>
      <c r="AL111" s="279"/>
      <c r="AM111" s="279"/>
      <c r="AN111" s="279"/>
      <c r="AO111" s="279"/>
      <c r="AP111" s="279"/>
      <c r="AQ111" s="279"/>
      <c r="AR111" s="279"/>
      <c r="AS111" s="279"/>
      <c r="AT111" s="279"/>
    </row>
    <row r="112" spans="6:46" s="6" customFormat="1" x14ac:dyDescent="0.2">
      <c r="F112" s="279"/>
      <c r="G112" s="279"/>
      <c r="H112" s="279"/>
      <c r="I112" s="279"/>
      <c r="J112" s="282"/>
      <c r="K112" s="279"/>
      <c r="L112" s="279"/>
      <c r="M112" s="279"/>
      <c r="N112" s="279"/>
      <c r="O112" s="279"/>
      <c r="P112" s="279"/>
      <c r="Q112" s="279"/>
      <c r="R112" s="279"/>
      <c r="S112" s="279"/>
      <c r="T112" s="279"/>
      <c r="U112" s="279"/>
      <c r="V112" s="279"/>
      <c r="W112" s="279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  <c r="AJ112" s="279"/>
      <c r="AK112" s="279"/>
      <c r="AL112" s="279"/>
      <c r="AM112" s="279"/>
      <c r="AN112" s="279"/>
      <c r="AO112" s="279"/>
      <c r="AP112" s="279"/>
      <c r="AQ112" s="279"/>
      <c r="AR112" s="279"/>
      <c r="AS112" s="279"/>
      <c r="AT112" s="279"/>
    </row>
    <row r="113" spans="6:46" s="6" customFormat="1" x14ac:dyDescent="0.2">
      <c r="F113" s="279"/>
      <c r="G113" s="279"/>
      <c r="H113" s="279"/>
      <c r="I113" s="279"/>
      <c r="J113" s="282"/>
      <c r="K113" s="279"/>
      <c r="L113" s="279"/>
      <c r="M113" s="279"/>
      <c r="N113" s="279"/>
      <c r="O113" s="279"/>
      <c r="P113" s="279"/>
      <c r="Q113" s="279"/>
      <c r="R113" s="279"/>
      <c r="S113" s="279"/>
      <c r="T113" s="279"/>
      <c r="U113" s="279"/>
      <c r="V113" s="279"/>
      <c r="W113" s="279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  <c r="AJ113" s="279"/>
      <c r="AK113" s="279"/>
      <c r="AL113" s="279"/>
      <c r="AM113" s="279"/>
      <c r="AN113" s="279"/>
      <c r="AO113" s="279"/>
      <c r="AP113" s="279"/>
      <c r="AQ113" s="279"/>
      <c r="AR113" s="279"/>
      <c r="AS113" s="279"/>
      <c r="AT113" s="279"/>
    </row>
    <row r="114" spans="6:46" s="6" customFormat="1" x14ac:dyDescent="0.2">
      <c r="F114" s="279"/>
      <c r="G114" s="279"/>
      <c r="H114" s="279"/>
      <c r="I114" s="279"/>
      <c r="J114" s="282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  <c r="U114" s="279"/>
      <c r="V114" s="279"/>
      <c r="W114" s="279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  <c r="AJ114" s="279"/>
      <c r="AK114" s="279"/>
      <c r="AL114" s="279"/>
      <c r="AM114" s="279"/>
      <c r="AN114" s="279"/>
      <c r="AO114" s="279"/>
      <c r="AP114" s="279"/>
      <c r="AQ114" s="279"/>
      <c r="AR114" s="279"/>
      <c r="AS114" s="279"/>
      <c r="AT114" s="279"/>
    </row>
    <row r="115" spans="6:46" s="6" customFormat="1" x14ac:dyDescent="0.2">
      <c r="F115" s="279"/>
      <c r="G115" s="279"/>
      <c r="H115" s="279"/>
      <c r="I115" s="279"/>
      <c r="J115" s="282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  <c r="U115" s="279"/>
      <c r="V115" s="279"/>
      <c r="W115" s="279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  <c r="AJ115" s="279"/>
      <c r="AK115" s="279"/>
      <c r="AL115" s="279"/>
      <c r="AM115" s="279"/>
      <c r="AN115" s="279"/>
      <c r="AO115" s="279"/>
      <c r="AP115" s="279"/>
      <c r="AQ115" s="279"/>
      <c r="AR115" s="279"/>
      <c r="AS115" s="279"/>
      <c r="AT115" s="279"/>
    </row>
    <row r="116" spans="6:46" s="6" customFormat="1" x14ac:dyDescent="0.2">
      <c r="F116" s="279"/>
      <c r="G116" s="279"/>
      <c r="H116" s="279"/>
      <c r="I116" s="279"/>
      <c r="J116" s="282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  <c r="U116" s="279"/>
      <c r="V116" s="279"/>
      <c r="W116" s="279"/>
      <c r="X116" s="279"/>
      <c r="Y116" s="279"/>
      <c r="Z116" s="279"/>
      <c r="AA116" s="279"/>
      <c r="AB116" s="279"/>
      <c r="AC116" s="279"/>
      <c r="AD116" s="279"/>
      <c r="AE116" s="279"/>
      <c r="AF116" s="279"/>
      <c r="AG116" s="279"/>
      <c r="AH116" s="279"/>
      <c r="AI116" s="279"/>
      <c r="AJ116" s="279"/>
      <c r="AK116" s="279"/>
      <c r="AL116" s="279"/>
      <c r="AM116" s="279"/>
      <c r="AN116" s="279"/>
      <c r="AO116" s="279"/>
      <c r="AP116" s="279"/>
      <c r="AQ116" s="279"/>
      <c r="AR116" s="279"/>
      <c r="AS116" s="279"/>
      <c r="AT116" s="279"/>
    </row>
    <row r="117" spans="6:46" s="6" customFormat="1" x14ac:dyDescent="0.2">
      <c r="F117" s="279"/>
      <c r="G117" s="279"/>
      <c r="H117" s="279"/>
      <c r="I117" s="279"/>
      <c r="J117" s="282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79"/>
      <c r="W117" s="279"/>
      <c r="X117" s="279"/>
      <c r="Y117" s="279"/>
      <c r="Z117" s="279"/>
      <c r="AA117" s="279"/>
      <c r="AB117" s="279"/>
      <c r="AC117" s="279"/>
      <c r="AD117" s="279"/>
      <c r="AE117" s="279"/>
      <c r="AF117" s="279"/>
      <c r="AG117" s="279"/>
      <c r="AH117" s="279"/>
      <c r="AI117" s="279"/>
      <c r="AJ117" s="279"/>
      <c r="AK117" s="279"/>
      <c r="AL117" s="279"/>
      <c r="AM117" s="279"/>
      <c r="AN117" s="279"/>
      <c r="AO117" s="279"/>
      <c r="AP117" s="279"/>
      <c r="AQ117" s="279"/>
      <c r="AR117" s="279"/>
      <c r="AS117" s="279"/>
      <c r="AT117" s="279"/>
    </row>
    <row r="118" spans="6:46" s="6" customFormat="1" x14ac:dyDescent="0.2">
      <c r="F118" s="279"/>
      <c r="G118" s="279"/>
      <c r="H118" s="279"/>
      <c r="I118" s="279"/>
      <c r="J118" s="282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79"/>
      <c r="W118" s="279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  <c r="AJ118" s="279"/>
      <c r="AK118" s="279"/>
      <c r="AL118" s="279"/>
      <c r="AM118" s="279"/>
      <c r="AN118" s="279"/>
      <c r="AO118" s="279"/>
      <c r="AP118" s="279"/>
      <c r="AQ118" s="279"/>
      <c r="AR118" s="279"/>
      <c r="AS118" s="279"/>
      <c r="AT118" s="279"/>
    </row>
    <row r="119" spans="6:46" s="6" customFormat="1" x14ac:dyDescent="0.2">
      <c r="F119" s="279"/>
      <c r="G119" s="279"/>
      <c r="H119" s="279"/>
      <c r="I119" s="279"/>
      <c r="J119" s="282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79"/>
      <c r="W119" s="279"/>
      <c r="X119" s="279"/>
      <c r="Y119" s="279"/>
      <c r="Z119" s="279"/>
      <c r="AA119" s="279"/>
      <c r="AB119" s="279"/>
      <c r="AC119" s="279"/>
      <c r="AD119" s="279"/>
      <c r="AE119" s="279"/>
      <c r="AF119" s="279"/>
      <c r="AG119" s="279"/>
      <c r="AH119" s="279"/>
      <c r="AI119" s="279"/>
      <c r="AJ119" s="279"/>
      <c r="AK119" s="279"/>
      <c r="AL119" s="279"/>
      <c r="AM119" s="279"/>
      <c r="AN119" s="279"/>
      <c r="AO119" s="279"/>
      <c r="AP119" s="279"/>
      <c r="AQ119" s="279"/>
      <c r="AR119" s="279"/>
      <c r="AS119" s="279"/>
      <c r="AT119" s="279"/>
    </row>
    <row r="120" spans="6:46" s="6" customFormat="1" x14ac:dyDescent="0.2">
      <c r="F120" s="279"/>
      <c r="G120" s="279"/>
      <c r="H120" s="279"/>
      <c r="I120" s="279"/>
      <c r="J120" s="282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79"/>
      <c r="V120" s="279"/>
      <c r="W120" s="279"/>
      <c r="X120" s="279"/>
      <c r="Y120" s="279"/>
      <c r="Z120" s="279"/>
      <c r="AA120" s="279"/>
      <c r="AB120" s="279"/>
      <c r="AC120" s="279"/>
      <c r="AD120" s="279"/>
      <c r="AE120" s="279"/>
      <c r="AF120" s="279"/>
      <c r="AG120" s="279"/>
      <c r="AH120" s="279"/>
      <c r="AI120" s="279"/>
      <c r="AJ120" s="279"/>
      <c r="AK120" s="279"/>
      <c r="AL120" s="279"/>
      <c r="AM120" s="279"/>
      <c r="AN120" s="279"/>
      <c r="AO120" s="279"/>
      <c r="AP120" s="279"/>
      <c r="AQ120" s="279"/>
      <c r="AR120" s="279"/>
      <c r="AS120" s="279"/>
      <c r="AT120" s="279"/>
    </row>
    <row r="121" spans="6:46" s="6" customFormat="1" x14ac:dyDescent="0.2">
      <c r="F121" s="279"/>
      <c r="G121" s="279"/>
      <c r="H121" s="279"/>
      <c r="I121" s="279"/>
      <c r="J121" s="282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79"/>
      <c r="X121" s="279"/>
      <c r="Y121" s="279"/>
      <c r="Z121" s="279"/>
      <c r="AA121" s="279"/>
      <c r="AB121" s="279"/>
      <c r="AC121" s="279"/>
      <c r="AD121" s="279"/>
      <c r="AE121" s="279"/>
      <c r="AF121" s="279"/>
      <c r="AG121" s="279"/>
      <c r="AH121" s="279"/>
      <c r="AI121" s="279"/>
      <c r="AJ121" s="279"/>
      <c r="AK121" s="279"/>
      <c r="AL121" s="279"/>
      <c r="AM121" s="279"/>
      <c r="AN121" s="279"/>
      <c r="AO121" s="279"/>
      <c r="AP121" s="279"/>
      <c r="AQ121" s="279"/>
      <c r="AR121" s="279"/>
      <c r="AS121" s="279"/>
      <c r="AT121" s="279"/>
    </row>
    <row r="122" spans="6:46" s="6" customFormat="1" x14ac:dyDescent="0.2">
      <c r="F122" s="279"/>
      <c r="G122" s="279"/>
      <c r="H122" s="279"/>
      <c r="I122" s="279"/>
      <c r="J122" s="282"/>
      <c r="K122" s="279"/>
      <c r="L122" s="279"/>
      <c r="M122" s="279"/>
      <c r="N122" s="279"/>
      <c r="O122" s="279"/>
      <c r="P122" s="279"/>
      <c r="Q122" s="279"/>
      <c r="R122" s="279"/>
      <c r="S122" s="279"/>
      <c r="T122" s="279"/>
      <c r="U122" s="279"/>
      <c r="V122" s="279"/>
      <c r="W122" s="279"/>
      <c r="X122" s="279"/>
      <c r="Y122" s="279"/>
      <c r="Z122" s="279"/>
      <c r="AA122" s="279"/>
      <c r="AB122" s="279"/>
      <c r="AC122" s="279"/>
      <c r="AD122" s="279"/>
      <c r="AE122" s="279"/>
      <c r="AF122" s="279"/>
      <c r="AG122" s="279"/>
      <c r="AH122" s="279"/>
      <c r="AI122" s="279"/>
      <c r="AJ122" s="279"/>
      <c r="AK122" s="279"/>
      <c r="AL122" s="279"/>
      <c r="AM122" s="279"/>
      <c r="AN122" s="279"/>
      <c r="AO122" s="279"/>
      <c r="AP122" s="279"/>
      <c r="AQ122" s="279"/>
      <c r="AR122" s="279"/>
      <c r="AS122" s="279"/>
      <c r="AT122" s="279"/>
    </row>
    <row r="123" spans="6:46" s="6" customFormat="1" x14ac:dyDescent="0.2">
      <c r="F123" s="279"/>
      <c r="G123" s="279"/>
      <c r="H123" s="279"/>
      <c r="I123" s="279"/>
      <c r="J123" s="282"/>
      <c r="K123" s="279"/>
      <c r="L123" s="279"/>
      <c r="M123" s="279"/>
      <c r="N123" s="279"/>
      <c r="O123" s="279"/>
      <c r="P123" s="279"/>
      <c r="Q123" s="279"/>
      <c r="R123" s="279"/>
      <c r="S123" s="279"/>
      <c r="T123" s="279"/>
      <c r="U123" s="279"/>
      <c r="V123" s="279"/>
      <c r="W123" s="279"/>
      <c r="X123" s="279"/>
      <c r="Y123" s="279"/>
      <c r="Z123" s="279"/>
      <c r="AA123" s="279"/>
      <c r="AB123" s="279"/>
      <c r="AC123" s="279"/>
      <c r="AD123" s="279"/>
      <c r="AE123" s="279"/>
      <c r="AF123" s="279"/>
      <c r="AG123" s="279"/>
      <c r="AH123" s="279"/>
      <c r="AI123" s="279"/>
      <c r="AJ123" s="279"/>
      <c r="AK123" s="279"/>
      <c r="AL123" s="279"/>
      <c r="AM123" s="279"/>
      <c r="AN123" s="279"/>
      <c r="AO123" s="279"/>
      <c r="AP123" s="279"/>
      <c r="AQ123" s="279"/>
      <c r="AR123" s="279"/>
      <c r="AS123" s="279"/>
      <c r="AT123" s="279"/>
    </row>
    <row r="124" spans="6:46" s="6" customFormat="1" x14ac:dyDescent="0.2">
      <c r="F124" s="279"/>
      <c r="G124" s="279"/>
      <c r="H124" s="279"/>
      <c r="I124" s="279"/>
      <c r="J124" s="282"/>
      <c r="K124" s="279"/>
      <c r="L124" s="279"/>
      <c r="M124" s="279"/>
      <c r="N124" s="279"/>
      <c r="O124" s="279"/>
      <c r="P124" s="279"/>
      <c r="Q124" s="279"/>
      <c r="R124" s="279"/>
      <c r="S124" s="279"/>
      <c r="T124" s="279"/>
      <c r="U124" s="279"/>
      <c r="V124" s="279"/>
      <c r="W124" s="279"/>
      <c r="X124" s="279"/>
      <c r="Y124" s="279"/>
      <c r="Z124" s="279"/>
      <c r="AA124" s="279"/>
      <c r="AB124" s="279"/>
      <c r="AC124" s="279"/>
      <c r="AD124" s="279"/>
      <c r="AE124" s="279"/>
      <c r="AF124" s="279"/>
      <c r="AG124" s="279"/>
      <c r="AH124" s="279"/>
      <c r="AI124" s="279"/>
      <c r="AJ124" s="279"/>
      <c r="AK124" s="279"/>
      <c r="AL124" s="279"/>
      <c r="AM124" s="279"/>
      <c r="AN124" s="279"/>
      <c r="AO124" s="279"/>
      <c r="AP124" s="279"/>
      <c r="AQ124" s="279"/>
      <c r="AR124" s="279"/>
      <c r="AS124" s="279"/>
      <c r="AT124" s="279"/>
    </row>
    <row r="125" spans="6:46" s="6" customFormat="1" x14ac:dyDescent="0.2">
      <c r="F125" s="279"/>
      <c r="G125" s="279"/>
      <c r="H125" s="279"/>
      <c r="I125" s="279"/>
      <c r="J125" s="282"/>
      <c r="K125" s="279"/>
      <c r="L125" s="279"/>
      <c r="M125" s="279"/>
      <c r="N125" s="279"/>
      <c r="O125" s="279"/>
      <c r="P125" s="279"/>
      <c r="Q125" s="279"/>
      <c r="R125" s="279"/>
      <c r="S125" s="279"/>
      <c r="T125" s="279"/>
      <c r="U125" s="279"/>
      <c r="V125" s="279"/>
      <c r="W125" s="279"/>
      <c r="X125" s="279"/>
      <c r="Y125" s="279"/>
      <c r="Z125" s="279"/>
      <c r="AA125" s="279"/>
      <c r="AB125" s="279"/>
      <c r="AC125" s="279"/>
      <c r="AD125" s="279"/>
      <c r="AE125" s="279"/>
      <c r="AF125" s="279"/>
      <c r="AG125" s="279"/>
      <c r="AH125" s="279"/>
      <c r="AI125" s="279"/>
      <c r="AJ125" s="279"/>
      <c r="AK125" s="279"/>
      <c r="AL125" s="279"/>
      <c r="AM125" s="279"/>
      <c r="AN125" s="279"/>
      <c r="AO125" s="279"/>
      <c r="AP125" s="279"/>
      <c r="AQ125" s="279"/>
      <c r="AR125" s="279"/>
      <c r="AS125" s="279"/>
      <c r="AT125" s="279"/>
    </row>
    <row r="126" spans="6:46" s="6" customFormat="1" x14ac:dyDescent="0.2">
      <c r="F126" s="279"/>
      <c r="G126" s="279"/>
      <c r="H126" s="279"/>
      <c r="I126" s="279"/>
      <c r="J126" s="282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279"/>
      <c r="X126" s="279"/>
      <c r="Y126" s="279"/>
      <c r="Z126" s="279"/>
      <c r="AA126" s="279"/>
      <c r="AB126" s="279"/>
      <c r="AC126" s="279"/>
      <c r="AD126" s="279"/>
      <c r="AE126" s="279"/>
      <c r="AF126" s="279"/>
      <c r="AG126" s="279"/>
      <c r="AH126" s="279"/>
      <c r="AI126" s="279"/>
      <c r="AJ126" s="279"/>
      <c r="AK126" s="279"/>
      <c r="AL126" s="279"/>
      <c r="AM126" s="279"/>
      <c r="AN126" s="279"/>
      <c r="AO126" s="279"/>
      <c r="AP126" s="279"/>
      <c r="AQ126" s="279"/>
      <c r="AR126" s="279"/>
      <c r="AS126" s="279"/>
      <c r="AT126" s="279"/>
    </row>
    <row r="127" spans="6:46" s="6" customFormat="1" x14ac:dyDescent="0.2">
      <c r="F127" s="279"/>
      <c r="G127" s="279"/>
      <c r="H127" s="279"/>
      <c r="I127" s="279"/>
      <c r="J127" s="282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79"/>
      <c r="V127" s="279"/>
      <c r="W127" s="279"/>
      <c r="X127" s="279"/>
      <c r="Y127" s="279"/>
      <c r="Z127" s="279"/>
      <c r="AA127" s="279"/>
      <c r="AB127" s="279"/>
      <c r="AC127" s="279"/>
      <c r="AD127" s="279"/>
      <c r="AE127" s="279"/>
      <c r="AF127" s="279"/>
      <c r="AG127" s="279"/>
      <c r="AH127" s="279"/>
      <c r="AI127" s="279"/>
      <c r="AJ127" s="279"/>
      <c r="AK127" s="279"/>
      <c r="AL127" s="279"/>
      <c r="AM127" s="279"/>
      <c r="AN127" s="279"/>
      <c r="AO127" s="279"/>
      <c r="AP127" s="279"/>
      <c r="AQ127" s="279"/>
      <c r="AR127" s="279"/>
      <c r="AS127" s="279"/>
      <c r="AT127" s="279"/>
    </row>
    <row r="128" spans="6:46" s="6" customFormat="1" x14ac:dyDescent="0.2">
      <c r="F128" s="279"/>
      <c r="G128" s="279"/>
      <c r="H128" s="279"/>
      <c r="I128" s="279"/>
      <c r="J128" s="282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79"/>
      <c r="AJ128" s="279"/>
      <c r="AK128" s="279"/>
      <c r="AL128" s="279"/>
      <c r="AM128" s="279"/>
      <c r="AN128" s="279"/>
      <c r="AO128" s="279"/>
      <c r="AP128" s="279"/>
      <c r="AQ128" s="279"/>
      <c r="AR128" s="279"/>
      <c r="AS128" s="279"/>
      <c r="AT128" s="279"/>
    </row>
    <row r="130" spans="2:46" ht="28" x14ac:dyDescent="0.35">
      <c r="B130" s="5" t="str">
        <f>'Cover Page'!$B$6</f>
        <v>Solea</v>
      </c>
    </row>
    <row r="131" spans="2:46" x14ac:dyDescent="0.2">
      <c r="B131" s="6" t="str">
        <f>UPPER("currently running: "&amp;CHOOSE(Scenarios!$C$8,Scenarios!$B$15,Scenarios!$B$16,Scenarios!$B$17)&amp;" Scenario")</f>
        <v>CURRENTLY RUNNING: BASE CASE SCENARIO</v>
      </c>
    </row>
    <row r="132" spans="2:46" x14ac:dyDescent="0.2">
      <c r="B132" s="6" t="s">
        <v>366</v>
      </c>
    </row>
    <row r="134" spans="2:46" x14ac:dyDescent="0.2">
      <c r="B134" s="9" t="str">
        <f>B37</f>
        <v>Frequency</v>
      </c>
      <c r="C134" s="9" t="str">
        <f>C37</f>
        <v xml:space="preserve">Monthly 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</row>
    <row r="135" spans="2:46" x14ac:dyDescent="0.2">
      <c r="B135" s="10" t="str">
        <f>B38</f>
        <v>Period</v>
      </c>
      <c r="C135" s="10"/>
      <c r="D135" s="10"/>
      <c r="E135" s="10"/>
      <c r="F135" s="11">
        <f t="shared" ref="F135:AT135" si="83">F38</f>
        <v>45900</v>
      </c>
      <c r="G135" s="11">
        <f t="shared" si="83"/>
        <v>45930</v>
      </c>
      <c r="H135" s="11">
        <f t="shared" si="83"/>
        <v>45961</v>
      </c>
      <c r="I135" s="11">
        <f t="shared" si="83"/>
        <v>45991</v>
      </c>
      <c r="J135" s="11">
        <f t="shared" si="83"/>
        <v>46022</v>
      </c>
      <c r="K135" s="11">
        <f t="shared" si="83"/>
        <v>46053</v>
      </c>
      <c r="L135" s="11">
        <f t="shared" si="83"/>
        <v>46081</v>
      </c>
      <c r="M135" s="11">
        <f t="shared" si="83"/>
        <v>46112</v>
      </c>
      <c r="N135" s="11">
        <f t="shared" si="83"/>
        <v>46142</v>
      </c>
      <c r="O135" s="11">
        <f t="shared" si="83"/>
        <v>46173</v>
      </c>
      <c r="P135" s="11">
        <f t="shared" si="83"/>
        <v>46203</v>
      </c>
      <c r="Q135" s="11">
        <f t="shared" si="83"/>
        <v>46234</v>
      </c>
      <c r="R135" s="11">
        <f t="shared" si="83"/>
        <v>46265</v>
      </c>
      <c r="S135" s="11">
        <f t="shared" si="83"/>
        <v>46295</v>
      </c>
      <c r="T135" s="11">
        <f t="shared" si="83"/>
        <v>46326</v>
      </c>
      <c r="U135" s="11">
        <f t="shared" si="83"/>
        <v>46356</v>
      </c>
      <c r="V135" s="11">
        <f t="shared" si="83"/>
        <v>46387</v>
      </c>
      <c r="W135" s="11">
        <f t="shared" si="83"/>
        <v>46418</v>
      </c>
      <c r="X135" s="11">
        <f t="shared" si="83"/>
        <v>46446</v>
      </c>
      <c r="Y135" s="11">
        <f t="shared" si="83"/>
        <v>46477</v>
      </c>
      <c r="Z135" s="11">
        <f t="shared" si="83"/>
        <v>46507</v>
      </c>
      <c r="AA135" s="11">
        <f t="shared" si="83"/>
        <v>46538</v>
      </c>
      <c r="AB135" s="11">
        <f t="shared" si="83"/>
        <v>46568</v>
      </c>
      <c r="AC135" s="11">
        <f t="shared" si="83"/>
        <v>46599</v>
      </c>
      <c r="AD135" s="11">
        <f t="shared" si="83"/>
        <v>46630</v>
      </c>
      <c r="AE135" s="11">
        <f t="shared" si="83"/>
        <v>46660</v>
      </c>
      <c r="AF135" s="11">
        <f t="shared" si="83"/>
        <v>46691</v>
      </c>
      <c r="AG135" s="11">
        <f t="shared" si="83"/>
        <v>46721</v>
      </c>
      <c r="AH135" s="11">
        <f t="shared" si="83"/>
        <v>46752</v>
      </c>
      <c r="AI135" s="11">
        <f t="shared" si="83"/>
        <v>46783</v>
      </c>
      <c r="AJ135" s="11">
        <f t="shared" si="83"/>
        <v>46812</v>
      </c>
      <c r="AK135" s="11">
        <f t="shared" si="83"/>
        <v>46843</v>
      </c>
      <c r="AL135" s="11">
        <f t="shared" si="83"/>
        <v>46873</v>
      </c>
      <c r="AM135" s="11">
        <f t="shared" si="83"/>
        <v>46904</v>
      </c>
      <c r="AN135" s="11">
        <f t="shared" si="83"/>
        <v>46934</v>
      </c>
      <c r="AO135" s="11">
        <f t="shared" si="83"/>
        <v>46965</v>
      </c>
      <c r="AP135" s="11">
        <f t="shared" si="83"/>
        <v>46996</v>
      </c>
      <c r="AQ135" s="11">
        <f t="shared" si="83"/>
        <v>47026</v>
      </c>
      <c r="AR135" s="11">
        <f t="shared" si="83"/>
        <v>47057</v>
      </c>
      <c r="AS135" s="11">
        <f t="shared" si="83"/>
        <v>47087</v>
      </c>
      <c r="AT135" s="11">
        <f t="shared" si="83"/>
        <v>47118</v>
      </c>
    </row>
    <row r="137" spans="2:46" x14ac:dyDescent="0.2">
      <c r="B137" s="6" t="s">
        <v>211</v>
      </c>
    </row>
    <row r="138" spans="2:46" x14ac:dyDescent="0.2">
      <c r="B138" s="139" t="s">
        <v>312</v>
      </c>
      <c r="C138" t="s">
        <v>41</v>
      </c>
      <c r="G138">
        <f>'Model '!J151</f>
        <v>1E-4</v>
      </c>
    </row>
    <row r="139" spans="2:46" x14ac:dyDescent="0.2">
      <c r="B139" s="139" t="s">
        <v>212</v>
      </c>
      <c r="C139" t="s">
        <v>41</v>
      </c>
      <c r="G139">
        <f>'Model '!J152</f>
        <v>1403.5087719298249</v>
      </c>
      <c r="H139">
        <f>G139</f>
        <v>1403.5087719298249</v>
      </c>
      <c r="I139">
        <f t="shared" ref="I139:AT139" si="84">H139</f>
        <v>1403.5087719298249</v>
      </c>
      <c r="J139">
        <f t="shared" si="84"/>
        <v>1403.5087719298249</v>
      </c>
      <c r="K139">
        <f t="shared" si="84"/>
        <v>1403.5087719298249</v>
      </c>
      <c r="L139">
        <f t="shared" si="84"/>
        <v>1403.5087719298249</v>
      </c>
      <c r="M139">
        <f t="shared" si="84"/>
        <v>1403.5087719298249</v>
      </c>
      <c r="N139">
        <f t="shared" si="84"/>
        <v>1403.5087719298249</v>
      </c>
      <c r="O139">
        <f t="shared" si="84"/>
        <v>1403.5087719298249</v>
      </c>
      <c r="P139">
        <f t="shared" si="84"/>
        <v>1403.5087719298249</v>
      </c>
      <c r="Q139">
        <f t="shared" si="84"/>
        <v>1403.5087719298249</v>
      </c>
      <c r="R139">
        <f t="shared" si="84"/>
        <v>1403.5087719298249</v>
      </c>
      <c r="S139">
        <f t="shared" si="84"/>
        <v>1403.5087719298249</v>
      </c>
      <c r="T139">
        <f t="shared" si="84"/>
        <v>1403.5087719298249</v>
      </c>
      <c r="U139">
        <f t="shared" si="84"/>
        <v>1403.5087719298249</v>
      </c>
      <c r="V139">
        <f t="shared" si="84"/>
        <v>1403.5087719298249</v>
      </c>
      <c r="W139">
        <f t="shared" si="84"/>
        <v>1403.5087719298249</v>
      </c>
      <c r="X139">
        <f t="shared" si="84"/>
        <v>1403.5087719298249</v>
      </c>
      <c r="Y139">
        <f t="shared" si="84"/>
        <v>1403.5087719298249</v>
      </c>
      <c r="Z139">
        <f t="shared" si="84"/>
        <v>1403.5087719298249</v>
      </c>
      <c r="AA139">
        <f t="shared" si="84"/>
        <v>1403.5087719298249</v>
      </c>
      <c r="AB139">
        <f t="shared" si="84"/>
        <v>1403.5087719298249</v>
      </c>
      <c r="AC139">
        <f t="shared" si="84"/>
        <v>1403.5087719298249</v>
      </c>
      <c r="AD139">
        <f t="shared" si="84"/>
        <v>1403.5087719298249</v>
      </c>
      <c r="AE139">
        <f t="shared" si="84"/>
        <v>1403.5087719298249</v>
      </c>
      <c r="AF139">
        <f t="shared" si="84"/>
        <v>1403.5087719298249</v>
      </c>
      <c r="AG139">
        <f t="shared" si="84"/>
        <v>1403.5087719298249</v>
      </c>
      <c r="AH139">
        <f t="shared" si="84"/>
        <v>1403.5087719298249</v>
      </c>
      <c r="AI139">
        <f t="shared" si="84"/>
        <v>1403.5087719298249</v>
      </c>
      <c r="AJ139">
        <f t="shared" si="84"/>
        <v>1403.5087719298249</v>
      </c>
      <c r="AK139">
        <f t="shared" si="84"/>
        <v>1403.5087719298249</v>
      </c>
      <c r="AL139">
        <f t="shared" si="84"/>
        <v>1403.5087719298249</v>
      </c>
      <c r="AM139">
        <f t="shared" si="84"/>
        <v>1403.5087719298249</v>
      </c>
      <c r="AN139">
        <f t="shared" si="84"/>
        <v>1403.5087719298249</v>
      </c>
      <c r="AO139">
        <f t="shared" si="84"/>
        <v>1403.5087719298249</v>
      </c>
      <c r="AP139">
        <f t="shared" si="84"/>
        <v>1403.5087719298249</v>
      </c>
      <c r="AQ139">
        <f t="shared" si="84"/>
        <v>1403.5087719298249</v>
      </c>
      <c r="AR139">
        <f t="shared" si="84"/>
        <v>1403.5087719298249</v>
      </c>
      <c r="AS139">
        <f t="shared" si="84"/>
        <v>1403.5087719298249</v>
      </c>
      <c r="AT139">
        <f t="shared" si="84"/>
        <v>1403.5087719298249</v>
      </c>
    </row>
    <row r="140" spans="2:46" x14ac:dyDescent="0.2">
      <c r="B140" s="139" t="s">
        <v>213</v>
      </c>
      <c r="C140" t="s">
        <v>41</v>
      </c>
      <c r="G140">
        <f>'Model '!J153</f>
        <v>0</v>
      </c>
      <c r="H140">
        <f>G140</f>
        <v>0</v>
      </c>
      <c r="I140">
        <f t="shared" ref="I140:AT140" si="85">H140</f>
        <v>0</v>
      </c>
      <c r="J140">
        <f t="shared" si="85"/>
        <v>0</v>
      </c>
      <c r="K140">
        <f t="shared" si="85"/>
        <v>0</v>
      </c>
      <c r="L140">
        <f t="shared" si="85"/>
        <v>0</v>
      </c>
      <c r="M140">
        <f t="shared" si="85"/>
        <v>0</v>
      </c>
      <c r="N140">
        <f t="shared" si="85"/>
        <v>0</v>
      </c>
      <c r="O140">
        <f t="shared" si="85"/>
        <v>0</v>
      </c>
      <c r="P140">
        <f t="shared" si="85"/>
        <v>0</v>
      </c>
      <c r="Q140">
        <f t="shared" si="85"/>
        <v>0</v>
      </c>
      <c r="R140">
        <f t="shared" si="85"/>
        <v>0</v>
      </c>
      <c r="S140">
        <f t="shared" si="85"/>
        <v>0</v>
      </c>
      <c r="T140">
        <f t="shared" si="85"/>
        <v>0</v>
      </c>
      <c r="U140">
        <f t="shared" si="85"/>
        <v>0</v>
      </c>
      <c r="V140">
        <f t="shared" si="85"/>
        <v>0</v>
      </c>
      <c r="W140">
        <f t="shared" si="85"/>
        <v>0</v>
      </c>
      <c r="X140">
        <f t="shared" si="85"/>
        <v>0</v>
      </c>
      <c r="Y140">
        <f t="shared" si="85"/>
        <v>0</v>
      </c>
      <c r="Z140">
        <f t="shared" si="85"/>
        <v>0</v>
      </c>
      <c r="AA140">
        <f t="shared" si="85"/>
        <v>0</v>
      </c>
      <c r="AB140">
        <f t="shared" si="85"/>
        <v>0</v>
      </c>
      <c r="AC140">
        <f t="shared" si="85"/>
        <v>0</v>
      </c>
      <c r="AD140">
        <f t="shared" si="85"/>
        <v>0</v>
      </c>
      <c r="AE140">
        <f t="shared" si="85"/>
        <v>0</v>
      </c>
      <c r="AF140">
        <f t="shared" si="85"/>
        <v>0</v>
      </c>
      <c r="AG140">
        <f t="shared" si="85"/>
        <v>0</v>
      </c>
      <c r="AH140">
        <f t="shared" si="85"/>
        <v>0</v>
      </c>
      <c r="AI140">
        <f t="shared" si="85"/>
        <v>0</v>
      </c>
      <c r="AJ140">
        <f t="shared" si="85"/>
        <v>0</v>
      </c>
      <c r="AK140">
        <f t="shared" si="85"/>
        <v>0</v>
      </c>
      <c r="AL140">
        <f t="shared" si="85"/>
        <v>0</v>
      </c>
      <c r="AM140">
        <f t="shared" si="85"/>
        <v>0</v>
      </c>
      <c r="AN140">
        <f t="shared" si="85"/>
        <v>0</v>
      </c>
      <c r="AO140">
        <f t="shared" si="85"/>
        <v>0</v>
      </c>
      <c r="AP140">
        <f t="shared" si="85"/>
        <v>0</v>
      </c>
      <c r="AQ140">
        <f t="shared" si="85"/>
        <v>0</v>
      </c>
      <c r="AR140">
        <f t="shared" si="85"/>
        <v>0</v>
      </c>
      <c r="AS140">
        <f t="shared" si="85"/>
        <v>0</v>
      </c>
      <c r="AT140">
        <f t="shared" si="85"/>
        <v>0</v>
      </c>
    </row>
    <row r="141" spans="2:46" x14ac:dyDescent="0.2">
      <c r="B141" s="141" t="s">
        <v>214</v>
      </c>
      <c r="C141" s="6" t="s">
        <v>48</v>
      </c>
      <c r="G141">
        <f>'Model '!J154</f>
        <v>1403.5087719298249</v>
      </c>
      <c r="H141">
        <f>SUM(H139:H140)</f>
        <v>1403.5087719298249</v>
      </c>
      <c r="I141">
        <f t="shared" ref="I141:AT141" si="86">SUM(I139:I140)</f>
        <v>1403.5087719298249</v>
      </c>
      <c r="J141">
        <f t="shared" si="86"/>
        <v>1403.5087719298249</v>
      </c>
      <c r="K141">
        <f t="shared" si="86"/>
        <v>1403.5087719298249</v>
      </c>
      <c r="L141">
        <f t="shared" si="86"/>
        <v>1403.5087719298249</v>
      </c>
      <c r="M141">
        <f t="shared" si="86"/>
        <v>1403.5087719298249</v>
      </c>
      <c r="N141">
        <f t="shared" si="86"/>
        <v>1403.5087719298249</v>
      </c>
      <c r="O141">
        <f t="shared" si="86"/>
        <v>1403.5087719298249</v>
      </c>
      <c r="P141">
        <f t="shared" si="86"/>
        <v>1403.5087719298249</v>
      </c>
      <c r="Q141">
        <f t="shared" si="86"/>
        <v>1403.5087719298249</v>
      </c>
      <c r="R141">
        <f t="shared" si="86"/>
        <v>1403.5087719298249</v>
      </c>
      <c r="S141">
        <f t="shared" si="86"/>
        <v>1403.5087719298249</v>
      </c>
      <c r="T141">
        <f t="shared" si="86"/>
        <v>1403.5087719298249</v>
      </c>
      <c r="U141">
        <f t="shared" si="86"/>
        <v>1403.5087719298249</v>
      </c>
      <c r="V141">
        <f t="shared" si="86"/>
        <v>1403.5087719298249</v>
      </c>
      <c r="W141">
        <f t="shared" si="86"/>
        <v>1403.5087719298249</v>
      </c>
      <c r="X141">
        <f t="shared" si="86"/>
        <v>1403.5087719298249</v>
      </c>
      <c r="Y141">
        <f t="shared" si="86"/>
        <v>1403.5087719298249</v>
      </c>
      <c r="Z141">
        <f t="shared" si="86"/>
        <v>1403.5087719298249</v>
      </c>
      <c r="AA141">
        <f t="shared" si="86"/>
        <v>1403.5087719298249</v>
      </c>
      <c r="AB141">
        <f t="shared" si="86"/>
        <v>1403.5087719298249</v>
      </c>
      <c r="AC141">
        <f t="shared" si="86"/>
        <v>1403.5087719298249</v>
      </c>
      <c r="AD141">
        <f t="shared" si="86"/>
        <v>1403.5087719298249</v>
      </c>
      <c r="AE141">
        <f t="shared" si="86"/>
        <v>1403.5087719298249</v>
      </c>
      <c r="AF141">
        <f t="shared" si="86"/>
        <v>1403.5087719298249</v>
      </c>
      <c r="AG141">
        <f t="shared" si="86"/>
        <v>1403.5087719298249</v>
      </c>
      <c r="AH141">
        <f t="shared" si="86"/>
        <v>1403.5087719298249</v>
      </c>
      <c r="AI141">
        <f t="shared" si="86"/>
        <v>1403.5087719298249</v>
      </c>
      <c r="AJ141">
        <f t="shared" si="86"/>
        <v>1403.5087719298249</v>
      </c>
      <c r="AK141">
        <f t="shared" si="86"/>
        <v>1403.5087719298249</v>
      </c>
      <c r="AL141">
        <f t="shared" si="86"/>
        <v>1403.5087719298249</v>
      </c>
      <c r="AM141">
        <f t="shared" si="86"/>
        <v>1403.5087719298249</v>
      </c>
      <c r="AN141">
        <f t="shared" si="86"/>
        <v>1403.5087719298249</v>
      </c>
      <c r="AO141">
        <f t="shared" si="86"/>
        <v>1403.5087719298249</v>
      </c>
      <c r="AP141">
        <f t="shared" si="86"/>
        <v>1403.5087719298249</v>
      </c>
      <c r="AQ141">
        <f t="shared" si="86"/>
        <v>1403.5087719298249</v>
      </c>
      <c r="AR141">
        <f t="shared" si="86"/>
        <v>1403.5087719298249</v>
      </c>
      <c r="AS141">
        <f t="shared" si="86"/>
        <v>1403.5087719298249</v>
      </c>
      <c r="AT141">
        <f t="shared" si="86"/>
        <v>1403.5087719298249</v>
      </c>
    </row>
    <row r="142" spans="2:46" x14ac:dyDescent="0.2">
      <c r="B142" s="141"/>
      <c r="C142" s="6"/>
    </row>
    <row r="143" spans="2:46" x14ac:dyDescent="0.2">
      <c r="B143" s="142" t="s">
        <v>313</v>
      </c>
      <c r="C143" s="6"/>
    </row>
    <row r="144" spans="2:46" x14ac:dyDescent="0.2">
      <c r="B144" s="139" t="s">
        <v>315</v>
      </c>
      <c r="C144" t="s">
        <v>41</v>
      </c>
      <c r="G144" s="75">
        <f>'Model '!J157</f>
        <v>380000</v>
      </c>
      <c r="H144" s="75">
        <f>G144</f>
        <v>380000</v>
      </c>
      <c r="I144" s="75">
        <f t="shared" ref="I144:U144" si="87">H144</f>
        <v>380000</v>
      </c>
      <c r="J144" s="75">
        <f t="shared" si="87"/>
        <v>380000</v>
      </c>
      <c r="K144" s="75">
        <f t="shared" si="87"/>
        <v>380000</v>
      </c>
      <c r="L144" s="75">
        <f t="shared" si="87"/>
        <v>380000</v>
      </c>
      <c r="M144" s="75">
        <f t="shared" si="87"/>
        <v>380000</v>
      </c>
      <c r="N144" s="75">
        <f t="shared" si="87"/>
        <v>380000</v>
      </c>
      <c r="O144" s="75">
        <f t="shared" si="87"/>
        <v>380000</v>
      </c>
      <c r="P144" s="75">
        <f t="shared" si="87"/>
        <v>380000</v>
      </c>
      <c r="Q144" s="75">
        <f t="shared" si="87"/>
        <v>380000</v>
      </c>
      <c r="R144" s="75">
        <f t="shared" si="87"/>
        <v>380000</v>
      </c>
      <c r="S144" s="75">
        <f t="shared" si="87"/>
        <v>380000</v>
      </c>
      <c r="T144" s="75">
        <f t="shared" si="87"/>
        <v>380000</v>
      </c>
      <c r="U144" s="75">
        <f t="shared" si="87"/>
        <v>380000</v>
      </c>
      <c r="V144" s="75">
        <f>'Model '!K157</f>
        <v>342000</v>
      </c>
      <c r="W144" s="75">
        <f>V144</f>
        <v>342000</v>
      </c>
      <c r="X144" s="75">
        <f t="shared" ref="X144:AG144" si="88">W144</f>
        <v>342000</v>
      </c>
      <c r="Y144" s="75">
        <f t="shared" si="88"/>
        <v>342000</v>
      </c>
      <c r="Z144" s="75">
        <f t="shared" si="88"/>
        <v>342000</v>
      </c>
      <c r="AA144" s="75">
        <f t="shared" si="88"/>
        <v>342000</v>
      </c>
      <c r="AB144" s="75">
        <f t="shared" si="88"/>
        <v>342000</v>
      </c>
      <c r="AC144" s="75">
        <f t="shared" si="88"/>
        <v>342000</v>
      </c>
      <c r="AD144" s="75">
        <f t="shared" si="88"/>
        <v>342000</v>
      </c>
      <c r="AE144" s="75">
        <f t="shared" si="88"/>
        <v>342000</v>
      </c>
      <c r="AF144" s="75">
        <f t="shared" si="88"/>
        <v>342000</v>
      </c>
      <c r="AG144" s="75">
        <f t="shared" si="88"/>
        <v>342000</v>
      </c>
      <c r="AH144" s="75">
        <f>'Model '!L157</f>
        <v>304000</v>
      </c>
      <c r="AI144" s="75">
        <f>AH144</f>
        <v>304000</v>
      </c>
      <c r="AJ144" s="75">
        <f t="shared" ref="AJ144:AS144" si="89">AI144</f>
        <v>304000</v>
      </c>
      <c r="AK144" s="75">
        <f t="shared" si="89"/>
        <v>304000</v>
      </c>
      <c r="AL144" s="75">
        <f t="shared" si="89"/>
        <v>304000</v>
      </c>
      <c r="AM144" s="75">
        <f t="shared" si="89"/>
        <v>304000</v>
      </c>
      <c r="AN144" s="75">
        <f t="shared" si="89"/>
        <v>304000</v>
      </c>
      <c r="AO144" s="75">
        <f t="shared" si="89"/>
        <v>304000</v>
      </c>
      <c r="AP144" s="75">
        <f t="shared" si="89"/>
        <v>304000</v>
      </c>
      <c r="AQ144" s="75">
        <f t="shared" si="89"/>
        <v>304000</v>
      </c>
      <c r="AR144" s="75">
        <f t="shared" si="89"/>
        <v>304000</v>
      </c>
      <c r="AS144" s="75">
        <f t="shared" si="89"/>
        <v>304000</v>
      </c>
      <c r="AT144" s="75">
        <f>'Model '!M157</f>
        <v>0</v>
      </c>
    </row>
    <row r="145" spans="2:46" x14ac:dyDescent="0.2">
      <c r="B145" s="139" t="s">
        <v>312</v>
      </c>
      <c r="C145" t="s">
        <v>41</v>
      </c>
      <c r="G145" s="75">
        <f>'Model '!J158</f>
        <v>333.33333333333343</v>
      </c>
      <c r="H145" s="75">
        <f t="shared" ref="H145:U146" si="90">G145</f>
        <v>333.33333333333343</v>
      </c>
      <c r="I145" s="75">
        <f t="shared" si="90"/>
        <v>333.33333333333343</v>
      </c>
      <c r="J145" s="75">
        <f t="shared" si="90"/>
        <v>333.33333333333343</v>
      </c>
      <c r="K145" s="75">
        <f t="shared" si="90"/>
        <v>333.33333333333343</v>
      </c>
      <c r="L145" s="75">
        <f t="shared" si="90"/>
        <v>333.33333333333343</v>
      </c>
      <c r="M145" s="75">
        <f t="shared" si="90"/>
        <v>333.33333333333343</v>
      </c>
      <c r="N145" s="75">
        <f t="shared" si="90"/>
        <v>333.33333333333343</v>
      </c>
      <c r="O145" s="75">
        <f t="shared" si="90"/>
        <v>333.33333333333343</v>
      </c>
      <c r="P145" s="75">
        <f t="shared" si="90"/>
        <v>333.33333333333343</v>
      </c>
      <c r="Q145" s="75">
        <f t="shared" si="90"/>
        <v>333.33333333333343</v>
      </c>
      <c r="R145" s="75">
        <f t="shared" si="90"/>
        <v>333.33333333333343</v>
      </c>
      <c r="S145" s="75">
        <f t="shared" si="90"/>
        <v>333.33333333333343</v>
      </c>
      <c r="T145" s="75">
        <f t="shared" si="90"/>
        <v>333.33333333333343</v>
      </c>
      <c r="U145" s="75">
        <f t="shared" si="90"/>
        <v>333.33333333333343</v>
      </c>
      <c r="V145" s="75">
        <f>'Model '!K158</f>
        <v>333.33333333333343</v>
      </c>
      <c r="W145" s="75">
        <f t="shared" ref="W145:AG146" si="91">V145</f>
        <v>333.33333333333343</v>
      </c>
      <c r="X145" s="75">
        <f t="shared" si="91"/>
        <v>333.33333333333343</v>
      </c>
      <c r="Y145" s="75">
        <f t="shared" si="91"/>
        <v>333.33333333333343</v>
      </c>
      <c r="Z145" s="75">
        <f t="shared" si="91"/>
        <v>333.33333333333343</v>
      </c>
      <c r="AA145" s="75">
        <f t="shared" si="91"/>
        <v>333.33333333333343</v>
      </c>
      <c r="AB145" s="75">
        <f t="shared" si="91"/>
        <v>333.33333333333343</v>
      </c>
      <c r="AC145" s="75">
        <f t="shared" si="91"/>
        <v>333.33333333333343</v>
      </c>
      <c r="AD145" s="75">
        <f t="shared" si="91"/>
        <v>333.33333333333343</v>
      </c>
      <c r="AE145" s="75">
        <f t="shared" si="91"/>
        <v>333.33333333333343</v>
      </c>
      <c r="AF145" s="75">
        <f t="shared" si="91"/>
        <v>333.33333333333343</v>
      </c>
      <c r="AG145" s="75">
        <f t="shared" si="91"/>
        <v>333.33333333333343</v>
      </c>
      <c r="AH145" s="75">
        <f>'Model '!L158</f>
        <v>333.33333333333343</v>
      </c>
      <c r="AI145" s="75">
        <f t="shared" ref="AI145:AS146" si="92">AH145</f>
        <v>333.33333333333343</v>
      </c>
      <c r="AJ145" s="75">
        <f t="shared" si="92"/>
        <v>333.33333333333343</v>
      </c>
      <c r="AK145" s="75">
        <f t="shared" si="92"/>
        <v>333.33333333333343</v>
      </c>
      <c r="AL145" s="75">
        <f t="shared" si="92"/>
        <v>333.33333333333343</v>
      </c>
      <c r="AM145" s="75">
        <f t="shared" si="92"/>
        <v>333.33333333333343</v>
      </c>
      <c r="AN145" s="75">
        <f t="shared" si="92"/>
        <v>333.33333333333343</v>
      </c>
      <c r="AO145" s="75">
        <f t="shared" si="92"/>
        <v>333.33333333333343</v>
      </c>
      <c r="AP145" s="75">
        <f t="shared" si="92"/>
        <v>333.33333333333343</v>
      </c>
      <c r="AQ145" s="75">
        <f t="shared" si="92"/>
        <v>333.33333333333343</v>
      </c>
      <c r="AR145" s="75">
        <f t="shared" si="92"/>
        <v>333.33333333333343</v>
      </c>
      <c r="AS145" s="75">
        <f t="shared" si="92"/>
        <v>333.33333333333343</v>
      </c>
      <c r="AT145" s="75">
        <f>'Model '!M158</f>
        <v>333.33333333333343</v>
      </c>
    </row>
    <row r="146" spans="2:46" x14ac:dyDescent="0.2">
      <c r="B146" s="141" t="s">
        <v>314</v>
      </c>
      <c r="C146" s="6" t="s">
        <v>48</v>
      </c>
      <c r="G146" s="75">
        <f>G144-G145</f>
        <v>379666.66666666669</v>
      </c>
      <c r="H146" s="75">
        <f t="shared" si="90"/>
        <v>379666.66666666669</v>
      </c>
      <c r="I146" s="75">
        <f t="shared" si="90"/>
        <v>379666.66666666669</v>
      </c>
      <c r="J146" s="75">
        <f t="shared" si="90"/>
        <v>379666.66666666669</v>
      </c>
      <c r="K146" s="75">
        <f t="shared" si="90"/>
        <v>379666.66666666669</v>
      </c>
      <c r="L146" s="75">
        <f t="shared" si="90"/>
        <v>379666.66666666669</v>
      </c>
      <c r="M146" s="75">
        <f t="shared" si="90"/>
        <v>379666.66666666669</v>
      </c>
      <c r="N146" s="75">
        <f t="shared" si="90"/>
        <v>379666.66666666669</v>
      </c>
      <c r="O146" s="75">
        <f t="shared" si="90"/>
        <v>379666.66666666669</v>
      </c>
      <c r="P146" s="75">
        <f t="shared" si="90"/>
        <v>379666.66666666669</v>
      </c>
      <c r="Q146" s="75">
        <f t="shared" si="90"/>
        <v>379666.66666666669</v>
      </c>
      <c r="R146" s="75">
        <f t="shared" si="90"/>
        <v>379666.66666666669</v>
      </c>
      <c r="S146" s="75">
        <f t="shared" si="90"/>
        <v>379666.66666666669</v>
      </c>
      <c r="T146" s="75">
        <f t="shared" si="90"/>
        <v>379666.66666666669</v>
      </c>
      <c r="U146" s="75">
        <f t="shared" si="90"/>
        <v>379666.66666666669</v>
      </c>
      <c r="V146" s="75">
        <f>V144-V145</f>
        <v>341666.66666666669</v>
      </c>
      <c r="W146" s="75">
        <f t="shared" si="91"/>
        <v>341666.66666666669</v>
      </c>
      <c r="X146" s="75">
        <f t="shared" si="91"/>
        <v>341666.66666666669</v>
      </c>
      <c r="Y146" s="75">
        <f t="shared" si="91"/>
        <v>341666.66666666669</v>
      </c>
      <c r="Z146" s="75">
        <f t="shared" si="91"/>
        <v>341666.66666666669</v>
      </c>
      <c r="AA146" s="75">
        <f t="shared" si="91"/>
        <v>341666.66666666669</v>
      </c>
      <c r="AB146" s="75">
        <f t="shared" si="91"/>
        <v>341666.66666666669</v>
      </c>
      <c r="AC146" s="75">
        <f t="shared" si="91"/>
        <v>341666.66666666669</v>
      </c>
      <c r="AD146" s="75">
        <f t="shared" si="91"/>
        <v>341666.66666666669</v>
      </c>
      <c r="AE146" s="75">
        <f t="shared" si="91"/>
        <v>341666.66666666669</v>
      </c>
      <c r="AF146" s="75">
        <f t="shared" si="91"/>
        <v>341666.66666666669</v>
      </c>
      <c r="AG146" s="75">
        <f t="shared" si="91"/>
        <v>341666.66666666669</v>
      </c>
      <c r="AH146" s="75">
        <f>AH144-AH145</f>
        <v>303666.66666666669</v>
      </c>
      <c r="AI146" s="75">
        <f t="shared" si="92"/>
        <v>303666.66666666669</v>
      </c>
      <c r="AJ146" s="75">
        <f t="shared" si="92"/>
        <v>303666.66666666669</v>
      </c>
      <c r="AK146" s="75">
        <f t="shared" si="92"/>
        <v>303666.66666666669</v>
      </c>
      <c r="AL146" s="75">
        <f t="shared" si="92"/>
        <v>303666.66666666669</v>
      </c>
      <c r="AM146" s="75">
        <f t="shared" si="92"/>
        <v>303666.66666666669</v>
      </c>
      <c r="AN146" s="75">
        <f t="shared" si="92"/>
        <v>303666.66666666669</v>
      </c>
      <c r="AO146" s="75">
        <f t="shared" si="92"/>
        <v>303666.66666666669</v>
      </c>
      <c r="AP146" s="75">
        <f t="shared" si="92"/>
        <v>303666.66666666669</v>
      </c>
      <c r="AQ146" s="75">
        <f t="shared" si="92"/>
        <v>303666.66666666669</v>
      </c>
      <c r="AR146" s="75">
        <f t="shared" si="92"/>
        <v>303666.66666666669</v>
      </c>
      <c r="AS146" s="75">
        <f t="shared" si="92"/>
        <v>303666.66666666669</v>
      </c>
      <c r="AT146" s="75">
        <f>AT144-AT145</f>
        <v>-333.33333333333343</v>
      </c>
    </row>
    <row r="147" spans="2:46" x14ac:dyDescent="0.2">
      <c r="B147" s="141"/>
      <c r="C147" s="6"/>
    </row>
    <row r="148" spans="2:46" x14ac:dyDescent="0.2">
      <c r="B148" s="142" t="s">
        <v>316</v>
      </c>
      <c r="C148" s="6" t="s">
        <v>48</v>
      </c>
      <c r="G148" s="75">
        <f>G146+G141</f>
        <v>381070.17543859652</v>
      </c>
      <c r="H148" s="75">
        <f t="shared" ref="H148:AT148" si="93">H146+H141</f>
        <v>381070.17543859652</v>
      </c>
      <c r="I148" s="75">
        <f t="shared" si="93"/>
        <v>381070.17543859652</v>
      </c>
      <c r="J148" s="110">
        <f t="shared" si="93"/>
        <v>381070.17543859652</v>
      </c>
      <c r="K148" s="75">
        <f t="shared" si="93"/>
        <v>381070.17543859652</v>
      </c>
      <c r="L148" s="75">
        <f t="shared" si="93"/>
        <v>381070.17543859652</v>
      </c>
      <c r="M148" s="75">
        <f t="shared" si="93"/>
        <v>381070.17543859652</v>
      </c>
      <c r="N148" s="75">
        <f t="shared" si="93"/>
        <v>381070.17543859652</v>
      </c>
      <c r="O148" s="75">
        <f t="shared" si="93"/>
        <v>381070.17543859652</v>
      </c>
      <c r="P148" s="75">
        <f t="shared" si="93"/>
        <v>381070.17543859652</v>
      </c>
      <c r="Q148" s="75">
        <f t="shared" si="93"/>
        <v>381070.17543859652</v>
      </c>
      <c r="R148" s="75">
        <f t="shared" si="93"/>
        <v>381070.17543859652</v>
      </c>
      <c r="S148" s="75">
        <f t="shared" si="93"/>
        <v>381070.17543859652</v>
      </c>
      <c r="T148" s="75">
        <f t="shared" si="93"/>
        <v>381070.17543859652</v>
      </c>
      <c r="U148" s="75">
        <f t="shared" si="93"/>
        <v>381070.17543859652</v>
      </c>
      <c r="V148" s="110">
        <f t="shared" si="93"/>
        <v>343070.17543859652</v>
      </c>
      <c r="W148" s="75">
        <f t="shared" si="93"/>
        <v>343070.17543859652</v>
      </c>
      <c r="X148" s="75">
        <f t="shared" si="93"/>
        <v>343070.17543859652</v>
      </c>
      <c r="Y148" s="75">
        <f t="shared" si="93"/>
        <v>343070.17543859652</v>
      </c>
      <c r="Z148" s="75">
        <f t="shared" si="93"/>
        <v>343070.17543859652</v>
      </c>
      <c r="AA148" s="75">
        <f t="shared" si="93"/>
        <v>343070.17543859652</v>
      </c>
      <c r="AB148" s="75">
        <f t="shared" si="93"/>
        <v>343070.17543859652</v>
      </c>
      <c r="AC148" s="75">
        <f t="shared" si="93"/>
        <v>343070.17543859652</v>
      </c>
      <c r="AD148" s="75">
        <f t="shared" si="93"/>
        <v>343070.17543859652</v>
      </c>
      <c r="AE148" s="75">
        <f t="shared" si="93"/>
        <v>343070.17543859652</v>
      </c>
      <c r="AF148" s="75">
        <f t="shared" si="93"/>
        <v>343070.17543859652</v>
      </c>
      <c r="AG148" s="75">
        <f t="shared" si="93"/>
        <v>343070.17543859652</v>
      </c>
      <c r="AH148" s="110">
        <f t="shared" si="93"/>
        <v>305070.17543859652</v>
      </c>
      <c r="AI148" s="75">
        <f t="shared" si="93"/>
        <v>305070.17543859652</v>
      </c>
      <c r="AJ148" s="75">
        <f t="shared" si="93"/>
        <v>305070.17543859652</v>
      </c>
      <c r="AK148" s="75">
        <f t="shared" si="93"/>
        <v>305070.17543859652</v>
      </c>
      <c r="AL148" s="75">
        <f t="shared" si="93"/>
        <v>305070.17543859652</v>
      </c>
      <c r="AM148" s="75">
        <f t="shared" si="93"/>
        <v>305070.17543859652</v>
      </c>
      <c r="AN148" s="75">
        <f t="shared" si="93"/>
        <v>305070.17543859652</v>
      </c>
      <c r="AO148" s="75">
        <f t="shared" si="93"/>
        <v>305070.17543859652</v>
      </c>
      <c r="AP148" s="75">
        <f t="shared" si="93"/>
        <v>305070.17543859652</v>
      </c>
      <c r="AQ148" s="75">
        <f t="shared" si="93"/>
        <v>305070.17543859652</v>
      </c>
      <c r="AR148" s="75">
        <f t="shared" si="93"/>
        <v>305070.17543859652</v>
      </c>
      <c r="AS148" s="75">
        <f t="shared" si="93"/>
        <v>305070.17543859652</v>
      </c>
      <c r="AT148" s="110">
        <f t="shared" si="93"/>
        <v>1070.1754385964914</v>
      </c>
    </row>
    <row r="149" spans="2:46" x14ac:dyDescent="0.2">
      <c r="B149" s="141"/>
      <c r="C149" s="6"/>
    </row>
    <row r="150" spans="2:46" x14ac:dyDescent="0.2">
      <c r="B150" s="141" t="s">
        <v>219</v>
      </c>
      <c r="C150" s="6" t="s">
        <v>48</v>
      </c>
      <c r="G150" s="83">
        <f>'Model '!J167</f>
        <v>0</v>
      </c>
      <c r="H150">
        <f>G150</f>
        <v>0</v>
      </c>
      <c r="I150">
        <f t="shared" ref="I150:U150" si="94">H150</f>
        <v>0</v>
      </c>
      <c r="J150">
        <f t="shared" si="94"/>
        <v>0</v>
      </c>
      <c r="K150">
        <f t="shared" si="94"/>
        <v>0</v>
      </c>
      <c r="L150">
        <f t="shared" si="94"/>
        <v>0</v>
      </c>
      <c r="M150">
        <f t="shared" si="94"/>
        <v>0</v>
      </c>
      <c r="N150">
        <f t="shared" si="94"/>
        <v>0</v>
      </c>
      <c r="O150">
        <f t="shared" si="94"/>
        <v>0</v>
      </c>
      <c r="P150">
        <f t="shared" si="94"/>
        <v>0</v>
      </c>
      <c r="Q150">
        <f t="shared" si="94"/>
        <v>0</v>
      </c>
      <c r="R150">
        <f t="shared" si="94"/>
        <v>0</v>
      </c>
      <c r="S150">
        <f t="shared" si="94"/>
        <v>0</v>
      </c>
      <c r="T150">
        <f t="shared" si="94"/>
        <v>0</v>
      </c>
      <c r="U150">
        <f t="shared" si="94"/>
        <v>0</v>
      </c>
      <c r="V150" s="45">
        <f>'Model '!K167</f>
        <v>50030.198352656276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 s="45">
        <f>'Model '!L167</f>
        <v>78575.649177820771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 s="45">
        <f>'Model '!M167</f>
        <v>142681.48277104314</v>
      </c>
    </row>
    <row r="152" spans="2:46" x14ac:dyDescent="0.2">
      <c r="B152" s="6" t="s">
        <v>220</v>
      </c>
    </row>
    <row r="153" spans="2:46" x14ac:dyDescent="0.2">
      <c r="B153" s="139" t="s">
        <v>212</v>
      </c>
      <c r="C153" t="s">
        <v>41</v>
      </c>
      <c r="G153" s="76">
        <v>0</v>
      </c>
      <c r="H153" s="76">
        <f>G156</f>
        <v>-5732.4139609492959</v>
      </c>
      <c r="I153" s="76">
        <f t="shared" ref="I153:AT153" si="95">H156</f>
        <v>-7350.4803194350789</v>
      </c>
      <c r="J153" s="76">
        <f t="shared" si="95"/>
        <v>-6279.9862084079614</v>
      </c>
      <c r="K153" s="76">
        <f t="shared" si="95"/>
        <v>-2068.2707775840245</v>
      </c>
      <c r="L153" s="76">
        <f t="shared" si="95"/>
        <v>3205.7350791154859</v>
      </c>
      <c r="M153" s="76">
        <f t="shared" si="95"/>
        <v>10676.992781702696</v>
      </c>
      <c r="N153" s="76">
        <f t="shared" si="95"/>
        <v>18520.064500219436</v>
      </c>
      <c r="O153" s="76">
        <f t="shared" si="95"/>
        <v>26510.976226300074</v>
      </c>
      <c r="P153" s="76">
        <f t="shared" si="95"/>
        <v>34202.296616611282</v>
      </c>
      <c r="Q153" s="76">
        <f t="shared" si="95"/>
        <v>42041.457014486383</v>
      </c>
      <c r="R153" s="76">
        <f t="shared" si="95"/>
        <v>49897.044086592032</v>
      </c>
      <c r="S153" s="76">
        <f t="shared" si="95"/>
        <v>57703.351166261578</v>
      </c>
      <c r="T153" s="76">
        <f t="shared" si="95"/>
        <v>65526.084920161695</v>
      </c>
      <c r="U153" s="76">
        <f t="shared" si="95"/>
        <v>73299.538681625709</v>
      </c>
      <c r="V153" s="76">
        <f t="shared" si="95"/>
        <v>81023.71245065362</v>
      </c>
      <c r="W153" s="76">
        <f t="shared" si="95"/>
        <v>38865.527874589148</v>
      </c>
      <c r="X153" s="76">
        <f t="shared" si="95"/>
        <v>46819.382749233191</v>
      </c>
      <c r="Y153" s="76">
        <f t="shared" si="95"/>
        <v>54642.261710492894</v>
      </c>
      <c r="Z153" s="76">
        <f t="shared" si="95"/>
        <v>63409.68478825799</v>
      </c>
      <c r="AA153" s="76">
        <f t="shared" si="95"/>
        <v>73083.699233943815</v>
      </c>
      <c r="AB153" s="76">
        <f t="shared" si="95"/>
        <v>83627.908512566763</v>
      </c>
      <c r="AC153" s="76">
        <f t="shared" si="95"/>
        <v>95143.673216422423</v>
      </c>
      <c r="AD153" s="76">
        <f t="shared" si="95"/>
        <v>107444.76666032376</v>
      </c>
      <c r="AE153" s="76">
        <f t="shared" si="95"/>
        <v>120557.47696474892</v>
      </c>
      <c r="AF153" s="76">
        <f t="shared" si="95"/>
        <v>134745.01021853171</v>
      </c>
      <c r="AG153" s="76">
        <f t="shared" si="95"/>
        <v>149659.81009217125</v>
      </c>
      <c r="AH153" s="76">
        <f t="shared" si="95"/>
        <v>165183.78619319081</v>
      </c>
      <c r="AI153" s="76">
        <f t="shared" si="95"/>
        <v>103154.69538371527</v>
      </c>
      <c r="AJ153" s="76">
        <f t="shared" si="95"/>
        <v>120461.61418865326</v>
      </c>
      <c r="AK153" s="76">
        <f t="shared" si="95"/>
        <v>138631.29260930786</v>
      </c>
      <c r="AL153" s="76">
        <f t="shared" si="95"/>
        <v>157764.5755034606</v>
      </c>
      <c r="AM153" s="76">
        <f t="shared" si="95"/>
        <v>177527.36327451025</v>
      </c>
      <c r="AN153" s="76">
        <f t="shared" si="95"/>
        <v>198243.94034384208</v>
      </c>
      <c r="AO153" s="76">
        <f t="shared" si="95"/>
        <v>219803.64667845855</v>
      </c>
      <c r="AP153" s="76">
        <f t="shared" si="95"/>
        <v>242232.59969675681</v>
      </c>
      <c r="AQ153" s="76">
        <f t="shared" si="95"/>
        <v>266286.32290965517</v>
      </c>
      <c r="AR153" s="76">
        <f t="shared" si="95"/>
        <v>290451.58220455353</v>
      </c>
      <c r="AS153" s="76">
        <f t="shared" si="95"/>
        <v>314430.94802945189</v>
      </c>
      <c r="AT153" s="76">
        <f t="shared" si="95"/>
        <v>338521.84993635025</v>
      </c>
    </row>
    <row r="154" spans="2:46" x14ac:dyDescent="0.2">
      <c r="B154" s="139" t="s">
        <v>218</v>
      </c>
      <c r="C154" t="s">
        <v>41</v>
      </c>
      <c r="G154" s="76">
        <f>G41</f>
        <v>-5732.4139609492959</v>
      </c>
      <c r="H154" s="76">
        <f t="shared" ref="H154:AT154" si="96">H41</f>
        <v>-1618.066358485783</v>
      </c>
      <c r="I154" s="76">
        <f t="shared" si="96"/>
        <v>1070.4941110271175</v>
      </c>
      <c r="J154" s="76">
        <f t="shared" si="96"/>
        <v>4211.7154308239369</v>
      </c>
      <c r="K154" s="76">
        <f t="shared" si="96"/>
        <v>5274.0058566995103</v>
      </c>
      <c r="L154" s="76">
        <f t="shared" si="96"/>
        <v>7471.2577025872106</v>
      </c>
      <c r="M154" s="76">
        <f t="shared" si="96"/>
        <v>7843.0717185167414</v>
      </c>
      <c r="N154" s="76">
        <f t="shared" si="96"/>
        <v>7990.911726080637</v>
      </c>
      <c r="O154" s="76">
        <f t="shared" si="96"/>
        <v>7691.3203903112062</v>
      </c>
      <c r="P154" s="76">
        <f t="shared" si="96"/>
        <v>7839.1603978751027</v>
      </c>
      <c r="Q154" s="76">
        <f t="shared" si="96"/>
        <v>7855.5870721056499</v>
      </c>
      <c r="R154" s="76">
        <f t="shared" si="96"/>
        <v>7806.3070796695456</v>
      </c>
      <c r="S154" s="76">
        <f t="shared" si="96"/>
        <v>7822.7337539001155</v>
      </c>
      <c r="T154" s="76">
        <f t="shared" si="96"/>
        <v>7773.4537614640112</v>
      </c>
      <c r="U154" s="76">
        <f t="shared" si="96"/>
        <v>7724.1737690279069</v>
      </c>
      <c r="V154" s="76">
        <f t="shared" si="96"/>
        <v>7872.0137765918025</v>
      </c>
      <c r="W154" s="76">
        <f t="shared" si="96"/>
        <v>7953.8548746440429</v>
      </c>
      <c r="X154" s="76">
        <f t="shared" si="96"/>
        <v>7822.8789612597066</v>
      </c>
      <c r="Y154" s="76">
        <f t="shared" si="96"/>
        <v>8767.4230777650919</v>
      </c>
      <c r="Z154" s="76">
        <f t="shared" si="96"/>
        <v>9674.0144456858234</v>
      </c>
      <c r="AA154" s="76">
        <f t="shared" si="96"/>
        <v>10544.20927862294</v>
      </c>
      <c r="AB154" s="76">
        <f t="shared" si="96"/>
        <v>11515.764703855661</v>
      </c>
      <c r="AC154" s="76">
        <f t="shared" si="96"/>
        <v>12301.093443901331</v>
      </c>
      <c r="AD154" s="76">
        <f t="shared" si="96"/>
        <v>13112.710304425162</v>
      </c>
      <c r="AE154" s="76">
        <f t="shared" si="96"/>
        <v>14187.533253782805</v>
      </c>
      <c r="AF154" s="76">
        <f t="shared" si="96"/>
        <v>14914.799873639537</v>
      </c>
      <c r="AG154" s="76">
        <f t="shared" si="96"/>
        <v>15523.976101019574</v>
      </c>
      <c r="AH154" s="76">
        <f t="shared" si="96"/>
        <v>16546.558368345221</v>
      </c>
      <c r="AI154" s="76">
        <f t="shared" si="96"/>
        <v>17306.918804937988</v>
      </c>
      <c r="AJ154" s="76">
        <f t="shared" si="96"/>
        <v>18169.678420654611</v>
      </c>
      <c r="AK154" s="76">
        <f t="shared" si="96"/>
        <v>19133.282894152748</v>
      </c>
      <c r="AL154" s="76">
        <f t="shared" si="96"/>
        <v>19762.787771049661</v>
      </c>
      <c r="AM154" s="76">
        <f t="shared" si="96"/>
        <v>20716.577069331834</v>
      </c>
      <c r="AN154" s="76">
        <f t="shared" si="96"/>
        <v>21559.70633461645</v>
      </c>
      <c r="AO154" s="76">
        <f t="shared" si="96"/>
        <v>22428.953018298253</v>
      </c>
      <c r="AP154" s="76">
        <f t="shared" si="96"/>
        <v>24053.723212898363</v>
      </c>
      <c r="AQ154" s="76">
        <f t="shared" si="96"/>
        <v>24165.259294898369</v>
      </c>
      <c r="AR154" s="76">
        <f t="shared" si="96"/>
        <v>23979.365824898374</v>
      </c>
      <c r="AS154" s="76">
        <f t="shared" si="96"/>
        <v>24090.90190689838</v>
      </c>
      <c r="AT154" s="76">
        <f t="shared" si="96"/>
        <v>24053.723212898363</v>
      </c>
    </row>
    <row r="155" spans="2:46" x14ac:dyDescent="0.2">
      <c r="B155" s="139" t="s">
        <v>219</v>
      </c>
      <c r="C155" t="s">
        <v>41</v>
      </c>
      <c r="G155" s="76">
        <f>-G150</f>
        <v>0</v>
      </c>
      <c r="H155" s="76">
        <f t="shared" ref="H155:AT155" si="97">-H150</f>
        <v>0</v>
      </c>
      <c r="I155" s="76">
        <f t="shared" si="97"/>
        <v>0</v>
      </c>
      <c r="J155" s="76">
        <f t="shared" si="97"/>
        <v>0</v>
      </c>
      <c r="K155" s="76">
        <f t="shared" si="97"/>
        <v>0</v>
      </c>
      <c r="L155" s="76">
        <f t="shared" si="97"/>
        <v>0</v>
      </c>
      <c r="M155" s="76">
        <f t="shared" si="97"/>
        <v>0</v>
      </c>
      <c r="N155" s="76">
        <f t="shared" si="97"/>
        <v>0</v>
      </c>
      <c r="O155" s="76">
        <f t="shared" si="97"/>
        <v>0</v>
      </c>
      <c r="P155" s="76">
        <f t="shared" si="97"/>
        <v>0</v>
      </c>
      <c r="Q155" s="76">
        <f t="shared" si="97"/>
        <v>0</v>
      </c>
      <c r="R155" s="76">
        <f t="shared" si="97"/>
        <v>0</v>
      </c>
      <c r="S155" s="76">
        <f t="shared" si="97"/>
        <v>0</v>
      </c>
      <c r="T155" s="76">
        <f t="shared" si="97"/>
        <v>0</v>
      </c>
      <c r="U155" s="76">
        <f t="shared" si="97"/>
        <v>0</v>
      </c>
      <c r="V155" s="76">
        <f t="shared" si="97"/>
        <v>-50030.198352656276</v>
      </c>
      <c r="W155" s="76">
        <f t="shared" si="97"/>
        <v>0</v>
      </c>
      <c r="X155" s="76">
        <f t="shared" si="97"/>
        <v>0</v>
      </c>
      <c r="Y155" s="76">
        <f t="shared" si="97"/>
        <v>0</v>
      </c>
      <c r="Z155" s="76">
        <f t="shared" si="97"/>
        <v>0</v>
      </c>
      <c r="AA155" s="76">
        <f t="shared" si="97"/>
        <v>0</v>
      </c>
      <c r="AB155" s="76">
        <f t="shared" si="97"/>
        <v>0</v>
      </c>
      <c r="AC155" s="76">
        <f t="shared" si="97"/>
        <v>0</v>
      </c>
      <c r="AD155" s="76">
        <f t="shared" si="97"/>
        <v>0</v>
      </c>
      <c r="AE155" s="76">
        <f t="shared" si="97"/>
        <v>0</v>
      </c>
      <c r="AF155" s="76">
        <f t="shared" si="97"/>
        <v>0</v>
      </c>
      <c r="AG155" s="76">
        <f t="shared" si="97"/>
        <v>0</v>
      </c>
      <c r="AH155" s="76">
        <f t="shared" si="97"/>
        <v>-78575.649177820771</v>
      </c>
      <c r="AI155" s="76">
        <f t="shared" si="97"/>
        <v>0</v>
      </c>
      <c r="AJ155" s="76">
        <f t="shared" si="97"/>
        <v>0</v>
      </c>
      <c r="AK155" s="76">
        <f t="shared" si="97"/>
        <v>0</v>
      </c>
      <c r="AL155" s="76">
        <f t="shared" si="97"/>
        <v>0</v>
      </c>
      <c r="AM155" s="76">
        <f t="shared" si="97"/>
        <v>0</v>
      </c>
      <c r="AN155" s="76">
        <f t="shared" si="97"/>
        <v>0</v>
      </c>
      <c r="AO155" s="76">
        <f t="shared" si="97"/>
        <v>0</v>
      </c>
      <c r="AP155" s="76">
        <f t="shared" si="97"/>
        <v>0</v>
      </c>
      <c r="AQ155" s="76">
        <f t="shared" si="97"/>
        <v>0</v>
      </c>
      <c r="AR155" s="76">
        <f t="shared" si="97"/>
        <v>0</v>
      </c>
      <c r="AS155" s="76">
        <f t="shared" si="97"/>
        <v>0</v>
      </c>
      <c r="AT155" s="76">
        <f t="shared" si="97"/>
        <v>-142681.48277104314</v>
      </c>
    </row>
    <row r="156" spans="2:46" x14ac:dyDescent="0.2">
      <c r="B156" s="141" t="s">
        <v>214</v>
      </c>
      <c r="C156" s="6" t="s">
        <v>48</v>
      </c>
      <c r="G156" s="76">
        <f>SUM(G153:G155)</f>
        <v>-5732.4139609492959</v>
      </c>
      <c r="H156" s="76">
        <f t="shared" ref="H156:AT156" si="98">SUM(H153:H155)</f>
        <v>-7350.4803194350789</v>
      </c>
      <c r="I156" s="76">
        <f t="shared" si="98"/>
        <v>-6279.9862084079614</v>
      </c>
      <c r="J156" s="76">
        <f t="shared" si="98"/>
        <v>-2068.2707775840245</v>
      </c>
      <c r="K156" s="76">
        <f t="shared" si="98"/>
        <v>3205.7350791154859</v>
      </c>
      <c r="L156" s="76">
        <f t="shared" si="98"/>
        <v>10676.992781702696</v>
      </c>
      <c r="M156" s="76">
        <f t="shared" si="98"/>
        <v>18520.064500219436</v>
      </c>
      <c r="N156" s="76">
        <f t="shared" si="98"/>
        <v>26510.976226300074</v>
      </c>
      <c r="O156" s="76">
        <f t="shared" si="98"/>
        <v>34202.296616611282</v>
      </c>
      <c r="P156" s="76">
        <f t="shared" si="98"/>
        <v>42041.457014486383</v>
      </c>
      <c r="Q156" s="76">
        <f t="shared" si="98"/>
        <v>49897.044086592032</v>
      </c>
      <c r="R156" s="76">
        <f t="shared" si="98"/>
        <v>57703.351166261578</v>
      </c>
      <c r="S156" s="76">
        <f t="shared" si="98"/>
        <v>65526.084920161695</v>
      </c>
      <c r="T156" s="76">
        <f t="shared" si="98"/>
        <v>73299.538681625709</v>
      </c>
      <c r="U156" s="76">
        <f t="shared" si="98"/>
        <v>81023.71245065362</v>
      </c>
      <c r="V156" s="133">
        <f t="shared" si="98"/>
        <v>38865.527874589148</v>
      </c>
      <c r="W156" s="76">
        <f t="shared" si="98"/>
        <v>46819.382749233191</v>
      </c>
      <c r="X156" s="76">
        <f t="shared" si="98"/>
        <v>54642.261710492894</v>
      </c>
      <c r="Y156" s="76">
        <f t="shared" si="98"/>
        <v>63409.68478825799</v>
      </c>
      <c r="Z156" s="76">
        <f t="shared" si="98"/>
        <v>73083.699233943815</v>
      </c>
      <c r="AA156" s="76">
        <f t="shared" si="98"/>
        <v>83627.908512566763</v>
      </c>
      <c r="AB156" s="76">
        <f t="shared" si="98"/>
        <v>95143.673216422423</v>
      </c>
      <c r="AC156" s="76">
        <f t="shared" si="98"/>
        <v>107444.76666032376</v>
      </c>
      <c r="AD156" s="76">
        <f t="shared" si="98"/>
        <v>120557.47696474892</v>
      </c>
      <c r="AE156" s="76">
        <f t="shared" si="98"/>
        <v>134745.01021853171</v>
      </c>
      <c r="AF156" s="76">
        <f t="shared" si="98"/>
        <v>149659.81009217125</v>
      </c>
      <c r="AG156" s="76">
        <f t="shared" si="98"/>
        <v>165183.78619319081</v>
      </c>
      <c r="AH156" s="133">
        <f t="shared" si="98"/>
        <v>103154.69538371527</v>
      </c>
      <c r="AI156" s="76">
        <f t="shared" si="98"/>
        <v>120461.61418865326</v>
      </c>
      <c r="AJ156" s="76">
        <f t="shared" si="98"/>
        <v>138631.29260930786</v>
      </c>
      <c r="AK156" s="76">
        <f t="shared" si="98"/>
        <v>157764.5755034606</v>
      </c>
      <c r="AL156" s="76">
        <f t="shared" si="98"/>
        <v>177527.36327451025</v>
      </c>
      <c r="AM156" s="76">
        <f t="shared" si="98"/>
        <v>198243.94034384208</v>
      </c>
      <c r="AN156" s="76">
        <f t="shared" si="98"/>
        <v>219803.64667845855</v>
      </c>
      <c r="AO156" s="76">
        <f t="shared" si="98"/>
        <v>242232.59969675681</v>
      </c>
      <c r="AP156" s="76">
        <f t="shared" si="98"/>
        <v>266286.32290965517</v>
      </c>
      <c r="AQ156" s="76">
        <f t="shared" si="98"/>
        <v>290451.58220455353</v>
      </c>
      <c r="AR156" s="76">
        <f t="shared" si="98"/>
        <v>314430.94802945189</v>
      </c>
      <c r="AS156" s="76">
        <f t="shared" si="98"/>
        <v>338521.84993635025</v>
      </c>
      <c r="AT156" s="133">
        <f t="shared" si="98"/>
        <v>219894.09037820547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39EE6-C27F-4661-BE34-BFCA57CE2E87}">
  <dimension ref="A2:BP63"/>
  <sheetViews>
    <sheetView showGridLines="0" workbookViewId="0">
      <pane xSplit="1" ySplit="6" topLeftCell="B54" activePane="bottomRight" state="frozen"/>
      <selection pane="topRight" activeCell="B1" sqref="B1"/>
      <selection pane="bottomLeft" activeCell="A7" sqref="A7"/>
      <selection pane="bottomRight" activeCell="BP56" sqref="BP56:BQ58"/>
    </sheetView>
  </sheetViews>
  <sheetFormatPr baseColWidth="10" defaultColWidth="8.83203125" defaultRowHeight="15" outlineLevelCol="1" x14ac:dyDescent="0.2"/>
  <cols>
    <col min="1" max="1" width="4.33203125" customWidth="1"/>
    <col min="2" max="2" width="48.5" customWidth="1"/>
    <col min="3" max="3" width="23.6640625" customWidth="1"/>
    <col min="6" max="10" width="9.6640625" hidden="1" customWidth="1" outlineLevel="1"/>
    <col min="11" max="13" width="10.6640625" hidden="1" customWidth="1" outlineLevel="1"/>
    <col min="14" max="14" width="9.6640625" customWidth="1" collapsed="1"/>
    <col min="15" max="15" width="9.6640625" hidden="1" customWidth="1" outlineLevel="1"/>
    <col min="16" max="16" width="10.6640625" hidden="1" customWidth="1" outlineLevel="1"/>
    <col min="17" max="17" width="15.1640625" hidden="1" customWidth="1" outlineLevel="1"/>
    <col min="18" max="19" width="9.6640625" hidden="1" customWidth="1" outlineLevel="1"/>
    <col min="20" max="26" width="10.6640625" hidden="1" customWidth="1" outlineLevel="1"/>
    <col min="27" max="27" width="10.6640625" customWidth="1" collapsed="1"/>
    <col min="28" max="29" width="10.6640625" hidden="1" customWidth="1" outlineLevel="1"/>
    <col min="30" max="30" width="11.6640625" hidden="1" customWidth="1" outlineLevel="1"/>
    <col min="31" max="39" width="10.6640625" hidden="1" customWidth="1" outlineLevel="1"/>
    <col min="40" max="40" width="10.6640625" customWidth="1" collapsed="1"/>
    <col min="41" max="42" width="10.6640625" hidden="1" customWidth="1" outlineLevel="1"/>
    <col min="43" max="43" width="11.6640625" hidden="1" customWidth="1" outlineLevel="1"/>
    <col min="44" max="52" width="10.6640625" hidden="1" customWidth="1" outlineLevel="1"/>
    <col min="53" max="53" width="10.6640625" customWidth="1" collapsed="1"/>
    <col min="54" max="55" width="10.6640625" hidden="1" customWidth="1" outlineLevel="1"/>
    <col min="56" max="56" width="11.6640625" hidden="1" customWidth="1" outlineLevel="1"/>
    <col min="57" max="65" width="10.6640625" hidden="1" customWidth="1" outlineLevel="1"/>
    <col min="66" max="66" width="10.6640625" customWidth="1" collapsed="1"/>
    <col min="67" max="73" width="10.6640625" customWidth="1"/>
  </cols>
  <sheetData>
    <row r="2" spans="2:66" ht="28" x14ac:dyDescent="0.35">
      <c r="B2" s="5" t="str">
        <f>'Cover Page'!B6</f>
        <v>Solea</v>
      </c>
    </row>
    <row r="3" spans="2:66" x14ac:dyDescent="0.2">
      <c r="B3" s="6" t="s">
        <v>1</v>
      </c>
    </row>
    <row r="4" spans="2:66" x14ac:dyDescent="0.2">
      <c r="B4" s="9" t="s">
        <v>2</v>
      </c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</row>
    <row r="5" spans="2:66" x14ac:dyDescent="0.2">
      <c r="B5" s="10" t="s">
        <v>59</v>
      </c>
      <c r="C5" s="10"/>
      <c r="D5" s="10"/>
      <c r="E5" s="10"/>
      <c r="F5" s="11">
        <v>45808</v>
      </c>
      <c r="G5" s="11">
        <v>45838</v>
      </c>
      <c r="H5" s="11">
        <f t="shared" ref="H5:M5" si="0">EOMONTH(EDATE(G5,1),0)</f>
        <v>45869</v>
      </c>
      <c r="I5" s="11">
        <f t="shared" si="0"/>
        <v>45900</v>
      </c>
      <c r="J5" s="11">
        <f t="shared" si="0"/>
        <v>45930</v>
      </c>
      <c r="K5" s="11">
        <f t="shared" si="0"/>
        <v>45961</v>
      </c>
      <c r="L5" s="11">
        <f t="shared" si="0"/>
        <v>45991</v>
      </c>
      <c r="M5" s="11">
        <f t="shared" si="0"/>
        <v>46022</v>
      </c>
      <c r="N5" s="10">
        <v>2025</v>
      </c>
      <c r="O5" s="11">
        <f>EOMONTH(EDATE(M5,1),0)</f>
        <v>46053</v>
      </c>
      <c r="P5" s="11">
        <f>EOMONTH(EDATE(O5,1),0)</f>
        <v>46081</v>
      </c>
      <c r="Q5" s="11">
        <f t="shared" ref="Q5:Z5" si="1">EOMONTH(EDATE(P5,1),0)</f>
        <v>46112</v>
      </c>
      <c r="R5" s="11">
        <f t="shared" si="1"/>
        <v>46142</v>
      </c>
      <c r="S5" s="11">
        <f t="shared" si="1"/>
        <v>46173</v>
      </c>
      <c r="T5" s="11">
        <f t="shared" si="1"/>
        <v>46203</v>
      </c>
      <c r="U5" s="11">
        <f t="shared" si="1"/>
        <v>46234</v>
      </c>
      <c r="V5" s="11">
        <f t="shared" si="1"/>
        <v>46265</v>
      </c>
      <c r="W5" s="11">
        <f t="shared" si="1"/>
        <v>46295</v>
      </c>
      <c r="X5" s="11">
        <f t="shared" si="1"/>
        <v>46326</v>
      </c>
      <c r="Y5" s="11">
        <f t="shared" si="1"/>
        <v>46356</v>
      </c>
      <c r="Z5" s="11">
        <f t="shared" si="1"/>
        <v>46387</v>
      </c>
      <c r="AA5" s="10">
        <v>2026</v>
      </c>
      <c r="AB5" s="11">
        <f>EOMONTH(EDATE(Z5,1),0)</f>
        <v>46418</v>
      </c>
      <c r="AC5" s="11">
        <f>EOMONTH(EDATE(AB5,1),0)</f>
        <v>46446</v>
      </c>
      <c r="AD5" s="11">
        <f t="shared" ref="AD5:AM5" si="2">EOMONTH(EDATE(AC5,1),0)</f>
        <v>46477</v>
      </c>
      <c r="AE5" s="11">
        <f t="shared" si="2"/>
        <v>46507</v>
      </c>
      <c r="AF5" s="11">
        <f t="shared" si="2"/>
        <v>46538</v>
      </c>
      <c r="AG5" s="11">
        <f t="shared" si="2"/>
        <v>46568</v>
      </c>
      <c r="AH5" s="11">
        <f t="shared" si="2"/>
        <v>46599</v>
      </c>
      <c r="AI5" s="11">
        <f t="shared" si="2"/>
        <v>46630</v>
      </c>
      <c r="AJ5" s="11">
        <f t="shared" si="2"/>
        <v>46660</v>
      </c>
      <c r="AK5" s="11">
        <f t="shared" si="2"/>
        <v>46691</v>
      </c>
      <c r="AL5" s="11">
        <f t="shared" si="2"/>
        <v>46721</v>
      </c>
      <c r="AM5" s="11">
        <f t="shared" si="2"/>
        <v>46752</v>
      </c>
      <c r="AN5" s="10">
        <v>2027</v>
      </c>
      <c r="AO5" s="11">
        <f>EOMONTH(EDATE(AM5,1),0)</f>
        <v>46783</v>
      </c>
      <c r="AP5" s="11">
        <f>EOMONTH(EDATE(AO5,1),0)</f>
        <v>46812</v>
      </c>
      <c r="AQ5" s="11">
        <f t="shared" ref="AQ5:AZ5" si="3">EOMONTH(EDATE(AP5,1),0)</f>
        <v>46843</v>
      </c>
      <c r="AR5" s="11">
        <f t="shared" si="3"/>
        <v>46873</v>
      </c>
      <c r="AS5" s="11">
        <f t="shared" si="3"/>
        <v>46904</v>
      </c>
      <c r="AT5" s="11">
        <f t="shared" si="3"/>
        <v>46934</v>
      </c>
      <c r="AU5" s="11">
        <f t="shared" si="3"/>
        <v>46965</v>
      </c>
      <c r="AV5" s="11">
        <f t="shared" si="3"/>
        <v>46996</v>
      </c>
      <c r="AW5" s="11">
        <f t="shared" si="3"/>
        <v>47026</v>
      </c>
      <c r="AX5" s="11">
        <f t="shared" si="3"/>
        <v>47057</v>
      </c>
      <c r="AY5" s="11">
        <f t="shared" si="3"/>
        <v>47087</v>
      </c>
      <c r="AZ5" s="11">
        <f t="shared" si="3"/>
        <v>47118</v>
      </c>
      <c r="BA5" s="10">
        <v>2028</v>
      </c>
      <c r="BB5" s="11">
        <f>EOMONTH(EDATE(AZ5,1),0)</f>
        <v>47149</v>
      </c>
      <c r="BC5" s="11">
        <f>EOMONTH(EDATE(BB5,1),0)</f>
        <v>47177</v>
      </c>
      <c r="BD5" s="11">
        <f>EOMONTH(EDATE(BC5,1),0)</f>
        <v>47208</v>
      </c>
      <c r="BE5" s="11">
        <f t="shared" ref="BE5:BM5" si="4">EOMONTH(EDATE(BD5,1),0)</f>
        <v>47238</v>
      </c>
      <c r="BF5" s="11">
        <f t="shared" si="4"/>
        <v>47269</v>
      </c>
      <c r="BG5" s="11">
        <f t="shared" si="4"/>
        <v>47299</v>
      </c>
      <c r="BH5" s="11">
        <f t="shared" si="4"/>
        <v>47330</v>
      </c>
      <c r="BI5" s="11">
        <f t="shared" si="4"/>
        <v>47361</v>
      </c>
      <c r="BJ5" s="11">
        <f t="shared" si="4"/>
        <v>47391</v>
      </c>
      <c r="BK5" s="11">
        <f t="shared" si="4"/>
        <v>47422</v>
      </c>
      <c r="BL5" s="11">
        <f t="shared" si="4"/>
        <v>47452</v>
      </c>
      <c r="BM5" s="11">
        <f t="shared" si="4"/>
        <v>47483</v>
      </c>
      <c r="BN5" s="10">
        <v>2029</v>
      </c>
    </row>
    <row r="6" spans="2:66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8" spans="2:66" ht="33.75" customHeight="1" x14ac:dyDescent="0.2">
      <c r="B8" s="12" t="str">
        <f>UPPER("Scenario Switch ")</f>
        <v xml:space="preserve">SCENARIO SWITCH </v>
      </c>
      <c r="C8" s="13">
        <v>1</v>
      </c>
    </row>
    <row r="11" spans="2:66" x14ac:dyDescent="0.2">
      <c r="B11" s="8" t="str">
        <f>UPPER("Economic Scenarios")</f>
        <v>ECONOMIC SCENARIOS</v>
      </c>
    </row>
    <row r="12" spans="2:66" x14ac:dyDescent="0.2">
      <c r="B12" s="6"/>
    </row>
    <row r="13" spans="2:66" x14ac:dyDescent="0.2">
      <c r="B13" s="6" t="s">
        <v>19</v>
      </c>
      <c r="G13" s="20">
        <f>CHOOSE($C$8,G15,G16,G17)</f>
        <v>2.8000000000000001E-2</v>
      </c>
      <c r="H13" s="14"/>
      <c r="I13" s="14"/>
      <c r="J13" s="14"/>
      <c r="K13" s="14"/>
      <c r="L13" s="14"/>
      <c r="M13" s="14"/>
      <c r="N13" s="20">
        <f>CHOOSE($C$8,N15,N16,N17)</f>
        <v>3.2000000000000001E-2</v>
      </c>
      <c r="O13" s="14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>
        <f>CHOOSE($C$8,AA15,AA16,AA17)</f>
        <v>2.1000000000000001E-2</v>
      </c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>
        <f>CHOOSE($C$8,AN15,AN16,AN17)</f>
        <v>0.02</v>
      </c>
      <c r="AO13" s="21"/>
      <c r="AP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>
        <f>CHOOSE($C$8,BA15,BA16,BA17)</f>
        <v>0.02</v>
      </c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2">
        <f>CHOOSE($C$8,BN15,BN16,BN17)</f>
        <v>0.02</v>
      </c>
    </row>
    <row r="14" spans="2:66" ht="5.25" customHeight="1" x14ac:dyDescent="0.2">
      <c r="B14" s="6"/>
    </row>
    <row r="15" spans="2:66" x14ac:dyDescent="0.2">
      <c r="B15" t="s">
        <v>14</v>
      </c>
      <c r="G15" s="17">
        <v>2.8000000000000001E-2</v>
      </c>
      <c r="H15" s="15"/>
      <c r="I15" s="15"/>
      <c r="J15" s="15"/>
      <c r="K15" s="15"/>
      <c r="L15" s="15"/>
      <c r="M15" s="15"/>
      <c r="N15" s="29">
        <v>3.2000000000000001E-2</v>
      </c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>
        <v>2.1000000000000001E-2</v>
      </c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30">
        <v>0.02</v>
      </c>
      <c r="AO15" s="26"/>
      <c r="AP15" s="26"/>
      <c r="AR15" s="26"/>
      <c r="AS15" s="26"/>
      <c r="AT15" s="26"/>
      <c r="AU15" s="26"/>
      <c r="AV15" s="26"/>
      <c r="AW15" s="26"/>
      <c r="AX15" s="26"/>
      <c r="AY15" s="26"/>
      <c r="AZ15" s="26"/>
      <c r="BA15" s="30">
        <v>0.02</v>
      </c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34">
        <v>0.02</v>
      </c>
    </row>
    <row r="16" spans="2:66" x14ac:dyDescent="0.2">
      <c r="B16" t="s">
        <v>15</v>
      </c>
      <c r="G16" s="18">
        <v>2.8000000000000001E-2</v>
      </c>
      <c r="N16" s="29">
        <v>3.2000000000000001E-2</v>
      </c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>
        <v>2.1000000000000001E-2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30">
        <v>1.7999999999999999E-2</v>
      </c>
      <c r="AO16" s="26"/>
      <c r="AP16" s="26"/>
      <c r="AR16" s="26"/>
      <c r="AS16" s="26"/>
      <c r="AT16" s="26"/>
      <c r="AU16" s="26"/>
      <c r="AV16" s="26"/>
      <c r="AW16" s="26"/>
      <c r="AX16" s="26"/>
      <c r="AY16" s="26"/>
      <c r="AZ16" s="26"/>
      <c r="BA16" s="30">
        <v>1.7999999999999999E-2</v>
      </c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34">
        <v>1.7999999999999999E-2</v>
      </c>
    </row>
    <row r="17" spans="1:66" x14ac:dyDescent="0.2">
      <c r="B17" t="s">
        <v>16</v>
      </c>
      <c r="G17" s="19">
        <v>2.8000000000000001E-2</v>
      </c>
      <c r="H17" s="16"/>
      <c r="I17" s="16"/>
      <c r="J17" s="16"/>
      <c r="K17" s="16"/>
      <c r="L17" s="16"/>
      <c r="M17" s="16"/>
      <c r="N17" s="29">
        <v>3.2000000000000001E-2</v>
      </c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>
        <v>2.1000000000000001E-2</v>
      </c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30">
        <v>2.5000000000000001E-2</v>
      </c>
      <c r="AO17" s="26"/>
      <c r="AP17" s="26"/>
      <c r="AR17" s="26"/>
      <c r="AS17" s="26"/>
      <c r="AT17" s="26"/>
      <c r="AU17" s="26"/>
      <c r="AV17" s="26"/>
      <c r="AW17" s="26"/>
      <c r="AX17" s="26"/>
      <c r="AY17" s="26"/>
      <c r="AZ17" s="26"/>
      <c r="BA17" s="30">
        <v>2.5000000000000001E-2</v>
      </c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34">
        <v>2.5000000000000001E-2</v>
      </c>
    </row>
    <row r="20" spans="1:66" x14ac:dyDescent="0.2">
      <c r="B20" s="8" t="str">
        <f>UPPER("Sales Scenarios")</f>
        <v>SALES SCENARIOS</v>
      </c>
    </row>
    <row r="21" spans="1:66" x14ac:dyDescent="0.2">
      <c r="B21" s="6"/>
    </row>
    <row r="22" spans="1:66" x14ac:dyDescent="0.2">
      <c r="B22" s="6" t="s">
        <v>204</v>
      </c>
      <c r="G22" s="66">
        <f t="shared" ref="G22:M22" si="5">CHOOSE($C$8,G24,G25,G26)</f>
        <v>100</v>
      </c>
      <c r="H22" s="66">
        <f t="shared" si="5"/>
        <v>100</v>
      </c>
      <c r="I22" s="66">
        <f t="shared" si="5"/>
        <v>100</v>
      </c>
      <c r="J22" s="66">
        <f t="shared" si="5"/>
        <v>100</v>
      </c>
      <c r="K22" s="66">
        <f t="shared" si="5"/>
        <v>100</v>
      </c>
      <c r="L22" s="66">
        <f t="shared" si="5"/>
        <v>100</v>
      </c>
      <c r="M22" s="66">
        <f t="shared" si="5"/>
        <v>100</v>
      </c>
      <c r="N22" s="92">
        <f>CHOOSE($C$8,N24,N25,N26)</f>
        <v>2.5</v>
      </c>
      <c r="O22" s="94">
        <f t="shared" ref="O22:Z22" si="6">CHOOSE($C$8,O24,O25,O26)</f>
        <v>2.5</v>
      </c>
      <c r="P22" s="94">
        <f t="shared" si="6"/>
        <v>2.5</v>
      </c>
      <c r="Q22" s="94">
        <f>CHOOSE($C$8,Q24,Q25,Q26)</f>
        <v>2.5</v>
      </c>
      <c r="R22" s="94">
        <f t="shared" si="6"/>
        <v>2.5</v>
      </c>
      <c r="S22" s="94">
        <f t="shared" si="6"/>
        <v>2.5</v>
      </c>
      <c r="T22" s="94">
        <f t="shared" si="6"/>
        <v>2.5</v>
      </c>
      <c r="U22" s="94">
        <f t="shared" si="6"/>
        <v>2.5</v>
      </c>
      <c r="V22" s="94">
        <f t="shared" si="6"/>
        <v>2.5</v>
      </c>
      <c r="W22" s="94">
        <f t="shared" si="6"/>
        <v>2.5</v>
      </c>
      <c r="X22" s="94">
        <f t="shared" si="6"/>
        <v>2.5</v>
      </c>
      <c r="Y22" s="94">
        <f t="shared" si="6"/>
        <v>2.5</v>
      </c>
      <c r="Z22" s="94">
        <f t="shared" si="6"/>
        <v>2.5</v>
      </c>
      <c r="AA22" s="94">
        <f>CHOOSE($C$8,AA24,AA25,AA26)</f>
        <v>2.5</v>
      </c>
      <c r="AB22" s="94">
        <f t="shared" ref="AB22:AM22" si="7">CHOOSE($C$8,AB24,AB25,AB26)</f>
        <v>2.5</v>
      </c>
      <c r="AC22" s="94">
        <f t="shared" si="7"/>
        <v>2.5</v>
      </c>
      <c r="AD22" s="94">
        <f t="shared" si="7"/>
        <v>2.5</v>
      </c>
      <c r="AE22" s="94">
        <f t="shared" si="7"/>
        <v>2.5</v>
      </c>
      <c r="AF22" s="94">
        <f t="shared" si="7"/>
        <v>2.5</v>
      </c>
      <c r="AG22" s="94">
        <f t="shared" si="7"/>
        <v>2.5</v>
      </c>
      <c r="AH22" s="94">
        <f t="shared" si="7"/>
        <v>2.5</v>
      </c>
      <c r="AI22" s="94">
        <f t="shared" si="7"/>
        <v>2.5</v>
      </c>
      <c r="AJ22" s="94">
        <f t="shared" si="7"/>
        <v>2.5</v>
      </c>
      <c r="AK22" s="94">
        <f t="shared" si="7"/>
        <v>2.5</v>
      </c>
      <c r="AL22" s="94">
        <f t="shared" si="7"/>
        <v>2.5</v>
      </c>
      <c r="AM22" s="94">
        <f t="shared" si="7"/>
        <v>2.5</v>
      </c>
      <c r="AN22" s="94">
        <f>CHOOSE($C$8,AN24,AN25,AN26)</f>
        <v>2.5</v>
      </c>
      <c r="AO22" s="94">
        <f t="shared" ref="AO22:AZ22" si="8">CHOOSE($C$8,AO24,AO25,AO26)</f>
        <v>2.5</v>
      </c>
      <c r="AP22" s="94">
        <f t="shared" si="8"/>
        <v>2.5</v>
      </c>
      <c r="AQ22" s="94">
        <f t="shared" si="8"/>
        <v>2.5</v>
      </c>
      <c r="AR22" s="94">
        <f t="shared" si="8"/>
        <v>2.5</v>
      </c>
      <c r="AS22" s="94">
        <f t="shared" si="8"/>
        <v>2.5</v>
      </c>
      <c r="AT22" s="94">
        <f t="shared" si="8"/>
        <v>2.5</v>
      </c>
      <c r="AU22" s="94">
        <f t="shared" si="8"/>
        <v>2.5</v>
      </c>
      <c r="AV22" s="94">
        <f t="shared" si="8"/>
        <v>2.5</v>
      </c>
      <c r="AW22" s="94">
        <f t="shared" si="8"/>
        <v>2.5</v>
      </c>
      <c r="AX22" s="94">
        <f t="shared" si="8"/>
        <v>2.5</v>
      </c>
      <c r="AY22" s="94">
        <f t="shared" si="8"/>
        <v>2.5</v>
      </c>
      <c r="AZ22" s="94">
        <f t="shared" si="8"/>
        <v>2.5</v>
      </c>
      <c r="BA22" s="94">
        <f>CHOOSE($C$8,BA24,BA25,BA26)</f>
        <v>2.5</v>
      </c>
      <c r="BB22" s="94">
        <f t="shared" ref="BB22:BM22" si="9">CHOOSE($C$8,BB24,BB25,BB26)</f>
        <v>2.5</v>
      </c>
      <c r="BC22" s="94">
        <f t="shared" si="9"/>
        <v>2.5</v>
      </c>
      <c r="BD22" s="94">
        <f t="shared" si="9"/>
        <v>2.5</v>
      </c>
      <c r="BE22" s="94">
        <f t="shared" si="9"/>
        <v>2.5</v>
      </c>
      <c r="BF22" s="94">
        <f t="shared" si="9"/>
        <v>2.5</v>
      </c>
      <c r="BG22" s="94">
        <f t="shared" si="9"/>
        <v>2.5</v>
      </c>
      <c r="BH22" s="94">
        <f t="shared" si="9"/>
        <v>2.5</v>
      </c>
      <c r="BI22" s="94">
        <f t="shared" si="9"/>
        <v>2.5</v>
      </c>
      <c r="BJ22" s="94">
        <f t="shared" si="9"/>
        <v>2.5</v>
      </c>
      <c r="BK22" s="94">
        <f t="shared" si="9"/>
        <v>2.5</v>
      </c>
      <c r="BL22" s="94">
        <f t="shared" si="9"/>
        <v>2.5</v>
      </c>
      <c r="BM22" s="94">
        <f t="shared" si="9"/>
        <v>2.5</v>
      </c>
      <c r="BN22" s="96">
        <f>CHOOSE($C$8,BN24,BN25,BN26)</f>
        <v>2.5</v>
      </c>
    </row>
    <row r="23" spans="1:66" ht="5.25" customHeight="1" x14ac:dyDescent="0.2">
      <c r="B23" s="6"/>
    </row>
    <row r="24" spans="1:66" x14ac:dyDescent="0.2">
      <c r="B24" t="s">
        <v>14</v>
      </c>
      <c r="G24" s="72">
        <v>100</v>
      </c>
      <c r="H24" s="73">
        <v>100</v>
      </c>
      <c r="I24" s="74">
        <v>100</v>
      </c>
      <c r="J24" s="74">
        <v>100</v>
      </c>
      <c r="K24" s="74">
        <v>100</v>
      </c>
      <c r="L24" s="74">
        <v>100</v>
      </c>
      <c r="M24" s="74">
        <v>100</v>
      </c>
      <c r="N24" s="172">
        <v>2.5</v>
      </c>
      <c r="O24" s="170">
        <v>2.5</v>
      </c>
      <c r="P24" s="170">
        <v>2.5</v>
      </c>
      <c r="Q24" s="170">
        <v>2.5</v>
      </c>
      <c r="R24" s="170">
        <v>2.5</v>
      </c>
      <c r="S24" s="170">
        <v>2.5</v>
      </c>
      <c r="T24" s="170">
        <v>2.5</v>
      </c>
      <c r="U24" s="170">
        <v>2.5</v>
      </c>
      <c r="V24" s="170">
        <v>2.5</v>
      </c>
      <c r="W24" s="170">
        <v>2.5</v>
      </c>
      <c r="X24" s="170">
        <v>2.5</v>
      </c>
      <c r="Y24" s="170">
        <v>2.5</v>
      </c>
      <c r="Z24" s="170">
        <v>2.5</v>
      </c>
      <c r="AA24" s="170">
        <v>2.5</v>
      </c>
      <c r="AB24" s="170">
        <v>2.5</v>
      </c>
      <c r="AC24" s="170">
        <v>2.5</v>
      </c>
      <c r="AD24" s="170">
        <v>2.5</v>
      </c>
      <c r="AE24" s="170">
        <v>2.5</v>
      </c>
      <c r="AF24" s="170">
        <v>2.5</v>
      </c>
      <c r="AG24" s="170">
        <v>2.5</v>
      </c>
      <c r="AH24" s="170">
        <v>2.5</v>
      </c>
      <c r="AI24" s="170">
        <v>2.5</v>
      </c>
      <c r="AJ24" s="170">
        <v>2.5</v>
      </c>
      <c r="AK24" s="170">
        <v>2.5</v>
      </c>
      <c r="AL24" s="170">
        <v>2.5</v>
      </c>
      <c r="AM24" s="170">
        <v>2.5</v>
      </c>
      <c r="AN24" s="170">
        <v>2.5</v>
      </c>
      <c r="AO24" s="170">
        <v>2.5</v>
      </c>
      <c r="AP24" s="170">
        <v>2.5</v>
      </c>
      <c r="AQ24" s="170">
        <v>2.5</v>
      </c>
      <c r="AR24" s="170">
        <v>2.5</v>
      </c>
      <c r="AS24" s="170">
        <v>2.5</v>
      </c>
      <c r="AT24" s="170">
        <v>2.5</v>
      </c>
      <c r="AU24" s="170">
        <v>2.5</v>
      </c>
      <c r="AV24" s="170">
        <v>2.5</v>
      </c>
      <c r="AW24" s="170">
        <v>2.5</v>
      </c>
      <c r="AX24" s="170">
        <v>2.5</v>
      </c>
      <c r="AY24" s="170">
        <v>2.5</v>
      </c>
      <c r="AZ24" s="170">
        <v>2.5</v>
      </c>
      <c r="BA24" s="170">
        <v>2.5</v>
      </c>
      <c r="BB24" s="170">
        <v>2.5</v>
      </c>
      <c r="BC24" s="170">
        <v>2.5</v>
      </c>
      <c r="BD24" s="170">
        <v>2.5</v>
      </c>
      <c r="BE24" s="170">
        <v>2.5</v>
      </c>
      <c r="BF24" s="170">
        <v>2.5</v>
      </c>
      <c r="BG24" s="170">
        <v>2.5</v>
      </c>
      <c r="BH24" s="170">
        <v>2.5</v>
      </c>
      <c r="BI24" s="170">
        <v>2.5</v>
      </c>
      <c r="BJ24" s="170">
        <v>2.5</v>
      </c>
      <c r="BK24" s="170">
        <v>2.5</v>
      </c>
      <c r="BL24" s="170">
        <v>2.5</v>
      </c>
      <c r="BM24" s="170">
        <v>2.5</v>
      </c>
      <c r="BN24" s="173">
        <v>2.5</v>
      </c>
    </row>
    <row r="25" spans="1:66" x14ac:dyDescent="0.2">
      <c r="A25" s="27"/>
      <c r="B25" t="s">
        <v>17</v>
      </c>
      <c r="G25" s="67">
        <f t="shared" ref="G25:M25" si="10">G24*(1+$A$25)</f>
        <v>100</v>
      </c>
      <c r="H25" s="69">
        <f t="shared" si="10"/>
        <v>100</v>
      </c>
      <c r="I25" s="69">
        <f t="shared" si="10"/>
        <v>100</v>
      </c>
      <c r="J25" s="69">
        <f t="shared" si="10"/>
        <v>100</v>
      </c>
      <c r="K25" s="69">
        <f t="shared" si="10"/>
        <v>100</v>
      </c>
      <c r="L25" s="69">
        <f t="shared" si="10"/>
        <v>100</v>
      </c>
      <c r="M25" s="69">
        <f t="shared" si="10"/>
        <v>100</v>
      </c>
      <c r="N25" s="174">
        <v>3</v>
      </c>
      <c r="O25" s="175">
        <f t="shared" ref="O25:Z25" si="11">O24*(1+$A$25)</f>
        <v>2.5</v>
      </c>
      <c r="P25" s="175">
        <f t="shared" si="11"/>
        <v>2.5</v>
      </c>
      <c r="Q25" s="175">
        <f t="shared" si="11"/>
        <v>2.5</v>
      </c>
      <c r="R25" s="175">
        <f t="shared" si="11"/>
        <v>2.5</v>
      </c>
      <c r="S25" s="175">
        <f t="shared" si="11"/>
        <v>2.5</v>
      </c>
      <c r="T25" s="175">
        <f t="shared" si="11"/>
        <v>2.5</v>
      </c>
      <c r="U25" s="175">
        <f t="shared" si="11"/>
        <v>2.5</v>
      </c>
      <c r="V25" s="175">
        <f t="shared" si="11"/>
        <v>2.5</v>
      </c>
      <c r="W25" s="175">
        <f t="shared" si="11"/>
        <v>2.5</v>
      </c>
      <c r="X25" s="175">
        <f t="shared" si="11"/>
        <v>2.5</v>
      </c>
      <c r="Y25" s="175">
        <f t="shared" si="11"/>
        <v>2.5</v>
      </c>
      <c r="Z25" s="175">
        <f t="shared" si="11"/>
        <v>2.5</v>
      </c>
      <c r="AA25" s="175">
        <v>3</v>
      </c>
      <c r="AB25" s="175">
        <f t="shared" ref="AB25:AM25" si="12">AB24*(1+$A$25)</f>
        <v>2.5</v>
      </c>
      <c r="AC25" s="175">
        <f t="shared" si="12"/>
        <v>2.5</v>
      </c>
      <c r="AD25" s="175">
        <f t="shared" si="12"/>
        <v>2.5</v>
      </c>
      <c r="AE25" s="175">
        <f t="shared" si="12"/>
        <v>2.5</v>
      </c>
      <c r="AF25" s="175">
        <f t="shared" si="12"/>
        <v>2.5</v>
      </c>
      <c r="AG25" s="175">
        <f t="shared" si="12"/>
        <v>2.5</v>
      </c>
      <c r="AH25" s="175">
        <f t="shared" si="12"/>
        <v>2.5</v>
      </c>
      <c r="AI25" s="175">
        <f t="shared" si="12"/>
        <v>2.5</v>
      </c>
      <c r="AJ25" s="175">
        <f t="shared" si="12"/>
        <v>2.5</v>
      </c>
      <c r="AK25" s="175">
        <f t="shared" si="12"/>
        <v>2.5</v>
      </c>
      <c r="AL25" s="175">
        <f t="shared" si="12"/>
        <v>2.5</v>
      </c>
      <c r="AM25" s="175">
        <f t="shared" si="12"/>
        <v>2.5</v>
      </c>
      <c r="AN25" s="175">
        <v>3</v>
      </c>
      <c r="AO25" s="175">
        <f t="shared" ref="AO25:BM25" si="13">AO24*(1+$A$25)</f>
        <v>2.5</v>
      </c>
      <c r="AP25" s="175">
        <f t="shared" si="13"/>
        <v>2.5</v>
      </c>
      <c r="AQ25" s="175">
        <f t="shared" si="13"/>
        <v>2.5</v>
      </c>
      <c r="AR25" s="175">
        <f t="shared" si="13"/>
        <v>2.5</v>
      </c>
      <c r="AS25" s="175">
        <f t="shared" si="13"/>
        <v>2.5</v>
      </c>
      <c r="AT25" s="175">
        <f t="shared" si="13"/>
        <v>2.5</v>
      </c>
      <c r="AU25" s="175">
        <f t="shared" si="13"/>
        <v>2.5</v>
      </c>
      <c r="AV25" s="175">
        <f t="shared" si="13"/>
        <v>2.5</v>
      </c>
      <c r="AW25" s="175">
        <f t="shared" si="13"/>
        <v>2.5</v>
      </c>
      <c r="AX25" s="175">
        <f t="shared" si="13"/>
        <v>2.5</v>
      </c>
      <c r="AY25" s="175">
        <f t="shared" si="13"/>
        <v>2.5</v>
      </c>
      <c r="AZ25" s="175">
        <f t="shared" si="13"/>
        <v>2.5</v>
      </c>
      <c r="BA25" s="175">
        <v>3</v>
      </c>
      <c r="BB25" s="175">
        <f t="shared" si="13"/>
        <v>2.5</v>
      </c>
      <c r="BC25" s="175">
        <f t="shared" si="13"/>
        <v>2.5</v>
      </c>
      <c r="BD25" s="175">
        <f t="shared" si="13"/>
        <v>2.5</v>
      </c>
      <c r="BE25" s="175">
        <f t="shared" si="13"/>
        <v>2.5</v>
      </c>
      <c r="BF25" s="175">
        <f t="shared" si="13"/>
        <v>2.5</v>
      </c>
      <c r="BG25" s="175">
        <f t="shared" si="13"/>
        <v>2.5</v>
      </c>
      <c r="BH25" s="175">
        <f t="shared" si="13"/>
        <v>2.5</v>
      </c>
      <c r="BI25" s="175">
        <f t="shared" si="13"/>
        <v>2.5</v>
      </c>
      <c r="BJ25" s="175">
        <f t="shared" si="13"/>
        <v>2.5</v>
      </c>
      <c r="BK25" s="175">
        <f t="shared" si="13"/>
        <v>2.5</v>
      </c>
      <c r="BL25" s="175">
        <f t="shared" si="13"/>
        <v>2.5</v>
      </c>
      <c r="BM25" s="175">
        <f t="shared" si="13"/>
        <v>2.5</v>
      </c>
      <c r="BN25" s="176">
        <v>3</v>
      </c>
    </row>
    <row r="26" spans="1:66" x14ac:dyDescent="0.2">
      <c r="A26" s="28"/>
      <c r="B26" t="s">
        <v>16</v>
      </c>
      <c r="G26" s="70">
        <f t="shared" ref="G26:M26" si="14">G24*(1+$A$26)</f>
        <v>100</v>
      </c>
      <c r="H26" s="70">
        <f t="shared" si="14"/>
        <v>100</v>
      </c>
      <c r="I26" s="70">
        <f t="shared" si="14"/>
        <v>100</v>
      </c>
      <c r="J26" s="70">
        <f t="shared" si="14"/>
        <v>100</v>
      </c>
      <c r="K26" s="70">
        <f t="shared" si="14"/>
        <v>100</v>
      </c>
      <c r="L26" s="70">
        <f t="shared" si="14"/>
        <v>100</v>
      </c>
      <c r="M26" s="70">
        <f t="shared" si="14"/>
        <v>100</v>
      </c>
      <c r="N26" s="177">
        <v>2</v>
      </c>
      <c r="O26" s="178">
        <v>2</v>
      </c>
      <c r="P26" s="178">
        <v>2</v>
      </c>
      <c r="Q26" s="178">
        <v>2</v>
      </c>
      <c r="R26" s="178">
        <v>2</v>
      </c>
      <c r="S26" s="178">
        <v>2</v>
      </c>
      <c r="T26" s="178">
        <v>2</v>
      </c>
      <c r="U26" s="178">
        <v>2</v>
      </c>
      <c r="V26" s="178">
        <v>2</v>
      </c>
      <c r="W26" s="178">
        <v>2</v>
      </c>
      <c r="X26" s="178">
        <v>2</v>
      </c>
      <c r="Y26" s="178">
        <v>2</v>
      </c>
      <c r="Z26" s="178">
        <v>2</v>
      </c>
      <c r="AA26" s="178">
        <v>2</v>
      </c>
      <c r="AB26" s="178">
        <v>2</v>
      </c>
      <c r="AC26" s="178">
        <v>2</v>
      </c>
      <c r="AD26" s="178">
        <v>2</v>
      </c>
      <c r="AE26" s="178">
        <v>2</v>
      </c>
      <c r="AF26" s="178">
        <v>2</v>
      </c>
      <c r="AG26" s="178">
        <v>2</v>
      </c>
      <c r="AH26" s="178">
        <v>2</v>
      </c>
      <c r="AI26" s="178">
        <v>2</v>
      </c>
      <c r="AJ26" s="178">
        <v>2</v>
      </c>
      <c r="AK26" s="178">
        <v>2</v>
      </c>
      <c r="AL26" s="178">
        <v>2</v>
      </c>
      <c r="AM26" s="178">
        <v>2</v>
      </c>
      <c r="AN26" s="178">
        <v>2</v>
      </c>
      <c r="AO26" s="178">
        <v>2</v>
      </c>
      <c r="AP26" s="178">
        <v>2</v>
      </c>
      <c r="AQ26" s="178">
        <v>2</v>
      </c>
      <c r="AR26" s="178">
        <v>2</v>
      </c>
      <c r="AS26" s="178">
        <v>2</v>
      </c>
      <c r="AT26" s="178">
        <v>2</v>
      </c>
      <c r="AU26" s="178">
        <v>2</v>
      </c>
      <c r="AV26" s="178">
        <v>2</v>
      </c>
      <c r="AW26" s="178">
        <v>2</v>
      </c>
      <c r="AX26" s="178">
        <v>2</v>
      </c>
      <c r="AY26" s="178">
        <v>2</v>
      </c>
      <c r="AZ26" s="178">
        <v>2</v>
      </c>
      <c r="BA26" s="178">
        <v>2</v>
      </c>
      <c r="BB26" s="178">
        <v>2</v>
      </c>
      <c r="BC26" s="178">
        <v>2</v>
      </c>
      <c r="BD26" s="178">
        <v>2</v>
      </c>
      <c r="BE26" s="178">
        <v>2</v>
      </c>
      <c r="BF26" s="178">
        <v>2</v>
      </c>
      <c r="BG26" s="178">
        <v>2</v>
      </c>
      <c r="BH26" s="178">
        <v>2</v>
      </c>
      <c r="BI26" s="178">
        <v>2</v>
      </c>
      <c r="BJ26" s="178">
        <v>2</v>
      </c>
      <c r="BK26" s="178">
        <v>2</v>
      </c>
      <c r="BL26" s="178">
        <v>2</v>
      </c>
      <c r="BM26" s="178">
        <v>2</v>
      </c>
      <c r="BN26" s="179">
        <v>2</v>
      </c>
    </row>
    <row r="27" spans="1:66" x14ac:dyDescent="0.2"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</row>
    <row r="28" spans="1:66" x14ac:dyDescent="0.2">
      <c r="B28" s="6" t="s">
        <v>205</v>
      </c>
      <c r="G28" s="66">
        <f t="shared" ref="G28:M28" si="15">CHOOSE($C$8,G30,G31,G32)</f>
        <v>100</v>
      </c>
      <c r="H28" s="66">
        <f t="shared" si="15"/>
        <v>100</v>
      </c>
      <c r="I28" s="66">
        <f t="shared" si="15"/>
        <v>100</v>
      </c>
      <c r="J28" s="66">
        <f t="shared" si="15"/>
        <v>100</v>
      </c>
      <c r="K28" s="66">
        <f t="shared" si="15"/>
        <v>100</v>
      </c>
      <c r="L28" s="66">
        <f t="shared" si="15"/>
        <v>100</v>
      </c>
      <c r="M28" s="66">
        <f t="shared" si="15"/>
        <v>100</v>
      </c>
      <c r="N28" s="92">
        <f>CHOOSE($C$8,N30,N31,N32)</f>
        <v>2.5</v>
      </c>
      <c r="O28" s="94">
        <f t="shared" ref="O28:P28" si="16">CHOOSE($C$8,O30,O31,O32)</f>
        <v>2.5</v>
      </c>
      <c r="P28" s="94">
        <f t="shared" si="16"/>
        <v>2.5</v>
      </c>
      <c r="Q28" s="94">
        <f>CHOOSE($C$8,Q30,Q31,Q32)</f>
        <v>2.5</v>
      </c>
      <c r="R28" s="94">
        <f t="shared" ref="R28:Z28" si="17">CHOOSE($C$8,R30,R31,R32)</f>
        <v>2.5</v>
      </c>
      <c r="S28" s="94">
        <f t="shared" si="17"/>
        <v>2.5</v>
      </c>
      <c r="T28" s="94">
        <f t="shared" si="17"/>
        <v>2.5</v>
      </c>
      <c r="U28" s="94">
        <f t="shared" si="17"/>
        <v>2.5</v>
      </c>
      <c r="V28" s="94">
        <f t="shared" si="17"/>
        <v>2.5</v>
      </c>
      <c r="W28" s="94">
        <f t="shared" si="17"/>
        <v>2.5</v>
      </c>
      <c r="X28" s="94">
        <f t="shared" si="17"/>
        <v>2.5</v>
      </c>
      <c r="Y28" s="94">
        <f t="shared" si="17"/>
        <v>2.5</v>
      </c>
      <c r="Z28" s="94">
        <f t="shared" si="17"/>
        <v>2.5</v>
      </c>
      <c r="AA28" s="94">
        <f>CHOOSE($C$8,AA30,AA31,AA32)</f>
        <v>2.5</v>
      </c>
      <c r="AB28" s="94">
        <f t="shared" ref="AB28:AM28" si="18">CHOOSE($C$8,AB30,AB31,AB32)</f>
        <v>2.5</v>
      </c>
      <c r="AC28" s="94">
        <f t="shared" si="18"/>
        <v>2.5</v>
      </c>
      <c r="AD28" s="94">
        <f t="shared" si="18"/>
        <v>2.5</v>
      </c>
      <c r="AE28" s="94">
        <f t="shared" si="18"/>
        <v>2.5</v>
      </c>
      <c r="AF28" s="94">
        <f t="shared" si="18"/>
        <v>2.5</v>
      </c>
      <c r="AG28" s="94">
        <f t="shared" si="18"/>
        <v>2.5</v>
      </c>
      <c r="AH28" s="94">
        <f t="shared" si="18"/>
        <v>2.5</v>
      </c>
      <c r="AI28" s="94">
        <f t="shared" si="18"/>
        <v>2.5</v>
      </c>
      <c r="AJ28" s="94">
        <f t="shared" si="18"/>
        <v>2.5</v>
      </c>
      <c r="AK28" s="94">
        <f t="shared" si="18"/>
        <v>2.5</v>
      </c>
      <c r="AL28" s="94">
        <f t="shared" si="18"/>
        <v>2.5</v>
      </c>
      <c r="AM28" s="94">
        <f t="shared" si="18"/>
        <v>2.5</v>
      </c>
      <c r="AN28" s="94">
        <f>CHOOSE($C$8,AN30,AN31,AN32)</f>
        <v>2.5</v>
      </c>
      <c r="AO28" s="94">
        <f t="shared" ref="AO28:AZ28" si="19">CHOOSE($C$8,AO30,AO31,AO32)</f>
        <v>2.5</v>
      </c>
      <c r="AP28" s="94">
        <f t="shared" si="19"/>
        <v>2.5</v>
      </c>
      <c r="AQ28" s="94">
        <f t="shared" si="19"/>
        <v>2.5</v>
      </c>
      <c r="AR28" s="94">
        <f t="shared" si="19"/>
        <v>2.5</v>
      </c>
      <c r="AS28" s="94">
        <f t="shared" si="19"/>
        <v>2.5</v>
      </c>
      <c r="AT28" s="94">
        <f t="shared" si="19"/>
        <v>2.5</v>
      </c>
      <c r="AU28" s="94">
        <f t="shared" si="19"/>
        <v>2.5</v>
      </c>
      <c r="AV28" s="94">
        <f t="shared" si="19"/>
        <v>2.5</v>
      </c>
      <c r="AW28" s="94">
        <f t="shared" si="19"/>
        <v>2.5</v>
      </c>
      <c r="AX28" s="94">
        <f t="shared" si="19"/>
        <v>2.5</v>
      </c>
      <c r="AY28" s="94">
        <f t="shared" si="19"/>
        <v>2.5</v>
      </c>
      <c r="AZ28" s="94">
        <f t="shared" si="19"/>
        <v>2.5</v>
      </c>
      <c r="BA28" s="94">
        <f>CHOOSE($C$8,BA30,BA31,BA32)</f>
        <v>2.5</v>
      </c>
      <c r="BB28" s="94">
        <f t="shared" ref="BB28:BM28" si="20">CHOOSE($C$8,BB30,BB31,BB32)</f>
        <v>2.5</v>
      </c>
      <c r="BC28" s="94">
        <f t="shared" si="20"/>
        <v>2.5</v>
      </c>
      <c r="BD28" s="94">
        <f t="shared" si="20"/>
        <v>2.5</v>
      </c>
      <c r="BE28" s="94">
        <f t="shared" si="20"/>
        <v>2.5</v>
      </c>
      <c r="BF28" s="94">
        <f t="shared" si="20"/>
        <v>2.5</v>
      </c>
      <c r="BG28" s="94">
        <f t="shared" si="20"/>
        <v>2.5</v>
      </c>
      <c r="BH28" s="94">
        <f t="shared" si="20"/>
        <v>2.5</v>
      </c>
      <c r="BI28" s="94">
        <f t="shared" si="20"/>
        <v>2.5</v>
      </c>
      <c r="BJ28" s="94">
        <f t="shared" si="20"/>
        <v>2.5</v>
      </c>
      <c r="BK28" s="94">
        <f t="shared" si="20"/>
        <v>2.5</v>
      </c>
      <c r="BL28" s="94">
        <f t="shared" si="20"/>
        <v>2.5</v>
      </c>
      <c r="BM28" s="94">
        <f t="shared" si="20"/>
        <v>2.5</v>
      </c>
      <c r="BN28" s="96">
        <f>CHOOSE($C$8,BN30,BN31,BN32)</f>
        <v>2.5</v>
      </c>
    </row>
    <row r="29" spans="1:66" ht="5.25" customHeight="1" x14ac:dyDescent="0.2">
      <c r="B29" s="6"/>
    </row>
    <row r="30" spans="1:66" x14ac:dyDescent="0.2">
      <c r="B30" t="s">
        <v>14</v>
      </c>
      <c r="G30" s="68">
        <v>100</v>
      </c>
      <c r="H30" s="68">
        <v>100</v>
      </c>
      <c r="I30" s="68">
        <v>100</v>
      </c>
      <c r="J30" s="68">
        <v>100</v>
      </c>
      <c r="K30" s="68">
        <v>100</v>
      </c>
      <c r="L30" s="68">
        <v>100</v>
      </c>
      <c r="M30" s="68">
        <v>100</v>
      </c>
      <c r="N30" s="172">
        <v>2.5</v>
      </c>
      <c r="O30" s="170">
        <v>2.5</v>
      </c>
      <c r="P30" s="170">
        <v>2.5</v>
      </c>
      <c r="Q30" s="170">
        <v>2.5</v>
      </c>
      <c r="R30" s="170">
        <v>2.5</v>
      </c>
      <c r="S30" s="170">
        <v>2.5</v>
      </c>
      <c r="T30" s="170">
        <v>2.5</v>
      </c>
      <c r="U30" s="170">
        <v>2.5</v>
      </c>
      <c r="V30" s="170">
        <v>2.5</v>
      </c>
      <c r="W30" s="170">
        <v>2.5</v>
      </c>
      <c r="X30" s="170">
        <v>2.5</v>
      </c>
      <c r="Y30" s="170">
        <v>2.5</v>
      </c>
      <c r="Z30" s="170">
        <v>2.5</v>
      </c>
      <c r="AA30" s="170">
        <v>2.5</v>
      </c>
      <c r="AB30" s="170">
        <v>2.5</v>
      </c>
      <c r="AC30" s="170">
        <v>2.5</v>
      </c>
      <c r="AD30" s="170">
        <v>2.5</v>
      </c>
      <c r="AE30" s="170">
        <v>2.5</v>
      </c>
      <c r="AF30" s="170">
        <v>2.5</v>
      </c>
      <c r="AG30" s="170">
        <v>2.5</v>
      </c>
      <c r="AH30" s="170">
        <v>2.5</v>
      </c>
      <c r="AI30" s="170">
        <v>2.5</v>
      </c>
      <c r="AJ30" s="170">
        <v>2.5</v>
      </c>
      <c r="AK30" s="170">
        <v>2.5</v>
      </c>
      <c r="AL30" s="170">
        <v>2.5</v>
      </c>
      <c r="AM30" s="170">
        <v>2.5</v>
      </c>
      <c r="AN30" s="170">
        <v>2.5</v>
      </c>
      <c r="AO30" s="170">
        <v>2.5</v>
      </c>
      <c r="AP30" s="170">
        <v>2.5</v>
      </c>
      <c r="AQ30" s="170">
        <v>2.5</v>
      </c>
      <c r="AR30" s="170">
        <v>2.5</v>
      </c>
      <c r="AS30" s="170">
        <v>2.5</v>
      </c>
      <c r="AT30" s="170">
        <v>2.5</v>
      </c>
      <c r="AU30" s="170">
        <v>2.5</v>
      </c>
      <c r="AV30" s="170">
        <v>2.5</v>
      </c>
      <c r="AW30" s="170">
        <v>2.5</v>
      </c>
      <c r="AX30" s="170">
        <v>2.5</v>
      </c>
      <c r="AY30" s="170">
        <v>2.5</v>
      </c>
      <c r="AZ30" s="170">
        <v>2.5</v>
      </c>
      <c r="BA30" s="170">
        <v>2.5</v>
      </c>
      <c r="BB30" s="170">
        <v>2.5</v>
      </c>
      <c r="BC30" s="170">
        <v>2.5</v>
      </c>
      <c r="BD30" s="170">
        <v>2.5</v>
      </c>
      <c r="BE30" s="170">
        <v>2.5</v>
      </c>
      <c r="BF30" s="170">
        <v>2.5</v>
      </c>
      <c r="BG30" s="170">
        <v>2.5</v>
      </c>
      <c r="BH30" s="170">
        <v>2.5</v>
      </c>
      <c r="BI30" s="170">
        <v>2.5</v>
      </c>
      <c r="BJ30" s="170">
        <v>2.5</v>
      </c>
      <c r="BK30" s="170">
        <v>2.5</v>
      </c>
      <c r="BL30" s="170">
        <v>2.5</v>
      </c>
      <c r="BM30" s="170">
        <v>2.5</v>
      </c>
      <c r="BN30" s="173">
        <v>2.5</v>
      </c>
    </row>
    <row r="31" spans="1:66" x14ac:dyDescent="0.2">
      <c r="A31" s="27"/>
      <c r="B31" t="s">
        <v>17</v>
      </c>
      <c r="G31" s="69">
        <f t="shared" ref="G31:M31" si="21">G30*(1+$A$31)</f>
        <v>100</v>
      </c>
      <c r="H31" s="69">
        <f t="shared" si="21"/>
        <v>100</v>
      </c>
      <c r="I31" s="69">
        <f t="shared" si="21"/>
        <v>100</v>
      </c>
      <c r="J31" s="69">
        <f t="shared" si="21"/>
        <v>100</v>
      </c>
      <c r="K31" s="69">
        <f t="shared" si="21"/>
        <v>100</v>
      </c>
      <c r="L31" s="69">
        <f t="shared" si="21"/>
        <v>100</v>
      </c>
      <c r="M31" s="69">
        <f t="shared" si="21"/>
        <v>100</v>
      </c>
      <c r="N31" s="174">
        <v>3</v>
      </c>
      <c r="O31" s="175">
        <f t="shared" ref="O31:Z31" si="22">O30*(1+$A$25)</f>
        <v>2.5</v>
      </c>
      <c r="P31" s="175">
        <f t="shared" si="22"/>
        <v>2.5</v>
      </c>
      <c r="Q31" s="175">
        <f t="shared" si="22"/>
        <v>2.5</v>
      </c>
      <c r="R31" s="175">
        <f t="shared" si="22"/>
        <v>2.5</v>
      </c>
      <c r="S31" s="175">
        <f t="shared" si="22"/>
        <v>2.5</v>
      </c>
      <c r="T31" s="175">
        <f t="shared" si="22"/>
        <v>2.5</v>
      </c>
      <c r="U31" s="175">
        <f t="shared" si="22"/>
        <v>2.5</v>
      </c>
      <c r="V31" s="175">
        <f t="shared" si="22"/>
        <v>2.5</v>
      </c>
      <c r="W31" s="175">
        <f t="shared" si="22"/>
        <v>2.5</v>
      </c>
      <c r="X31" s="175">
        <f t="shared" si="22"/>
        <v>2.5</v>
      </c>
      <c r="Y31" s="175">
        <f t="shared" si="22"/>
        <v>2.5</v>
      </c>
      <c r="Z31" s="175">
        <f t="shared" si="22"/>
        <v>2.5</v>
      </c>
      <c r="AA31" s="175">
        <v>3</v>
      </c>
      <c r="AB31" s="175">
        <f t="shared" ref="AB31:AM31" si="23">AB30*(1+$A$25)</f>
        <v>2.5</v>
      </c>
      <c r="AC31" s="175">
        <f t="shared" si="23"/>
        <v>2.5</v>
      </c>
      <c r="AD31" s="175">
        <f t="shared" si="23"/>
        <v>2.5</v>
      </c>
      <c r="AE31" s="175">
        <f t="shared" si="23"/>
        <v>2.5</v>
      </c>
      <c r="AF31" s="175">
        <f t="shared" si="23"/>
        <v>2.5</v>
      </c>
      <c r="AG31" s="175">
        <f t="shared" si="23"/>
        <v>2.5</v>
      </c>
      <c r="AH31" s="175">
        <f t="shared" si="23"/>
        <v>2.5</v>
      </c>
      <c r="AI31" s="175">
        <f t="shared" si="23"/>
        <v>2.5</v>
      </c>
      <c r="AJ31" s="175">
        <f t="shared" si="23"/>
        <v>2.5</v>
      </c>
      <c r="AK31" s="175">
        <f t="shared" si="23"/>
        <v>2.5</v>
      </c>
      <c r="AL31" s="175">
        <f t="shared" si="23"/>
        <v>2.5</v>
      </c>
      <c r="AM31" s="175">
        <f t="shared" si="23"/>
        <v>2.5</v>
      </c>
      <c r="AN31" s="175">
        <v>3</v>
      </c>
      <c r="AO31" s="175">
        <f t="shared" ref="AO31" si="24">AO30*(1+$A$25)</f>
        <v>2.5</v>
      </c>
      <c r="AP31" s="175">
        <f t="shared" ref="AP31" si="25">AP30*(1+$A$25)</f>
        <v>2.5</v>
      </c>
      <c r="AQ31" s="175">
        <f t="shared" ref="AQ31" si="26">AQ30*(1+$A$25)</f>
        <v>2.5</v>
      </c>
      <c r="AR31" s="175">
        <f t="shared" ref="AR31" si="27">AR30*(1+$A$25)</f>
        <v>2.5</v>
      </c>
      <c r="AS31" s="175">
        <f t="shared" ref="AS31" si="28">AS30*(1+$A$25)</f>
        <v>2.5</v>
      </c>
      <c r="AT31" s="175">
        <f t="shared" ref="AT31" si="29">AT30*(1+$A$25)</f>
        <v>2.5</v>
      </c>
      <c r="AU31" s="175">
        <f t="shared" ref="AU31" si="30">AU30*(1+$A$25)</f>
        <v>2.5</v>
      </c>
      <c r="AV31" s="175">
        <f t="shared" ref="AV31" si="31">AV30*(1+$A$25)</f>
        <v>2.5</v>
      </c>
      <c r="AW31" s="175">
        <f t="shared" ref="AW31" si="32">AW30*(1+$A$25)</f>
        <v>2.5</v>
      </c>
      <c r="AX31" s="175">
        <f t="shared" ref="AX31" si="33">AX30*(1+$A$25)</f>
        <v>2.5</v>
      </c>
      <c r="AY31" s="175">
        <f t="shared" ref="AY31" si="34">AY30*(1+$A$25)</f>
        <v>2.5</v>
      </c>
      <c r="AZ31" s="175">
        <f t="shared" ref="AZ31" si="35">AZ30*(1+$A$25)</f>
        <v>2.5</v>
      </c>
      <c r="BA31" s="175">
        <v>3</v>
      </c>
      <c r="BB31" s="175">
        <f t="shared" ref="BB31" si="36">BB30*(1+$A$25)</f>
        <v>2.5</v>
      </c>
      <c r="BC31" s="175">
        <f t="shared" ref="BC31" si="37">BC30*(1+$A$25)</f>
        <v>2.5</v>
      </c>
      <c r="BD31" s="175">
        <f t="shared" ref="BD31" si="38">BD30*(1+$A$25)</f>
        <v>2.5</v>
      </c>
      <c r="BE31" s="175">
        <f t="shared" ref="BE31" si="39">BE30*(1+$A$25)</f>
        <v>2.5</v>
      </c>
      <c r="BF31" s="175">
        <f t="shared" ref="BF31" si="40">BF30*(1+$A$25)</f>
        <v>2.5</v>
      </c>
      <c r="BG31" s="175">
        <f t="shared" ref="BG31" si="41">BG30*(1+$A$25)</f>
        <v>2.5</v>
      </c>
      <c r="BH31" s="175">
        <f t="shared" ref="BH31" si="42">BH30*(1+$A$25)</f>
        <v>2.5</v>
      </c>
      <c r="BI31" s="175">
        <f t="shared" ref="BI31" si="43">BI30*(1+$A$25)</f>
        <v>2.5</v>
      </c>
      <c r="BJ31" s="175">
        <f t="shared" ref="BJ31" si="44">BJ30*(1+$A$25)</f>
        <v>2.5</v>
      </c>
      <c r="BK31" s="175">
        <f t="shared" ref="BK31" si="45">BK30*(1+$A$25)</f>
        <v>2.5</v>
      </c>
      <c r="BL31" s="175">
        <f t="shared" ref="BL31" si="46">BL30*(1+$A$25)</f>
        <v>2.5</v>
      </c>
      <c r="BM31" s="175">
        <f t="shared" ref="BM31" si="47">BM30*(1+$A$25)</f>
        <v>2.5</v>
      </c>
      <c r="BN31" s="176">
        <v>3</v>
      </c>
    </row>
    <row r="32" spans="1:66" x14ac:dyDescent="0.2">
      <c r="A32" s="28"/>
      <c r="B32" t="s">
        <v>16</v>
      </c>
      <c r="G32" s="70">
        <f t="shared" ref="G32:M32" si="48">G30*(1+$A$32)</f>
        <v>100</v>
      </c>
      <c r="H32" s="70">
        <f t="shared" si="48"/>
        <v>100</v>
      </c>
      <c r="I32" s="70">
        <f t="shared" si="48"/>
        <v>100</v>
      </c>
      <c r="J32" s="70">
        <f t="shared" si="48"/>
        <v>100</v>
      </c>
      <c r="K32" s="70">
        <f t="shared" si="48"/>
        <v>100</v>
      </c>
      <c r="L32" s="70">
        <f t="shared" si="48"/>
        <v>100</v>
      </c>
      <c r="M32" s="70">
        <f t="shared" si="48"/>
        <v>100</v>
      </c>
      <c r="N32" s="177">
        <v>2</v>
      </c>
      <c r="O32" s="178">
        <v>2</v>
      </c>
      <c r="P32" s="178">
        <v>2</v>
      </c>
      <c r="Q32" s="178">
        <v>2</v>
      </c>
      <c r="R32" s="178">
        <v>2</v>
      </c>
      <c r="S32" s="178">
        <v>2</v>
      </c>
      <c r="T32" s="178">
        <v>2</v>
      </c>
      <c r="U32" s="178">
        <v>2</v>
      </c>
      <c r="V32" s="178">
        <v>2</v>
      </c>
      <c r="W32" s="178">
        <v>2</v>
      </c>
      <c r="X32" s="178">
        <v>2</v>
      </c>
      <c r="Y32" s="178">
        <v>2</v>
      </c>
      <c r="Z32" s="178">
        <v>2</v>
      </c>
      <c r="AA32" s="178">
        <v>2</v>
      </c>
      <c r="AB32" s="178">
        <v>2</v>
      </c>
      <c r="AC32" s="178">
        <v>2</v>
      </c>
      <c r="AD32" s="178">
        <v>2</v>
      </c>
      <c r="AE32" s="178">
        <v>2</v>
      </c>
      <c r="AF32" s="178">
        <v>2</v>
      </c>
      <c r="AG32" s="178">
        <v>2</v>
      </c>
      <c r="AH32" s="178">
        <v>2</v>
      </c>
      <c r="AI32" s="178">
        <v>2</v>
      </c>
      <c r="AJ32" s="178">
        <v>2</v>
      </c>
      <c r="AK32" s="178">
        <v>2</v>
      </c>
      <c r="AL32" s="178">
        <v>2</v>
      </c>
      <c r="AM32" s="178">
        <v>2</v>
      </c>
      <c r="AN32" s="178">
        <v>2</v>
      </c>
      <c r="AO32" s="178">
        <v>2</v>
      </c>
      <c r="AP32" s="178">
        <v>2</v>
      </c>
      <c r="AQ32" s="178">
        <v>2</v>
      </c>
      <c r="AR32" s="178">
        <v>2</v>
      </c>
      <c r="AS32" s="178">
        <v>2</v>
      </c>
      <c r="AT32" s="178">
        <v>2</v>
      </c>
      <c r="AU32" s="178">
        <v>2</v>
      </c>
      <c r="AV32" s="178">
        <v>2</v>
      </c>
      <c r="AW32" s="178">
        <v>2</v>
      </c>
      <c r="AX32" s="178">
        <v>2</v>
      </c>
      <c r="AY32" s="178">
        <v>2</v>
      </c>
      <c r="AZ32" s="178">
        <v>2</v>
      </c>
      <c r="BA32" s="178">
        <v>2</v>
      </c>
      <c r="BB32" s="178">
        <v>2</v>
      </c>
      <c r="BC32" s="178">
        <v>2</v>
      </c>
      <c r="BD32" s="178">
        <v>2</v>
      </c>
      <c r="BE32" s="178">
        <v>2</v>
      </c>
      <c r="BF32" s="178">
        <v>2</v>
      </c>
      <c r="BG32" s="178">
        <v>2</v>
      </c>
      <c r="BH32" s="178">
        <v>2</v>
      </c>
      <c r="BI32" s="178">
        <v>2</v>
      </c>
      <c r="BJ32" s="178">
        <v>2</v>
      </c>
      <c r="BK32" s="178">
        <v>2</v>
      </c>
      <c r="BL32" s="178">
        <v>2</v>
      </c>
      <c r="BM32" s="178">
        <v>2</v>
      </c>
      <c r="BN32" s="179">
        <v>2</v>
      </c>
    </row>
    <row r="34" spans="1:66" x14ac:dyDescent="0.2">
      <c r="B34" s="6" t="s">
        <v>206</v>
      </c>
      <c r="G34" s="66">
        <f t="shared" ref="G34:M34" si="49">CHOOSE($C$8,G36,G37,G38)</f>
        <v>100</v>
      </c>
      <c r="H34" s="66">
        <f t="shared" si="49"/>
        <v>100</v>
      </c>
      <c r="I34" s="66">
        <f t="shared" si="49"/>
        <v>100</v>
      </c>
      <c r="J34" s="66">
        <f t="shared" si="49"/>
        <v>100</v>
      </c>
      <c r="K34" s="66">
        <f t="shared" si="49"/>
        <v>100</v>
      </c>
      <c r="L34" s="66">
        <f t="shared" si="49"/>
        <v>100</v>
      </c>
      <c r="M34" s="66">
        <f t="shared" si="49"/>
        <v>100</v>
      </c>
      <c r="N34" s="92">
        <f>CHOOSE($C$8,N36,N37,N38)</f>
        <v>2.5</v>
      </c>
      <c r="O34" s="94">
        <f t="shared" ref="O34:P34" si="50">CHOOSE($C$8,O36,O37,O38)</f>
        <v>2.5</v>
      </c>
      <c r="P34" s="94">
        <f t="shared" si="50"/>
        <v>2.5</v>
      </c>
      <c r="Q34" s="94">
        <f>CHOOSE($C$8,Q36,Q37,Q38)</f>
        <v>2.5</v>
      </c>
      <c r="R34" s="94">
        <f t="shared" ref="R34:Z34" si="51">CHOOSE($C$8,R36,R37,R38)</f>
        <v>2.5</v>
      </c>
      <c r="S34" s="94">
        <f t="shared" si="51"/>
        <v>2.5</v>
      </c>
      <c r="T34" s="94">
        <f t="shared" si="51"/>
        <v>2.5</v>
      </c>
      <c r="U34" s="94">
        <f t="shared" si="51"/>
        <v>2.5</v>
      </c>
      <c r="V34" s="94">
        <f t="shared" si="51"/>
        <v>2.5</v>
      </c>
      <c r="W34" s="94">
        <f t="shared" si="51"/>
        <v>2.5</v>
      </c>
      <c r="X34" s="94">
        <f t="shared" si="51"/>
        <v>2.5</v>
      </c>
      <c r="Y34" s="94">
        <f t="shared" si="51"/>
        <v>2.5</v>
      </c>
      <c r="Z34" s="94">
        <f t="shared" si="51"/>
        <v>2.5</v>
      </c>
      <c r="AA34" s="94">
        <f>CHOOSE($C$8,AA36,AA37,AA38)</f>
        <v>2.5</v>
      </c>
      <c r="AB34" s="94">
        <f t="shared" ref="AB34:AM34" si="52">CHOOSE($C$8,AB36,AB37,AB38)</f>
        <v>2.5</v>
      </c>
      <c r="AC34" s="94">
        <f t="shared" si="52"/>
        <v>2.5</v>
      </c>
      <c r="AD34" s="94">
        <f t="shared" si="52"/>
        <v>2.5</v>
      </c>
      <c r="AE34" s="94">
        <f t="shared" si="52"/>
        <v>2.5</v>
      </c>
      <c r="AF34" s="94">
        <f t="shared" si="52"/>
        <v>2.5</v>
      </c>
      <c r="AG34" s="94">
        <f t="shared" si="52"/>
        <v>2.5</v>
      </c>
      <c r="AH34" s="94">
        <f t="shared" si="52"/>
        <v>2.5</v>
      </c>
      <c r="AI34" s="94">
        <f t="shared" si="52"/>
        <v>2.5</v>
      </c>
      <c r="AJ34" s="94">
        <f t="shared" si="52"/>
        <v>2.5</v>
      </c>
      <c r="AK34" s="94">
        <f t="shared" si="52"/>
        <v>2.5</v>
      </c>
      <c r="AL34" s="94">
        <f t="shared" si="52"/>
        <v>2.5</v>
      </c>
      <c r="AM34" s="94">
        <f t="shared" si="52"/>
        <v>2.5</v>
      </c>
      <c r="AN34" s="94">
        <f>CHOOSE($C$8,AN36,AN37,AN38)</f>
        <v>2.5</v>
      </c>
      <c r="AO34" s="94">
        <f t="shared" ref="AO34:AZ34" si="53">CHOOSE($C$8,AO36,AO37,AO38)</f>
        <v>2.5</v>
      </c>
      <c r="AP34" s="94">
        <f t="shared" si="53"/>
        <v>2.5</v>
      </c>
      <c r="AQ34" s="94">
        <f t="shared" si="53"/>
        <v>2.5</v>
      </c>
      <c r="AR34" s="94">
        <f t="shared" si="53"/>
        <v>2.5</v>
      </c>
      <c r="AS34" s="94">
        <f t="shared" si="53"/>
        <v>2.5</v>
      </c>
      <c r="AT34" s="94">
        <f t="shared" si="53"/>
        <v>2.5</v>
      </c>
      <c r="AU34" s="94">
        <f t="shared" si="53"/>
        <v>2.5</v>
      </c>
      <c r="AV34" s="94">
        <f t="shared" si="53"/>
        <v>2.5</v>
      </c>
      <c r="AW34" s="94">
        <f t="shared" si="53"/>
        <v>2.5</v>
      </c>
      <c r="AX34" s="94">
        <f t="shared" si="53"/>
        <v>2.5</v>
      </c>
      <c r="AY34" s="94">
        <f t="shared" si="53"/>
        <v>2.5</v>
      </c>
      <c r="AZ34" s="94">
        <f t="shared" si="53"/>
        <v>2.5</v>
      </c>
      <c r="BA34" s="94">
        <f>CHOOSE($C$8,BA36,BA37,BA38)</f>
        <v>2.5</v>
      </c>
      <c r="BB34" s="94">
        <f t="shared" ref="BB34:BM34" si="54">CHOOSE($C$8,BB36,BB37,BB38)</f>
        <v>2.5</v>
      </c>
      <c r="BC34" s="94">
        <f t="shared" si="54"/>
        <v>2.5</v>
      </c>
      <c r="BD34" s="94">
        <f t="shared" si="54"/>
        <v>2.5</v>
      </c>
      <c r="BE34" s="94">
        <f t="shared" si="54"/>
        <v>2.5</v>
      </c>
      <c r="BF34" s="94">
        <f t="shared" si="54"/>
        <v>2.5</v>
      </c>
      <c r="BG34" s="94">
        <f t="shared" si="54"/>
        <v>2.5</v>
      </c>
      <c r="BH34" s="94">
        <f t="shared" si="54"/>
        <v>2.5</v>
      </c>
      <c r="BI34" s="94">
        <f t="shared" si="54"/>
        <v>2.5</v>
      </c>
      <c r="BJ34" s="94">
        <f t="shared" si="54"/>
        <v>2.5</v>
      </c>
      <c r="BK34" s="94">
        <f t="shared" si="54"/>
        <v>2.5</v>
      </c>
      <c r="BL34" s="94">
        <f t="shared" si="54"/>
        <v>2.5</v>
      </c>
      <c r="BM34" s="94">
        <f t="shared" si="54"/>
        <v>2.5</v>
      </c>
      <c r="BN34" s="96">
        <f>CHOOSE($C$8,BN36,BN37,BN38)</f>
        <v>2.5</v>
      </c>
    </row>
    <row r="35" spans="1:66" ht="5.25" customHeight="1" x14ac:dyDescent="0.2">
      <c r="B35" s="6"/>
    </row>
    <row r="36" spans="1:66" x14ac:dyDescent="0.2">
      <c r="B36" t="s">
        <v>14</v>
      </c>
      <c r="G36" s="68">
        <v>100</v>
      </c>
      <c r="H36" s="68">
        <v>100</v>
      </c>
      <c r="I36" s="68">
        <v>100</v>
      </c>
      <c r="J36" s="68">
        <v>100</v>
      </c>
      <c r="K36" s="68">
        <v>100</v>
      </c>
      <c r="L36" s="68">
        <v>100</v>
      </c>
      <c r="M36" s="68">
        <v>100</v>
      </c>
      <c r="N36" s="172">
        <v>2.5</v>
      </c>
      <c r="O36" s="170">
        <v>2.5</v>
      </c>
      <c r="P36" s="170">
        <v>2.5</v>
      </c>
      <c r="Q36" s="170">
        <v>2.5</v>
      </c>
      <c r="R36" s="170">
        <v>2.5</v>
      </c>
      <c r="S36" s="170">
        <v>2.5</v>
      </c>
      <c r="T36" s="170">
        <v>2.5</v>
      </c>
      <c r="U36" s="170">
        <v>2.5</v>
      </c>
      <c r="V36" s="170">
        <v>2.5</v>
      </c>
      <c r="W36" s="170">
        <v>2.5</v>
      </c>
      <c r="X36" s="170">
        <v>2.5</v>
      </c>
      <c r="Y36" s="170">
        <v>2.5</v>
      </c>
      <c r="Z36" s="170">
        <v>2.5</v>
      </c>
      <c r="AA36" s="170">
        <v>2.5</v>
      </c>
      <c r="AB36" s="170">
        <v>2.5</v>
      </c>
      <c r="AC36" s="170">
        <v>2.5</v>
      </c>
      <c r="AD36" s="170">
        <v>2.5</v>
      </c>
      <c r="AE36" s="170">
        <v>2.5</v>
      </c>
      <c r="AF36" s="170">
        <v>2.5</v>
      </c>
      <c r="AG36" s="170">
        <v>2.5</v>
      </c>
      <c r="AH36" s="170">
        <v>2.5</v>
      </c>
      <c r="AI36" s="170">
        <v>2.5</v>
      </c>
      <c r="AJ36" s="170">
        <v>2.5</v>
      </c>
      <c r="AK36" s="170">
        <v>2.5</v>
      </c>
      <c r="AL36" s="170">
        <v>2.5</v>
      </c>
      <c r="AM36" s="170">
        <v>2.5</v>
      </c>
      <c r="AN36" s="170">
        <v>2.5</v>
      </c>
      <c r="AO36" s="170">
        <v>2.5</v>
      </c>
      <c r="AP36" s="170">
        <v>2.5</v>
      </c>
      <c r="AQ36" s="170">
        <v>2.5</v>
      </c>
      <c r="AR36" s="170">
        <v>2.5</v>
      </c>
      <c r="AS36" s="170">
        <v>2.5</v>
      </c>
      <c r="AT36" s="170">
        <v>2.5</v>
      </c>
      <c r="AU36" s="170">
        <v>2.5</v>
      </c>
      <c r="AV36" s="170">
        <v>2.5</v>
      </c>
      <c r="AW36" s="170">
        <v>2.5</v>
      </c>
      <c r="AX36" s="170">
        <v>2.5</v>
      </c>
      <c r="AY36" s="170">
        <v>2.5</v>
      </c>
      <c r="AZ36" s="170">
        <v>2.5</v>
      </c>
      <c r="BA36" s="170">
        <v>2.5</v>
      </c>
      <c r="BB36" s="170">
        <v>2.5</v>
      </c>
      <c r="BC36" s="170">
        <v>2.5</v>
      </c>
      <c r="BD36" s="170">
        <v>2.5</v>
      </c>
      <c r="BE36" s="170">
        <v>2.5</v>
      </c>
      <c r="BF36" s="170">
        <v>2.5</v>
      </c>
      <c r="BG36" s="170">
        <v>2.5</v>
      </c>
      <c r="BH36" s="170">
        <v>2.5</v>
      </c>
      <c r="BI36" s="170">
        <v>2.5</v>
      </c>
      <c r="BJ36" s="170">
        <v>2.5</v>
      </c>
      <c r="BK36" s="170">
        <v>2.5</v>
      </c>
      <c r="BL36" s="170">
        <v>2.5</v>
      </c>
      <c r="BM36" s="170">
        <v>2.5</v>
      </c>
      <c r="BN36" s="173">
        <v>2.5</v>
      </c>
    </row>
    <row r="37" spans="1:66" x14ac:dyDescent="0.2">
      <c r="A37" s="27"/>
      <c r="B37" t="s">
        <v>17</v>
      </c>
      <c r="G37" s="69">
        <f t="shared" ref="G37:M37" si="55">G36*(1+$A$37)</f>
        <v>100</v>
      </c>
      <c r="H37" s="69">
        <f t="shared" si="55"/>
        <v>100</v>
      </c>
      <c r="I37" s="69">
        <f t="shared" si="55"/>
        <v>100</v>
      </c>
      <c r="J37" s="69">
        <f t="shared" si="55"/>
        <v>100</v>
      </c>
      <c r="K37" s="69">
        <f t="shared" si="55"/>
        <v>100</v>
      </c>
      <c r="L37" s="69">
        <f t="shared" si="55"/>
        <v>100</v>
      </c>
      <c r="M37" s="69">
        <f t="shared" si="55"/>
        <v>100</v>
      </c>
      <c r="N37" s="174">
        <v>3</v>
      </c>
      <c r="O37" s="175">
        <f t="shared" ref="O37:Z37" si="56">O36*(1+$A$25)</f>
        <v>2.5</v>
      </c>
      <c r="P37" s="175">
        <f t="shared" si="56"/>
        <v>2.5</v>
      </c>
      <c r="Q37" s="175">
        <f t="shared" si="56"/>
        <v>2.5</v>
      </c>
      <c r="R37" s="175">
        <f t="shared" si="56"/>
        <v>2.5</v>
      </c>
      <c r="S37" s="175">
        <f t="shared" si="56"/>
        <v>2.5</v>
      </c>
      <c r="T37" s="175">
        <f t="shared" si="56"/>
        <v>2.5</v>
      </c>
      <c r="U37" s="175">
        <f t="shared" si="56"/>
        <v>2.5</v>
      </c>
      <c r="V37" s="175">
        <f t="shared" si="56"/>
        <v>2.5</v>
      </c>
      <c r="W37" s="175">
        <f t="shared" si="56"/>
        <v>2.5</v>
      </c>
      <c r="X37" s="175">
        <f t="shared" si="56"/>
        <v>2.5</v>
      </c>
      <c r="Y37" s="175">
        <f t="shared" si="56"/>
        <v>2.5</v>
      </c>
      <c r="Z37" s="175">
        <f t="shared" si="56"/>
        <v>2.5</v>
      </c>
      <c r="AA37" s="175">
        <v>3</v>
      </c>
      <c r="AB37" s="175">
        <f t="shared" ref="AB37:AM37" si="57">AB36*(1+$A$25)</f>
        <v>2.5</v>
      </c>
      <c r="AC37" s="175">
        <f t="shared" si="57"/>
        <v>2.5</v>
      </c>
      <c r="AD37" s="175">
        <f t="shared" si="57"/>
        <v>2.5</v>
      </c>
      <c r="AE37" s="175">
        <f t="shared" si="57"/>
        <v>2.5</v>
      </c>
      <c r="AF37" s="175">
        <f t="shared" si="57"/>
        <v>2.5</v>
      </c>
      <c r="AG37" s="175">
        <f t="shared" si="57"/>
        <v>2.5</v>
      </c>
      <c r="AH37" s="175">
        <f t="shared" si="57"/>
        <v>2.5</v>
      </c>
      <c r="AI37" s="175">
        <f t="shared" si="57"/>
        <v>2.5</v>
      </c>
      <c r="AJ37" s="175">
        <f t="shared" si="57"/>
        <v>2.5</v>
      </c>
      <c r="AK37" s="175">
        <f t="shared" si="57"/>
        <v>2.5</v>
      </c>
      <c r="AL37" s="175">
        <f t="shared" si="57"/>
        <v>2.5</v>
      </c>
      <c r="AM37" s="175">
        <f t="shared" si="57"/>
        <v>2.5</v>
      </c>
      <c r="AN37" s="175">
        <v>3</v>
      </c>
      <c r="AO37" s="175">
        <f t="shared" ref="AO37" si="58">AO36*(1+$A$25)</f>
        <v>2.5</v>
      </c>
      <c r="AP37" s="175">
        <f t="shared" ref="AP37" si="59">AP36*(1+$A$25)</f>
        <v>2.5</v>
      </c>
      <c r="AQ37" s="175">
        <f t="shared" ref="AQ37" si="60">AQ36*(1+$A$25)</f>
        <v>2.5</v>
      </c>
      <c r="AR37" s="175">
        <f t="shared" ref="AR37" si="61">AR36*(1+$A$25)</f>
        <v>2.5</v>
      </c>
      <c r="AS37" s="175">
        <f t="shared" ref="AS37" si="62">AS36*(1+$A$25)</f>
        <v>2.5</v>
      </c>
      <c r="AT37" s="175">
        <f t="shared" ref="AT37" si="63">AT36*(1+$A$25)</f>
        <v>2.5</v>
      </c>
      <c r="AU37" s="175">
        <f t="shared" ref="AU37" si="64">AU36*(1+$A$25)</f>
        <v>2.5</v>
      </c>
      <c r="AV37" s="175">
        <f t="shared" ref="AV37" si="65">AV36*(1+$A$25)</f>
        <v>2.5</v>
      </c>
      <c r="AW37" s="175">
        <f t="shared" ref="AW37" si="66">AW36*(1+$A$25)</f>
        <v>2.5</v>
      </c>
      <c r="AX37" s="175">
        <f t="shared" ref="AX37" si="67">AX36*(1+$A$25)</f>
        <v>2.5</v>
      </c>
      <c r="AY37" s="175">
        <f t="shared" ref="AY37" si="68">AY36*(1+$A$25)</f>
        <v>2.5</v>
      </c>
      <c r="AZ37" s="175">
        <f t="shared" ref="AZ37" si="69">AZ36*(1+$A$25)</f>
        <v>2.5</v>
      </c>
      <c r="BA37" s="175">
        <v>3</v>
      </c>
      <c r="BB37" s="175">
        <f t="shared" ref="BB37" si="70">BB36*(1+$A$25)</f>
        <v>2.5</v>
      </c>
      <c r="BC37" s="175">
        <f t="shared" ref="BC37" si="71">BC36*(1+$A$25)</f>
        <v>2.5</v>
      </c>
      <c r="BD37" s="175">
        <f t="shared" ref="BD37" si="72">BD36*(1+$A$25)</f>
        <v>2.5</v>
      </c>
      <c r="BE37" s="175">
        <f t="shared" ref="BE37" si="73">BE36*(1+$A$25)</f>
        <v>2.5</v>
      </c>
      <c r="BF37" s="175">
        <f t="shared" ref="BF37" si="74">BF36*(1+$A$25)</f>
        <v>2.5</v>
      </c>
      <c r="BG37" s="175">
        <f t="shared" ref="BG37" si="75">BG36*(1+$A$25)</f>
        <v>2.5</v>
      </c>
      <c r="BH37" s="175">
        <f t="shared" ref="BH37" si="76">BH36*(1+$A$25)</f>
        <v>2.5</v>
      </c>
      <c r="BI37" s="175">
        <f t="shared" ref="BI37" si="77">BI36*(1+$A$25)</f>
        <v>2.5</v>
      </c>
      <c r="BJ37" s="175">
        <f t="shared" ref="BJ37" si="78">BJ36*(1+$A$25)</f>
        <v>2.5</v>
      </c>
      <c r="BK37" s="175">
        <f t="shared" ref="BK37" si="79">BK36*(1+$A$25)</f>
        <v>2.5</v>
      </c>
      <c r="BL37" s="175">
        <f t="shared" ref="BL37" si="80">BL36*(1+$A$25)</f>
        <v>2.5</v>
      </c>
      <c r="BM37" s="175">
        <f t="shared" ref="BM37" si="81">BM36*(1+$A$25)</f>
        <v>2.5</v>
      </c>
      <c r="BN37" s="176">
        <v>3</v>
      </c>
    </row>
    <row r="38" spans="1:66" x14ac:dyDescent="0.2">
      <c r="A38" s="28"/>
      <c r="B38" t="s">
        <v>16</v>
      </c>
      <c r="G38" s="70">
        <f t="shared" ref="G38:M38" si="82">G36*(1+$A$38)</f>
        <v>100</v>
      </c>
      <c r="H38" s="70">
        <f t="shared" si="82"/>
        <v>100</v>
      </c>
      <c r="I38" s="70">
        <f t="shared" si="82"/>
        <v>100</v>
      </c>
      <c r="J38" s="70">
        <f t="shared" si="82"/>
        <v>100</v>
      </c>
      <c r="K38" s="70">
        <f t="shared" si="82"/>
        <v>100</v>
      </c>
      <c r="L38" s="70">
        <f t="shared" si="82"/>
        <v>100</v>
      </c>
      <c r="M38" s="70">
        <f t="shared" si="82"/>
        <v>100</v>
      </c>
      <c r="N38" s="177">
        <v>2</v>
      </c>
      <c r="O38" s="178">
        <v>2</v>
      </c>
      <c r="P38" s="178">
        <v>2</v>
      </c>
      <c r="Q38" s="178">
        <v>2</v>
      </c>
      <c r="R38" s="178">
        <v>2</v>
      </c>
      <c r="S38" s="178">
        <v>2</v>
      </c>
      <c r="T38" s="178">
        <v>2</v>
      </c>
      <c r="U38" s="178">
        <v>2</v>
      </c>
      <c r="V38" s="178">
        <v>2</v>
      </c>
      <c r="W38" s="178">
        <v>2</v>
      </c>
      <c r="X38" s="178">
        <v>2</v>
      </c>
      <c r="Y38" s="178">
        <v>2</v>
      </c>
      <c r="Z38" s="178">
        <v>2</v>
      </c>
      <c r="AA38" s="178">
        <v>2</v>
      </c>
      <c r="AB38" s="178">
        <v>2</v>
      </c>
      <c r="AC38" s="178">
        <v>2</v>
      </c>
      <c r="AD38" s="178">
        <v>2</v>
      </c>
      <c r="AE38" s="178">
        <v>2</v>
      </c>
      <c r="AF38" s="178">
        <v>2</v>
      </c>
      <c r="AG38" s="178">
        <v>2</v>
      </c>
      <c r="AH38" s="178">
        <v>2</v>
      </c>
      <c r="AI38" s="178">
        <v>2</v>
      </c>
      <c r="AJ38" s="178">
        <v>2</v>
      </c>
      <c r="AK38" s="178">
        <v>2</v>
      </c>
      <c r="AL38" s="178">
        <v>2</v>
      </c>
      <c r="AM38" s="178">
        <v>2</v>
      </c>
      <c r="AN38" s="178">
        <v>2</v>
      </c>
      <c r="AO38" s="178">
        <v>2</v>
      </c>
      <c r="AP38" s="178">
        <v>2</v>
      </c>
      <c r="AQ38" s="178">
        <v>2</v>
      </c>
      <c r="AR38" s="178">
        <v>2</v>
      </c>
      <c r="AS38" s="178">
        <v>2</v>
      </c>
      <c r="AT38" s="178">
        <v>2</v>
      </c>
      <c r="AU38" s="178">
        <v>2</v>
      </c>
      <c r="AV38" s="178">
        <v>2</v>
      </c>
      <c r="AW38" s="178">
        <v>2</v>
      </c>
      <c r="AX38" s="178">
        <v>2</v>
      </c>
      <c r="AY38" s="178">
        <v>2</v>
      </c>
      <c r="AZ38" s="178">
        <v>2</v>
      </c>
      <c r="BA38" s="178">
        <v>2</v>
      </c>
      <c r="BB38" s="178">
        <v>2</v>
      </c>
      <c r="BC38" s="178">
        <v>2</v>
      </c>
      <c r="BD38" s="178">
        <v>2</v>
      </c>
      <c r="BE38" s="178">
        <v>2</v>
      </c>
      <c r="BF38" s="178">
        <v>2</v>
      </c>
      <c r="BG38" s="178">
        <v>2</v>
      </c>
      <c r="BH38" s="178">
        <v>2</v>
      </c>
      <c r="BI38" s="178">
        <v>2</v>
      </c>
      <c r="BJ38" s="178">
        <v>2</v>
      </c>
      <c r="BK38" s="178">
        <v>2</v>
      </c>
      <c r="BL38" s="178">
        <v>2</v>
      </c>
      <c r="BM38" s="178">
        <v>2</v>
      </c>
      <c r="BN38" s="179">
        <v>2</v>
      </c>
    </row>
    <row r="39" spans="1:66" x14ac:dyDescent="0.2">
      <c r="A39" s="28"/>
      <c r="G39" s="35"/>
      <c r="L39" s="35"/>
      <c r="Q39" s="24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4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4"/>
      <c r="BE39" s="25"/>
      <c r="BF39" s="25"/>
      <c r="BG39" s="25"/>
      <c r="BH39" s="25"/>
      <c r="BI39" s="25"/>
      <c r="BJ39" s="25"/>
      <c r="BK39" s="25"/>
      <c r="BL39" s="25"/>
      <c r="BM39" s="25"/>
      <c r="BN39" s="25"/>
    </row>
    <row r="40" spans="1:66" x14ac:dyDescent="0.2">
      <c r="B40" s="6" t="s">
        <v>207</v>
      </c>
      <c r="G40" s="66">
        <f t="shared" ref="G40:M40" si="83">CHOOSE($C$8,G42,G43,G44)</f>
        <v>100</v>
      </c>
      <c r="H40" s="66">
        <f t="shared" si="83"/>
        <v>100</v>
      </c>
      <c r="I40" s="66">
        <f t="shared" si="83"/>
        <v>100</v>
      </c>
      <c r="J40" s="66">
        <f t="shared" si="83"/>
        <v>100</v>
      </c>
      <c r="K40" s="66">
        <f t="shared" si="83"/>
        <v>100</v>
      </c>
      <c r="L40" s="66">
        <f t="shared" si="83"/>
        <v>100</v>
      </c>
      <c r="M40" s="66">
        <f t="shared" si="83"/>
        <v>100</v>
      </c>
      <c r="N40" s="92">
        <f>CHOOSE($C$8,N42,N43,N44)</f>
        <v>2.5</v>
      </c>
      <c r="O40" s="94">
        <f t="shared" ref="O40:P40" si="84">CHOOSE($C$8,O42,O43,O44)</f>
        <v>2.5</v>
      </c>
      <c r="P40" s="94">
        <f t="shared" si="84"/>
        <v>2.5</v>
      </c>
      <c r="Q40" s="94">
        <f>CHOOSE($C$8,Q42,Q43,Q44)</f>
        <v>2.5</v>
      </c>
      <c r="R40" s="94">
        <f t="shared" ref="R40:Z40" si="85">CHOOSE($C$8,R42,R43,R44)</f>
        <v>2.5</v>
      </c>
      <c r="S40" s="94">
        <f t="shared" si="85"/>
        <v>2.5</v>
      </c>
      <c r="T40" s="94">
        <f t="shared" si="85"/>
        <v>2.5</v>
      </c>
      <c r="U40" s="94">
        <f t="shared" si="85"/>
        <v>2.5</v>
      </c>
      <c r="V40" s="94">
        <f t="shared" si="85"/>
        <v>2.5</v>
      </c>
      <c r="W40" s="94">
        <f t="shared" si="85"/>
        <v>2.5</v>
      </c>
      <c r="X40" s="94">
        <f t="shared" si="85"/>
        <v>2.5</v>
      </c>
      <c r="Y40" s="94">
        <f t="shared" si="85"/>
        <v>2.5</v>
      </c>
      <c r="Z40" s="94">
        <f t="shared" si="85"/>
        <v>2.5</v>
      </c>
      <c r="AA40" s="94">
        <f>CHOOSE($C$8,AA42,AA43,AA44)</f>
        <v>2.5</v>
      </c>
      <c r="AB40" s="94">
        <f t="shared" ref="AB40:AM40" si="86">CHOOSE($C$8,AB42,AB43,AB44)</f>
        <v>2.5</v>
      </c>
      <c r="AC40" s="94">
        <f t="shared" si="86"/>
        <v>2.5</v>
      </c>
      <c r="AD40" s="94">
        <f t="shared" si="86"/>
        <v>2.5</v>
      </c>
      <c r="AE40" s="94">
        <f t="shared" si="86"/>
        <v>2.5</v>
      </c>
      <c r="AF40" s="94">
        <f t="shared" si="86"/>
        <v>2.5</v>
      </c>
      <c r="AG40" s="94">
        <f t="shared" si="86"/>
        <v>2.5</v>
      </c>
      <c r="AH40" s="94">
        <f t="shared" si="86"/>
        <v>2.5</v>
      </c>
      <c r="AI40" s="94">
        <f t="shared" si="86"/>
        <v>2.5</v>
      </c>
      <c r="AJ40" s="94">
        <f t="shared" si="86"/>
        <v>2.5</v>
      </c>
      <c r="AK40" s="94">
        <f t="shared" si="86"/>
        <v>2.5</v>
      </c>
      <c r="AL40" s="94">
        <f t="shared" si="86"/>
        <v>2.5</v>
      </c>
      <c r="AM40" s="94">
        <f t="shared" si="86"/>
        <v>2.5</v>
      </c>
      <c r="AN40" s="94">
        <f>CHOOSE($C$8,AN42,AN43,AN44)</f>
        <v>2.5</v>
      </c>
      <c r="AO40" s="94">
        <f t="shared" ref="AO40:AZ40" si="87">CHOOSE($C$8,AO42,AO43,AO44)</f>
        <v>2.5</v>
      </c>
      <c r="AP40" s="94">
        <f t="shared" si="87"/>
        <v>2.5</v>
      </c>
      <c r="AQ40" s="94">
        <f t="shared" si="87"/>
        <v>2.5</v>
      </c>
      <c r="AR40" s="94">
        <f t="shared" si="87"/>
        <v>2.5</v>
      </c>
      <c r="AS40" s="94">
        <f t="shared" si="87"/>
        <v>2.5</v>
      </c>
      <c r="AT40" s="94">
        <f t="shared" si="87"/>
        <v>2.5</v>
      </c>
      <c r="AU40" s="94">
        <f t="shared" si="87"/>
        <v>2.5</v>
      </c>
      <c r="AV40" s="94">
        <f t="shared" si="87"/>
        <v>2.5</v>
      </c>
      <c r="AW40" s="94">
        <f t="shared" si="87"/>
        <v>2.5</v>
      </c>
      <c r="AX40" s="94">
        <f t="shared" si="87"/>
        <v>2.5</v>
      </c>
      <c r="AY40" s="94">
        <f t="shared" si="87"/>
        <v>2.5</v>
      </c>
      <c r="AZ40" s="94">
        <f t="shared" si="87"/>
        <v>2.5</v>
      </c>
      <c r="BA40" s="94">
        <f>CHOOSE($C$8,BA42,BA43,BA44)</f>
        <v>2.5</v>
      </c>
      <c r="BB40" s="94">
        <f t="shared" ref="BB40:BM40" si="88">CHOOSE($C$8,BB42,BB43,BB44)</f>
        <v>2.5</v>
      </c>
      <c r="BC40" s="94">
        <f t="shared" si="88"/>
        <v>2.5</v>
      </c>
      <c r="BD40" s="94">
        <f t="shared" si="88"/>
        <v>2.5</v>
      </c>
      <c r="BE40" s="94">
        <f t="shared" si="88"/>
        <v>2.5</v>
      </c>
      <c r="BF40" s="94">
        <f t="shared" si="88"/>
        <v>2.5</v>
      </c>
      <c r="BG40" s="94">
        <f t="shared" si="88"/>
        <v>2.5</v>
      </c>
      <c r="BH40" s="94">
        <f t="shared" si="88"/>
        <v>2.5</v>
      </c>
      <c r="BI40" s="94">
        <f t="shared" si="88"/>
        <v>2.5</v>
      </c>
      <c r="BJ40" s="94">
        <f t="shared" si="88"/>
        <v>2.5</v>
      </c>
      <c r="BK40" s="94">
        <f t="shared" si="88"/>
        <v>2.5</v>
      </c>
      <c r="BL40" s="94">
        <f t="shared" si="88"/>
        <v>2.5</v>
      </c>
      <c r="BM40" s="94">
        <f t="shared" si="88"/>
        <v>2.5</v>
      </c>
      <c r="BN40" s="96">
        <f>CHOOSE($C$8,BN42,BN43,BN44)</f>
        <v>2.5</v>
      </c>
    </row>
    <row r="41" spans="1:66" ht="5.25" customHeight="1" x14ac:dyDescent="0.2">
      <c r="B41" s="6"/>
    </row>
    <row r="42" spans="1:66" x14ac:dyDescent="0.2">
      <c r="B42" t="s">
        <v>14</v>
      </c>
      <c r="G42" s="68">
        <v>100</v>
      </c>
      <c r="H42" s="68">
        <v>100</v>
      </c>
      <c r="I42" s="68">
        <v>100</v>
      </c>
      <c r="J42" s="68">
        <v>100</v>
      </c>
      <c r="K42" s="68">
        <v>100</v>
      </c>
      <c r="L42" s="68">
        <v>100</v>
      </c>
      <c r="M42" s="68">
        <v>100</v>
      </c>
      <c r="N42" s="172">
        <v>2.5</v>
      </c>
      <c r="O42" s="170">
        <v>2.5</v>
      </c>
      <c r="P42" s="170">
        <v>2.5</v>
      </c>
      <c r="Q42" s="170">
        <v>2.5</v>
      </c>
      <c r="R42" s="170">
        <v>2.5</v>
      </c>
      <c r="S42" s="170">
        <v>2.5</v>
      </c>
      <c r="T42" s="170">
        <v>2.5</v>
      </c>
      <c r="U42" s="170">
        <v>2.5</v>
      </c>
      <c r="V42" s="170">
        <v>2.5</v>
      </c>
      <c r="W42" s="170">
        <v>2.5</v>
      </c>
      <c r="X42" s="170">
        <v>2.5</v>
      </c>
      <c r="Y42" s="170">
        <v>2.5</v>
      </c>
      <c r="Z42" s="170">
        <v>2.5</v>
      </c>
      <c r="AA42" s="170">
        <v>2.5</v>
      </c>
      <c r="AB42" s="170">
        <v>2.5</v>
      </c>
      <c r="AC42" s="170">
        <v>2.5</v>
      </c>
      <c r="AD42" s="170">
        <v>2.5</v>
      </c>
      <c r="AE42" s="170">
        <v>2.5</v>
      </c>
      <c r="AF42" s="170">
        <v>2.5</v>
      </c>
      <c r="AG42" s="170">
        <v>2.5</v>
      </c>
      <c r="AH42" s="170">
        <v>2.5</v>
      </c>
      <c r="AI42" s="170">
        <v>2.5</v>
      </c>
      <c r="AJ42" s="170">
        <v>2.5</v>
      </c>
      <c r="AK42" s="170">
        <v>2.5</v>
      </c>
      <c r="AL42" s="170">
        <v>2.5</v>
      </c>
      <c r="AM42" s="170">
        <v>2.5</v>
      </c>
      <c r="AN42" s="170">
        <v>2.5</v>
      </c>
      <c r="AO42" s="170">
        <v>2.5</v>
      </c>
      <c r="AP42" s="170">
        <v>2.5</v>
      </c>
      <c r="AQ42" s="170">
        <v>2.5</v>
      </c>
      <c r="AR42" s="170">
        <v>2.5</v>
      </c>
      <c r="AS42" s="170">
        <v>2.5</v>
      </c>
      <c r="AT42" s="170">
        <v>2.5</v>
      </c>
      <c r="AU42" s="170">
        <v>2.5</v>
      </c>
      <c r="AV42" s="170">
        <v>2.5</v>
      </c>
      <c r="AW42" s="170">
        <v>2.5</v>
      </c>
      <c r="AX42" s="170">
        <v>2.5</v>
      </c>
      <c r="AY42" s="170">
        <v>2.5</v>
      </c>
      <c r="AZ42" s="170">
        <v>2.5</v>
      </c>
      <c r="BA42" s="170">
        <v>2.5</v>
      </c>
      <c r="BB42" s="170">
        <v>2.5</v>
      </c>
      <c r="BC42" s="170">
        <v>2.5</v>
      </c>
      <c r="BD42" s="170">
        <v>2.5</v>
      </c>
      <c r="BE42" s="170">
        <v>2.5</v>
      </c>
      <c r="BF42" s="170">
        <v>2.5</v>
      </c>
      <c r="BG42" s="170">
        <v>2.5</v>
      </c>
      <c r="BH42" s="170">
        <v>2.5</v>
      </c>
      <c r="BI42" s="170">
        <v>2.5</v>
      </c>
      <c r="BJ42" s="170">
        <v>2.5</v>
      </c>
      <c r="BK42" s="170">
        <v>2.5</v>
      </c>
      <c r="BL42" s="170">
        <v>2.5</v>
      </c>
      <c r="BM42" s="170">
        <v>2.5</v>
      </c>
      <c r="BN42" s="173">
        <v>2.5</v>
      </c>
    </row>
    <row r="43" spans="1:66" x14ac:dyDescent="0.2">
      <c r="A43" s="27"/>
      <c r="B43" t="s">
        <v>17</v>
      </c>
      <c r="G43" s="69">
        <f t="shared" ref="G43:M43" si="89">G42*(1+$A$43)</f>
        <v>100</v>
      </c>
      <c r="H43" s="69">
        <f t="shared" si="89"/>
        <v>100</v>
      </c>
      <c r="I43" s="69">
        <f t="shared" si="89"/>
        <v>100</v>
      </c>
      <c r="J43" s="69">
        <f t="shared" si="89"/>
        <v>100</v>
      </c>
      <c r="K43" s="69">
        <f t="shared" si="89"/>
        <v>100</v>
      </c>
      <c r="L43" s="69">
        <f t="shared" si="89"/>
        <v>100</v>
      </c>
      <c r="M43" s="69">
        <f t="shared" si="89"/>
        <v>100</v>
      </c>
      <c r="N43" s="174">
        <v>3</v>
      </c>
      <c r="O43" s="175">
        <f t="shared" ref="O43:Z43" si="90">O42*(1+$A$25)</f>
        <v>2.5</v>
      </c>
      <c r="P43" s="175">
        <f t="shared" si="90"/>
        <v>2.5</v>
      </c>
      <c r="Q43" s="175">
        <f t="shared" si="90"/>
        <v>2.5</v>
      </c>
      <c r="R43" s="175">
        <f t="shared" si="90"/>
        <v>2.5</v>
      </c>
      <c r="S43" s="175">
        <f t="shared" si="90"/>
        <v>2.5</v>
      </c>
      <c r="T43" s="175">
        <f t="shared" si="90"/>
        <v>2.5</v>
      </c>
      <c r="U43" s="175">
        <f t="shared" si="90"/>
        <v>2.5</v>
      </c>
      <c r="V43" s="175">
        <f t="shared" si="90"/>
        <v>2.5</v>
      </c>
      <c r="W43" s="175">
        <f t="shared" si="90"/>
        <v>2.5</v>
      </c>
      <c r="X43" s="175">
        <f t="shared" si="90"/>
        <v>2.5</v>
      </c>
      <c r="Y43" s="175">
        <f t="shared" si="90"/>
        <v>2.5</v>
      </c>
      <c r="Z43" s="175">
        <f t="shared" si="90"/>
        <v>2.5</v>
      </c>
      <c r="AA43" s="175">
        <v>3</v>
      </c>
      <c r="AB43" s="175">
        <f t="shared" ref="AB43:AM43" si="91">AB42*(1+$A$25)</f>
        <v>2.5</v>
      </c>
      <c r="AC43" s="175">
        <f t="shared" si="91"/>
        <v>2.5</v>
      </c>
      <c r="AD43" s="175">
        <f t="shared" si="91"/>
        <v>2.5</v>
      </c>
      <c r="AE43" s="175">
        <f t="shared" si="91"/>
        <v>2.5</v>
      </c>
      <c r="AF43" s="175">
        <f t="shared" si="91"/>
        <v>2.5</v>
      </c>
      <c r="AG43" s="175">
        <f t="shared" si="91"/>
        <v>2.5</v>
      </c>
      <c r="AH43" s="175">
        <f t="shared" si="91"/>
        <v>2.5</v>
      </c>
      <c r="AI43" s="175">
        <f t="shared" si="91"/>
        <v>2.5</v>
      </c>
      <c r="AJ43" s="175">
        <f t="shared" si="91"/>
        <v>2.5</v>
      </c>
      <c r="AK43" s="175">
        <f t="shared" si="91"/>
        <v>2.5</v>
      </c>
      <c r="AL43" s="175">
        <f t="shared" si="91"/>
        <v>2.5</v>
      </c>
      <c r="AM43" s="175">
        <f t="shared" si="91"/>
        <v>2.5</v>
      </c>
      <c r="AN43" s="175">
        <v>3</v>
      </c>
      <c r="AO43" s="175">
        <f t="shared" ref="AO43" si="92">AO42*(1+$A$25)</f>
        <v>2.5</v>
      </c>
      <c r="AP43" s="175">
        <f t="shared" ref="AP43" si="93">AP42*(1+$A$25)</f>
        <v>2.5</v>
      </c>
      <c r="AQ43" s="175">
        <f t="shared" ref="AQ43" si="94">AQ42*(1+$A$25)</f>
        <v>2.5</v>
      </c>
      <c r="AR43" s="175">
        <f t="shared" ref="AR43" si="95">AR42*(1+$A$25)</f>
        <v>2.5</v>
      </c>
      <c r="AS43" s="175">
        <f t="shared" ref="AS43" si="96">AS42*(1+$A$25)</f>
        <v>2.5</v>
      </c>
      <c r="AT43" s="175">
        <f t="shared" ref="AT43" si="97">AT42*(1+$A$25)</f>
        <v>2.5</v>
      </c>
      <c r="AU43" s="175">
        <f t="shared" ref="AU43" si="98">AU42*(1+$A$25)</f>
        <v>2.5</v>
      </c>
      <c r="AV43" s="175">
        <f t="shared" ref="AV43" si="99">AV42*(1+$A$25)</f>
        <v>2.5</v>
      </c>
      <c r="AW43" s="175">
        <f t="shared" ref="AW43" si="100">AW42*(1+$A$25)</f>
        <v>2.5</v>
      </c>
      <c r="AX43" s="175">
        <f t="shared" ref="AX43" si="101">AX42*(1+$A$25)</f>
        <v>2.5</v>
      </c>
      <c r="AY43" s="175">
        <f t="shared" ref="AY43" si="102">AY42*(1+$A$25)</f>
        <v>2.5</v>
      </c>
      <c r="AZ43" s="175">
        <f t="shared" ref="AZ43" si="103">AZ42*(1+$A$25)</f>
        <v>2.5</v>
      </c>
      <c r="BA43" s="175">
        <v>3</v>
      </c>
      <c r="BB43" s="175">
        <f t="shared" ref="BB43" si="104">BB42*(1+$A$25)</f>
        <v>2.5</v>
      </c>
      <c r="BC43" s="175">
        <f t="shared" ref="BC43" si="105">BC42*(1+$A$25)</f>
        <v>2.5</v>
      </c>
      <c r="BD43" s="175">
        <f t="shared" ref="BD43" si="106">BD42*(1+$A$25)</f>
        <v>2.5</v>
      </c>
      <c r="BE43" s="175">
        <f t="shared" ref="BE43" si="107">BE42*(1+$A$25)</f>
        <v>2.5</v>
      </c>
      <c r="BF43" s="175">
        <f t="shared" ref="BF43" si="108">BF42*(1+$A$25)</f>
        <v>2.5</v>
      </c>
      <c r="BG43" s="175">
        <f t="shared" ref="BG43" si="109">BG42*(1+$A$25)</f>
        <v>2.5</v>
      </c>
      <c r="BH43" s="175">
        <f t="shared" ref="BH43" si="110">BH42*(1+$A$25)</f>
        <v>2.5</v>
      </c>
      <c r="BI43" s="175">
        <f t="shared" ref="BI43" si="111">BI42*(1+$A$25)</f>
        <v>2.5</v>
      </c>
      <c r="BJ43" s="175">
        <f t="shared" ref="BJ43" si="112">BJ42*(1+$A$25)</f>
        <v>2.5</v>
      </c>
      <c r="BK43" s="175">
        <f t="shared" ref="BK43" si="113">BK42*(1+$A$25)</f>
        <v>2.5</v>
      </c>
      <c r="BL43" s="175">
        <f t="shared" ref="BL43" si="114">BL42*(1+$A$25)</f>
        <v>2.5</v>
      </c>
      <c r="BM43" s="175">
        <f t="shared" ref="BM43" si="115">BM42*(1+$A$25)</f>
        <v>2.5</v>
      </c>
      <c r="BN43" s="176">
        <v>3</v>
      </c>
    </row>
    <row r="44" spans="1:66" x14ac:dyDescent="0.2">
      <c r="A44" s="28"/>
      <c r="B44" t="s">
        <v>16</v>
      </c>
      <c r="G44" s="70">
        <f t="shared" ref="G44:M44" si="116">G42*(1+$A$44)</f>
        <v>100</v>
      </c>
      <c r="H44" s="70">
        <f t="shared" si="116"/>
        <v>100</v>
      </c>
      <c r="I44" s="70">
        <f t="shared" si="116"/>
        <v>100</v>
      </c>
      <c r="J44" s="70">
        <f t="shared" si="116"/>
        <v>100</v>
      </c>
      <c r="K44" s="70">
        <f t="shared" si="116"/>
        <v>100</v>
      </c>
      <c r="L44" s="70">
        <f t="shared" si="116"/>
        <v>100</v>
      </c>
      <c r="M44" s="70">
        <f t="shared" si="116"/>
        <v>100</v>
      </c>
      <c r="N44" s="177">
        <v>2</v>
      </c>
      <c r="O44" s="178">
        <v>2</v>
      </c>
      <c r="P44" s="178">
        <v>2</v>
      </c>
      <c r="Q44" s="178">
        <v>2</v>
      </c>
      <c r="R44" s="178">
        <v>2</v>
      </c>
      <c r="S44" s="178">
        <v>2</v>
      </c>
      <c r="T44" s="178">
        <v>2</v>
      </c>
      <c r="U44" s="178">
        <v>2</v>
      </c>
      <c r="V44" s="178">
        <v>2</v>
      </c>
      <c r="W44" s="178">
        <v>2</v>
      </c>
      <c r="X44" s="178">
        <v>2</v>
      </c>
      <c r="Y44" s="178">
        <v>2</v>
      </c>
      <c r="Z44" s="178">
        <v>2</v>
      </c>
      <c r="AA44" s="178">
        <v>2</v>
      </c>
      <c r="AB44" s="178">
        <v>2</v>
      </c>
      <c r="AC44" s="178">
        <v>2</v>
      </c>
      <c r="AD44" s="178">
        <v>2</v>
      </c>
      <c r="AE44" s="178">
        <v>2</v>
      </c>
      <c r="AF44" s="178">
        <v>2</v>
      </c>
      <c r="AG44" s="178">
        <v>2</v>
      </c>
      <c r="AH44" s="178">
        <v>2</v>
      </c>
      <c r="AI44" s="178">
        <v>2</v>
      </c>
      <c r="AJ44" s="178">
        <v>2</v>
      </c>
      <c r="AK44" s="178">
        <v>2</v>
      </c>
      <c r="AL44" s="178">
        <v>2</v>
      </c>
      <c r="AM44" s="178">
        <v>2</v>
      </c>
      <c r="AN44" s="178">
        <v>2</v>
      </c>
      <c r="AO44" s="178">
        <v>2</v>
      </c>
      <c r="AP44" s="178">
        <v>2</v>
      </c>
      <c r="AQ44" s="178">
        <v>2</v>
      </c>
      <c r="AR44" s="178">
        <v>2</v>
      </c>
      <c r="AS44" s="178">
        <v>2</v>
      </c>
      <c r="AT44" s="178">
        <v>2</v>
      </c>
      <c r="AU44" s="178">
        <v>2</v>
      </c>
      <c r="AV44" s="178">
        <v>2</v>
      </c>
      <c r="AW44" s="178">
        <v>2</v>
      </c>
      <c r="AX44" s="178">
        <v>2</v>
      </c>
      <c r="AY44" s="178">
        <v>2</v>
      </c>
      <c r="AZ44" s="178">
        <v>2</v>
      </c>
      <c r="BA44" s="178">
        <v>2</v>
      </c>
      <c r="BB44" s="178">
        <v>2</v>
      </c>
      <c r="BC44" s="178">
        <v>2</v>
      </c>
      <c r="BD44" s="178">
        <v>2</v>
      </c>
      <c r="BE44" s="178">
        <v>2</v>
      </c>
      <c r="BF44" s="178">
        <v>2</v>
      </c>
      <c r="BG44" s="178">
        <v>2</v>
      </c>
      <c r="BH44" s="178">
        <v>2</v>
      </c>
      <c r="BI44" s="178">
        <v>2</v>
      </c>
      <c r="BJ44" s="178">
        <v>2</v>
      </c>
      <c r="BK44" s="178">
        <v>2</v>
      </c>
      <c r="BL44" s="178">
        <v>2</v>
      </c>
      <c r="BM44" s="178">
        <v>2</v>
      </c>
      <c r="BN44" s="179">
        <v>2</v>
      </c>
    </row>
    <row r="45" spans="1:66" x14ac:dyDescent="0.2">
      <c r="A45" s="28"/>
      <c r="G45" s="35"/>
      <c r="L45" s="35"/>
      <c r="Q45" s="24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4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4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4"/>
      <c r="BE45" s="25"/>
      <c r="BF45" s="25"/>
      <c r="BG45" s="25"/>
      <c r="BH45" s="25"/>
      <c r="BI45" s="25"/>
      <c r="BJ45" s="25"/>
      <c r="BK45" s="25"/>
      <c r="BL45" s="25"/>
      <c r="BM45" s="25"/>
      <c r="BN45" s="25"/>
    </row>
    <row r="47" spans="1:66" x14ac:dyDescent="0.2">
      <c r="B47" s="6" t="s">
        <v>111</v>
      </c>
      <c r="N47" s="92">
        <f>CHOOSE($C$8,N49,N50,N51)</f>
        <v>0.87</v>
      </c>
      <c r="O47" s="93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>
        <f>CHOOSE($C$8,AA49,AA50,AA51)</f>
        <v>0.87</v>
      </c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>
        <f>CHOOSE($C$8,AN49,AN50,AN51)</f>
        <v>0.87</v>
      </c>
      <c r="AO47" s="94"/>
      <c r="AP47" s="94"/>
      <c r="AQ47" s="95"/>
      <c r="AR47" s="94"/>
      <c r="AS47" s="94"/>
      <c r="AT47" s="94"/>
      <c r="AU47" s="94"/>
      <c r="AV47" s="94"/>
      <c r="AW47" s="94"/>
      <c r="AX47" s="94"/>
      <c r="AY47" s="94"/>
      <c r="AZ47" s="94"/>
      <c r="BA47" s="94">
        <f>CHOOSE($C$8,BA49,BA50,BA51)</f>
        <v>0.87</v>
      </c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6">
        <f>CHOOSE($C$8,BN49,BN50,BN51)</f>
        <v>0.87</v>
      </c>
    </row>
    <row r="49" spans="2:68" x14ac:dyDescent="0.2">
      <c r="B49" t="s">
        <v>14</v>
      </c>
      <c r="N49" s="88">
        <v>0.87</v>
      </c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>
        <v>0.87</v>
      </c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>
        <v>0.87</v>
      </c>
      <c r="AO49" s="26"/>
      <c r="AP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>
        <v>0.87</v>
      </c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89">
        <v>0.87</v>
      </c>
    </row>
    <row r="50" spans="2:68" x14ac:dyDescent="0.2">
      <c r="B50" t="s">
        <v>17</v>
      </c>
      <c r="N50" s="88">
        <v>0.87</v>
      </c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>
        <v>0.87</v>
      </c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>
        <v>0.87</v>
      </c>
      <c r="AO50" s="26"/>
      <c r="AP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>
        <v>0.87</v>
      </c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89">
        <v>0.87</v>
      </c>
      <c r="BP50" s="90">
        <v>0.86399999999999999</v>
      </c>
    </row>
    <row r="51" spans="2:68" x14ac:dyDescent="0.2">
      <c r="B51" t="s">
        <v>16</v>
      </c>
      <c r="N51" s="88">
        <v>0.87</v>
      </c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>
        <v>0.87</v>
      </c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>
        <v>0.87</v>
      </c>
      <c r="AO51" s="26"/>
      <c r="AP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>
        <v>0.87</v>
      </c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89">
        <v>0.87</v>
      </c>
      <c r="BP51" s="91">
        <v>0.89</v>
      </c>
    </row>
    <row r="53" spans="2:68" x14ac:dyDescent="0.2">
      <c r="B53" s="6" t="s">
        <v>112</v>
      </c>
      <c r="N53" s="92">
        <f>CHOOSE($C$8,N55,N56,N57)</f>
        <v>0.85833000000000004</v>
      </c>
      <c r="O53" s="93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>
        <f>CHOOSE($C$8,AA55,AA56,AA57)</f>
        <v>0.85833000000000004</v>
      </c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>
        <f>CHOOSE($C$8,AN55,AN56,AN57)</f>
        <v>0.85833000000000004</v>
      </c>
      <c r="AO53" s="94"/>
      <c r="AP53" s="94"/>
      <c r="AQ53" s="95"/>
      <c r="AR53" s="94"/>
      <c r="AS53" s="94"/>
      <c r="AT53" s="94"/>
      <c r="AU53" s="94"/>
      <c r="AV53" s="94"/>
      <c r="AW53" s="94"/>
      <c r="AX53" s="94"/>
      <c r="AY53" s="94"/>
      <c r="AZ53" s="94"/>
      <c r="BA53" s="94">
        <f>CHOOSE($C$8,BA55,BA56,BA57)</f>
        <v>0.85833000000000004</v>
      </c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6">
        <f>CHOOSE($C$8,BN55,BN56,BN57)</f>
        <v>0.85833000000000004</v>
      </c>
    </row>
    <row r="55" spans="2:68" x14ac:dyDescent="0.2">
      <c r="B55" t="s">
        <v>14</v>
      </c>
      <c r="N55" s="97">
        <v>0.85833000000000004</v>
      </c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>
        <v>0.85833000000000004</v>
      </c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>
        <v>0.85833000000000004</v>
      </c>
      <c r="AO55" s="98">
        <v>0.85833000000000004</v>
      </c>
      <c r="AP55" s="98">
        <v>0.85833000000000004</v>
      </c>
      <c r="AQ55" s="98">
        <v>0.85833000000000004</v>
      </c>
      <c r="AR55" s="98">
        <v>0.85833000000000004</v>
      </c>
      <c r="AS55" s="98">
        <v>0.85833000000000004</v>
      </c>
      <c r="AT55" s="98">
        <v>0.85833000000000004</v>
      </c>
      <c r="AU55" s="98">
        <v>0.85833000000000004</v>
      </c>
      <c r="AV55" s="98">
        <v>0.85833000000000004</v>
      </c>
      <c r="AW55" s="98">
        <v>0.85833000000000004</v>
      </c>
      <c r="AX55" s="98">
        <v>0.85833000000000004</v>
      </c>
      <c r="AY55" s="98">
        <v>0.85833000000000004</v>
      </c>
      <c r="AZ55" s="98">
        <v>0.85833000000000004</v>
      </c>
      <c r="BA55" s="98">
        <v>0.85833000000000004</v>
      </c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9">
        <v>0.85833000000000004</v>
      </c>
    </row>
    <row r="56" spans="2:68" x14ac:dyDescent="0.2">
      <c r="B56" t="s">
        <v>17</v>
      </c>
      <c r="N56" s="97">
        <v>0.85833000000000004</v>
      </c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>
        <v>0.85833000000000004</v>
      </c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>
        <v>0.85833000000000004</v>
      </c>
      <c r="AO56" s="98">
        <v>0.85833000000000004</v>
      </c>
      <c r="AP56" s="98">
        <v>0.85833000000000004</v>
      </c>
      <c r="AQ56" s="98">
        <v>0.85833000000000004</v>
      </c>
      <c r="AR56" s="98">
        <v>0.85833000000000004</v>
      </c>
      <c r="AS56" s="98">
        <v>0.85833000000000004</v>
      </c>
      <c r="AT56" s="98">
        <v>0.85833000000000004</v>
      </c>
      <c r="AU56" s="98">
        <v>0.85833000000000004</v>
      </c>
      <c r="AV56" s="98">
        <v>0.85833000000000004</v>
      </c>
      <c r="AW56" s="98">
        <v>0.85833000000000004</v>
      </c>
      <c r="AX56" s="98">
        <v>0.85833000000000004</v>
      </c>
      <c r="AY56" s="98">
        <v>0.85833000000000004</v>
      </c>
      <c r="AZ56" s="98">
        <v>0.85833000000000004</v>
      </c>
      <c r="BA56" s="98">
        <v>0.85833000000000004</v>
      </c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9">
        <v>0.85833000000000004</v>
      </c>
      <c r="BP56" s="100"/>
    </row>
    <row r="57" spans="2:68" x14ac:dyDescent="0.2">
      <c r="B57" t="s">
        <v>16</v>
      </c>
      <c r="N57" s="97">
        <v>0.85833000000000004</v>
      </c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>
        <v>0.85833000000000004</v>
      </c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>
        <v>0.85833000000000004</v>
      </c>
      <c r="AO57" s="98">
        <v>0.85833000000000004</v>
      </c>
      <c r="AP57" s="98">
        <v>0.85833000000000004</v>
      </c>
      <c r="AQ57" s="98">
        <v>0.85833000000000004</v>
      </c>
      <c r="AR57" s="98">
        <v>0.85833000000000004</v>
      </c>
      <c r="AS57" s="98">
        <v>0.85833000000000004</v>
      </c>
      <c r="AT57" s="98">
        <v>0.85833000000000004</v>
      </c>
      <c r="AU57" s="98">
        <v>0.85833000000000004</v>
      </c>
      <c r="AV57" s="98">
        <v>0.85833000000000004</v>
      </c>
      <c r="AW57" s="98">
        <v>0.85833000000000004</v>
      </c>
      <c r="AX57" s="98">
        <v>0.85833000000000004</v>
      </c>
      <c r="AY57" s="98">
        <v>0.85833000000000004</v>
      </c>
      <c r="AZ57" s="98">
        <v>0.85833000000000004</v>
      </c>
      <c r="BA57" s="98">
        <v>0.85833000000000004</v>
      </c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9">
        <v>0.85833000000000004</v>
      </c>
      <c r="BP57" s="91"/>
    </row>
    <row r="59" spans="2:68" x14ac:dyDescent="0.2">
      <c r="B59" s="6" t="s">
        <v>114</v>
      </c>
      <c r="N59" s="31">
        <f>CHOOSE($C$8,N61,N62,N63)</f>
        <v>8.8999999999999996E-2</v>
      </c>
      <c r="O59" s="71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>
        <f>CHOOSE($C$8,AA61,AA62,AA63)</f>
        <v>8.8999999999999996E-2</v>
      </c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>
        <f>CHOOSE($C$8,AN61,AN62,AN63)</f>
        <v>8.8999999999999996E-2</v>
      </c>
      <c r="AO59" s="32"/>
      <c r="AP59" s="32"/>
      <c r="AQ59" s="37"/>
      <c r="AR59" s="32"/>
      <c r="AS59" s="32"/>
      <c r="AT59" s="32"/>
      <c r="AU59" s="32"/>
      <c r="AV59" s="32"/>
      <c r="AW59" s="32"/>
      <c r="AX59" s="32"/>
      <c r="AY59" s="32"/>
      <c r="AZ59" s="32"/>
      <c r="BA59" s="32">
        <f>CHOOSE($C$8,BA61,BA62,BA63)</f>
        <v>8.8999999999999996E-2</v>
      </c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3">
        <f>CHOOSE($C$8,BN61,BN62,BN63)</f>
        <v>8.8999999999999996E-2</v>
      </c>
    </row>
    <row r="60" spans="2:68" x14ac:dyDescent="0.2"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</row>
    <row r="61" spans="2:68" x14ac:dyDescent="0.2">
      <c r="B61" t="s">
        <v>14</v>
      </c>
      <c r="N61" s="103">
        <v>8.8999999999999996E-2</v>
      </c>
      <c r="O61" s="103">
        <v>8.8999999999999996E-2</v>
      </c>
      <c r="P61" s="103">
        <v>8.8999999999999996E-2</v>
      </c>
      <c r="Q61" s="103">
        <v>8.8999999999999996E-2</v>
      </c>
      <c r="R61" s="103">
        <v>8.8999999999999996E-2</v>
      </c>
      <c r="S61" s="103">
        <v>8.8999999999999996E-2</v>
      </c>
      <c r="T61" s="103">
        <v>8.8999999999999996E-2</v>
      </c>
      <c r="U61" s="103">
        <v>8.8999999999999996E-2</v>
      </c>
      <c r="V61" s="103">
        <v>8.8999999999999996E-2</v>
      </c>
      <c r="W61" s="103">
        <v>8.8999999999999996E-2</v>
      </c>
      <c r="X61" s="103">
        <v>8.8999999999999996E-2</v>
      </c>
      <c r="Y61" s="103">
        <v>8.8999999999999996E-2</v>
      </c>
      <c r="Z61" s="103">
        <v>8.8999999999999996E-2</v>
      </c>
      <c r="AA61" s="103">
        <v>8.8999999999999996E-2</v>
      </c>
      <c r="AB61" s="103">
        <v>8.8999999999999996E-2</v>
      </c>
      <c r="AC61" s="103">
        <v>8.8999999999999996E-2</v>
      </c>
      <c r="AD61" s="103">
        <v>8.8999999999999996E-2</v>
      </c>
      <c r="AE61" s="103">
        <v>8.8999999999999996E-2</v>
      </c>
      <c r="AF61" s="103">
        <v>8.8999999999999996E-2</v>
      </c>
      <c r="AG61" s="103">
        <v>8.8999999999999996E-2</v>
      </c>
      <c r="AH61" s="103">
        <v>8.8999999999999996E-2</v>
      </c>
      <c r="AI61" s="103">
        <v>8.8999999999999996E-2</v>
      </c>
      <c r="AJ61" s="103">
        <v>8.8999999999999996E-2</v>
      </c>
      <c r="AK61" s="103">
        <v>8.8999999999999996E-2</v>
      </c>
      <c r="AL61" s="103">
        <v>8.8999999999999996E-2</v>
      </c>
      <c r="AM61" s="103">
        <v>8.8999999999999996E-2</v>
      </c>
      <c r="AN61" s="103">
        <v>8.8999999999999996E-2</v>
      </c>
      <c r="AO61" s="103">
        <v>8.8999999999999996E-2</v>
      </c>
      <c r="AP61" s="103">
        <v>8.8999999999999996E-2</v>
      </c>
      <c r="AQ61" s="103">
        <v>8.8999999999999996E-2</v>
      </c>
      <c r="AR61" s="103">
        <v>8.8999999999999996E-2</v>
      </c>
      <c r="AS61" s="103">
        <v>8.8999999999999996E-2</v>
      </c>
      <c r="AT61" s="103">
        <v>8.8999999999999996E-2</v>
      </c>
      <c r="AU61" s="103">
        <v>8.8999999999999996E-2</v>
      </c>
      <c r="AV61" s="103">
        <v>8.8999999999999996E-2</v>
      </c>
      <c r="AW61" s="103">
        <v>8.8999999999999996E-2</v>
      </c>
      <c r="AX61" s="103">
        <v>8.8999999999999996E-2</v>
      </c>
      <c r="AY61" s="103">
        <v>8.8999999999999996E-2</v>
      </c>
      <c r="AZ61" s="103">
        <v>8.8999999999999996E-2</v>
      </c>
      <c r="BA61" s="103">
        <v>8.8999999999999996E-2</v>
      </c>
      <c r="BB61" s="103">
        <v>8.8999999999999996E-2</v>
      </c>
      <c r="BC61" s="103">
        <v>8.8999999999999996E-2</v>
      </c>
      <c r="BD61" s="103">
        <v>8.8999999999999996E-2</v>
      </c>
      <c r="BE61" s="103">
        <v>8.8999999999999996E-2</v>
      </c>
      <c r="BF61" s="103">
        <v>8.8999999999999996E-2</v>
      </c>
      <c r="BG61" s="103">
        <v>8.8999999999999996E-2</v>
      </c>
      <c r="BH61" s="103">
        <v>8.8999999999999996E-2</v>
      </c>
      <c r="BI61" s="103">
        <v>8.8999999999999996E-2</v>
      </c>
      <c r="BJ61" s="103">
        <v>8.8999999999999996E-2</v>
      </c>
      <c r="BK61" s="103">
        <v>8.8999999999999996E-2</v>
      </c>
      <c r="BL61" s="103">
        <v>8.8999999999999996E-2</v>
      </c>
      <c r="BM61" s="103">
        <v>8.8999999999999996E-2</v>
      </c>
      <c r="BN61" s="103">
        <v>8.8999999999999996E-2</v>
      </c>
    </row>
    <row r="62" spans="2:68" x14ac:dyDescent="0.2">
      <c r="B62" t="s">
        <v>17</v>
      </c>
      <c r="N62" s="103">
        <v>8.8999999999999996E-2</v>
      </c>
      <c r="O62" s="103">
        <v>8.8999999999999996E-2</v>
      </c>
      <c r="P62" s="103">
        <v>8.8999999999999996E-2</v>
      </c>
      <c r="Q62" s="103">
        <v>8.8999999999999996E-2</v>
      </c>
      <c r="R62" s="103">
        <v>8.8999999999999996E-2</v>
      </c>
      <c r="S62" s="103">
        <v>8.8999999999999996E-2</v>
      </c>
      <c r="T62" s="103">
        <v>8.8999999999999996E-2</v>
      </c>
      <c r="U62" s="103">
        <v>8.8999999999999996E-2</v>
      </c>
      <c r="V62" s="103">
        <v>8.8999999999999996E-2</v>
      </c>
      <c r="W62" s="103">
        <v>8.8999999999999996E-2</v>
      </c>
      <c r="X62" s="103">
        <v>8.8999999999999996E-2</v>
      </c>
      <c r="Y62" s="103">
        <v>8.8999999999999996E-2</v>
      </c>
      <c r="Z62" s="103">
        <v>8.8999999999999996E-2</v>
      </c>
      <c r="AA62" s="103">
        <v>8.8999999999999996E-2</v>
      </c>
      <c r="AB62" s="103">
        <v>8.8999999999999996E-2</v>
      </c>
      <c r="AC62" s="103">
        <v>8.8999999999999996E-2</v>
      </c>
      <c r="AD62" s="103">
        <v>8.8999999999999996E-2</v>
      </c>
      <c r="AE62" s="103">
        <v>8.8999999999999996E-2</v>
      </c>
      <c r="AF62" s="103">
        <v>8.8999999999999996E-2</v>
      </c>
      <c r="AG62" s="103">
        <v>8.8999999999999996E-2</v>
      </c>
      <c r="AH62" s="103">
        <v>8.8999999999999996E-2</v>
      </c>
      <c r="AI62" s="103">
        <v>8.8999999999999996E-2</v>
      </c>
      <c r="AJ62" s="103">
        <v>8.8999999999999996E-2</v>
      </c>
      <c r="AK62" s="103">
        <v>8.8999999999999996E-2</v>
      </c>
      <c r="AL62" s="103">
        <v>8.8999999999999996E-2</v>
      </c>
      <c r="AM62" s="103">
        <v>8.8999999999999996E-2</v>
      </c>
      <c r="AN62" s="103">
        <v>8.8999999999999996E-2</v>
      </c>
      <c r="AO62" s="103">
        <v>8.8999999999999996E-2</v>
      </c>
      <c r="AP62" s="103">
        <v>8.8999999999999996E-2</v>
      </c>
      <c r="AQ62" s="103">
        <v>8.8999999999999996E-2</v>
      </c>
      <c r="AR62" s="103">
        <v>8.8999999999999996E-2</v>
      </c>
      <c r="AS62" s="103">
        <v>8.8999999999999996E-2</v>
      </c>
      <c r="AT62" s="103">
        <v>8.8999999999999996E-2</v>
      </c>
      <c r="AU62" s="103">
        <v>8.8999999999999996E-2</v>
      </c>
      <c r="AV62" s="103">
        <v>8.8999999999999996E-2</v>
      </c>
      <c r="AW62" s="103">
        <v>8.8999999999999996E-2</v>
      </c>
      <c r="AX62" s="103">
        <v>8.8999999999999996E-2</v>
      </c>
      <c r="AY62" s="103">
        <v>8.8999999999999996E-2</v>
      </c>
      <c r="AZ62" s="103">
        <v>8.8999999999999996E-2</v>
      </c>
      <c r="BA62" s="103">
        <v>8.8999999999999996E-2</v>
      </c>
      <c r="BB62" s="103">
        <v>8.8999999999999996E-2</v>
      </c>
      <c r="BC62" s="103">
        <v>8.8999999999999996E-2</v>
      </c>
      <c r="BD62" s="103">
        <v>8.8999999999999996E-2</v>
      </c>
      <c r="BE62" s="103">
        <v>8.8999999999999996E-2</v>
      </c>
      <c r="BF62" s="103">
        <v>8.8999999999999996E-2</v>
      </c>
      <c r="BG62" s="103">
        <v>8.8999999999999996E-2</v>
      </c>
      <c r="BH62" s="103">
        <v>8.8999999999999996E-2</v>
      </c>
      <c r="BI62" s="103">
        <v>8.8999999999999996E-2</v>
      </c>
      <c r="BJ62" s="103">
        <v>8.8999999999999996E-2</v>
      </c>
      <c r="BK62" s="103">
        <v>8.8999999999999996E-2</v>
      </c>
      <c r="BL62" s="103">
        <v>8.8999999999999996E-2</v>
      </c>
      <c r="BM62" s="103">
        <v>8.8999999999999996E-2</v>
      </c>
      <c r="BN62" s="103">
        <v>8.8999999999999996E-2</v>
      </c>
    </row>
    <row r="63" spans="2:68" x14ac:dyDescent="0.2">
      <c r="B63" t="s">
        <v>16</v>
      </c>
      <c r="N63" s="103">
        <v>8.8999999999999996E-2</v>
      </c>
      <c r="O63" s="103">
        <v>8.8999999999999996E-2</v>
      </c>
      <c r="P63" s="103">
        <v>8.8999999999999996E-2</v>
      </c>
      <c r="Q63" s="103">
        <v>8.8999999999999996E-2</v>
      </c>
      <c r="R63" s="103">
        <v>8.8999999999999996E-2</v>
      </c>
      <c r="S63" s="103">
        <v>8.8999999999999996E-2</v>
      </c>
      <c r="T63" s="103">
        <v>8.8999999999999996E-2</v>
      </c>
      <c r="U63" s="103">
        <v>8.8999999999999996E-2</v>
      </c>
      <c r="V63" s="103">
        <v>8.8999999999999996E-2</v>
      </c>
      <c r="W63" s="103">
        <v>8.8999999999999996E-2</v>
      </c>
      <c r="X63" s="103">
        <v>8.8999999999999996E-2</v>
      </c>
      <c r="Y63" s="103">
        <v>8.8999999999999996E-2</v>
      </c>
      <c r="Z63" s="103">
        <v>8.8999999999999996E-2</v>
      </c>
      <c r="AA63" s="103">
        <v>8.8999999999999996E-2</v>
      </c>
      <c r="AB63" s="103">
        <v>8.8999999999999996E-2</v>
      </c>
      <c r="AC63" s="103">
        <v>8.8999999999999996E-2</v>
      </c>
      <c r="AD63" s="103">
        <v>8.8999999999999996E-2</v>
      </c>
      <c r="AE63" s="103">
        <v>8.8999999999999996E-2</v>
      </c>
      <c r="AF63" s="103">
        <v>8.8999999999999996E-2</v>
      </c>
      <c r="AG63" s="103">
        <v>8.8999999999999996E-2</v>
      </c>
      <c r="AH63" s="103">
        <v>8.8999999999999996E-2</v>
      </c>
      <c r="AI63" s="103">
        <v>8.8999999999999996E-2</v>
      </c>
      <c r="AJ63" s="103">
        <v>8.8999999999999996E-2</v>
      </c>
      <c r="AK63" s="103">
        <v>8.8999999999999996E-2</v>
      </c>
      <c r="AL63" s="103">
        <v>8.8999999999999996E-2</v>
      </c>
      <c r="AM63" s="103">
        <v>8.8999999999999996E-2</v>
      </c>
      <c r="AN63" s="103">
        <v>8.8999999999999996E-2</v>
      </c>
      <c r="AO63" s="103">
        <v>8.8999999999999996E-2</v>
      </c>
      <c r="AP63" s="103">
        <v>8.8999999999999996E-2</v>
      </c>
      <c r="AQ63" s="103">
        <v>8.8999999999999996E-2</v>
      </c>
      <c r="AR63" s="103">
        <v>8.8999999999999996E-2</v>
      </c>
      <c r="AS63" s="103">
        <v>8.8999999999999996E-2</v>
      </c>
      <c r="AT63" s="103">
        <v>8.8999999999999996E-2</v>
      </c>
      <c r="AU63" s="103">
        <v>8.8999999999999996E-2</v>
      </c>
      <c r="AV63" s="103">
        <v>8.8999999999999996E-2</v>
      </c>
      <c r="AW63" s="103">
        <v>8.8999999999999996E-2</v>
      </c>
      <c r="AX63" s="103">
        <v>8.8999999999999996E-2</v>
      </c>
      <c r="AY63" s="103">
        <v>8.8999999999999996E-2</v>
      </c>
      <c r="AZ63" s="103">
        <v>8.8999999999999996E-2</v>
      </c>
      <c r="BA63" s="103">
        <v>8.8999999999999996E-2</v>
      </c>
      <c r="BB63" s="103">
        <v>8.8999999999999996E-2</v>
      </c>
      <c r="BC63" s="103">
        <v>8.8999999999999996E-2</v>
      </c>
      <c r="BD63" s="103">
        <v>8.8999999999999996E-2</v>
      </c>
      <c r="BE63" s="103">
        <v>8.8999999999999996E-2</v>
      </c>
      <c r="BF63" s="103">
        <v>8.8999999999999996E-2</v>
      </c>
      <c r="BG63" s="103">
        <v>8.8999999999999996E-2</v>
      </c>
      <c r="BH63" s="103">
        <v>8.8999999999999996E-2</v>
      </c>
      <c r="BI63" s="103">
        <v>8.8999999999999996E-2</v>
      </c>
      <c r="BJ63" s="103">
        <v>8.8999999999999996E-2</v>
      </c>
      <c r="BK63" s="103">
        <v>8.8999999999999996E-2</v>
      </c>
      <c r="BL63" s="103">
        <v>8.8999999999999996E-2</v>
      </c>
      <c r="BM63" s="103">
        <v>8.8999999999999996E-2</v>
      </c>
      <c r="BN63" s="103">
        <v>8.8999999999999996E-2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2</xdr:col>
                    <xdr:colOff>139700</xdr:colOff>
                    <xdr:row>6</xdr:row>
                    <xdr:rowOff>177800</xdr:rowOff>
                  </from>
                  <to>
                    <xdr:col>2</xdr:col>
                    <xdr:colOff>1587500</xdr:colOff>
                    <xdr:row>7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8CA6B-5272-48CE-9AC1-1364D0CA1A63}">
  <dimension ref="A2:BJ81"/>
  <sheetViews>
    <sheetView showGridLines="0" tabSelected="1" zoomScale="93" zoomScaleNormal="93" workbookViewId="0">
      <selection activeCell="BK13" sqref="BK13"/>
    </sheetView>
  </sheetViews>
  <sheetFormatPr baseColWidth="10" defaultColWidth="10.6640625" defaultRowHeight="15" outlineLevelCol="1" x14ac:dyDescent="0.2"/>
  <cols>
    <col min="4" max="12" width="9.1640625" customWidth="1"/>
    <col min="13" max="13" width="30.5" customWidth="1"/>
    <col min="14" max="16" width="9.1640625" customWidth="1"/>
    <col min="17" max="17" width="14.6640625" hidden="1" customWidth="1" outlineLevel="1" collapsed="1"/>
    <col min="18" max="18" width="11.5" hidden="1" customWidth="1" outlineLevel="1"/>
    <col min="19" max="19" width="17.33203125" hidden="1" customWidth="1" outlineLevel="1"/>
    <col min="20" max="20" width="13.83203125" hidden="1" customWidth="1" outlineLevel="1"/>
    <col min="21" max="21" width="11.5" customWidth="1" collapsed="1"/>
    <col min="22" max="23" width="12.5" hidden="1" customWidth="1" outlineLevel="1"/>
    <col min="24" max="24" width="12.6640625" hidden="1" customWidth="1" outlineLevel="1"/>
    <col min="25" max="25" width="11.5" hidden="1" customWidth="1" outlineLevel="1"/>
    <col min="26" max="29" width="12.5" hidden="1" customWidth="1" outlineLevel="1"/>
    <col min="30" max="32" width="13.6640625" hidden="1" customWidth="1" outlineLevel="1"/>
    <col min="33" max="33" width="14.6640625" hidden="1" customWidth="1" outlineLevel="1"/>
    <col min="34" max="34" width="12.1640625" bestFit="1" customWidth="1" collapsed="1"/>
    <col min="35" max="46" width="10.6640625" hidden="1" customWidth="1" outlineLevel="1"/>
    <col min="47" max="47" width="12.1640625" bestFit="1" customWidth="1" collapsed="1"/>
    <col min="48" max="56" width="10.6640625" hidden="1" customWidth="1" outlineLevel="1"/>
    <col min="57" max="59" width="11.5" hidden="1" customWidth="1" outlineLevel="1"/>
    <col min="60" max="60" width="12.1640625" bestFit="1" customWidth="1" collapsed="1"/>
    <col min="62" max="62" width="12.1640625" bestFit="1" customWidth="1"/>
  </cols>
  <sheetData>
    <row r="2" spans="1:62" ht="28" x14ac:dyDescent="0.35">
      <c r="A2" s="5" t="s">
        <v>394</v>
      </c>
    </row>
    <row r="3" spans="1:62" x14ac:dyDescent="0.2">
      <c r="A3" s="6" t="str">
        <f>UPPER("currently running: "&amp;CHOOSE(Scenarios!$C$8,Scenarios!B15,Scenarios!B16,Scenarios!B17)&amp;" Scenario")</f>
        <v>CURRENTLY RUNNING: BASE CASE SCENARIO</v>
      </c>
    </row>
    <row r="4" spans="1:62" x14ac:dyDescent="0.2">
      <c r="A4" s="6" t="s">
        <v>1</v>
      </c>
    </row>
    <row r="5" spans="1:62" x14ac:dyDescent="0.2">
      <c r="M5" s="9" t="s">
        <v>2</v>
      </c>
      <c r="N5" s="9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1:62" x14ac:dyDescent="0.2">
      <c r="M6" s="10" t="s">
        <v>59</v>
      </c>
      <c r="N6" s="10"/>
      <c r="O6" s="10"/>
      <c r="P6" s="10"/>
      <c r="Q6" s="11">
        <f>Assumptions!J6</f>
        <v>45930</v>
      </c>
      <c r="R6" s="11">
        <f>Assumptions!K6</f>
        <v>45961</v>
      </c>
      <c r="S6" s="11">
        <f>Assumptions!L6</f>
        <v>45991</v>
      </c>
      <c r="T6" s="11">
        <f>Assumptions!M6</f>
        <v>46022</v>
      </c>
      <c r="U6" s="10">
        <f>Assumptions!N6</f>
        <v>2025</v>
      </c>
      <c r="V6" s="11">
        <f>Assumptions!O6</f>
        <v>46053</v>
      </c>
      <c r="W6" s="11">
        <f>Assumptions!P6</f>
        <v>46081</v>
      </c>
      <c r="X6" s="11">
        <f>Assumptions!Q6</f>
        <v>46112</v>
      </c>
      <c r="Y6" s="11">
        <f>Assumptions!R6</f>
        <v>46142</v>
      </c>
      <c r="Z6" s="11">
        <f>Assumptions!S6</f>
        <v>46173</v>
      </c>
      <c r="AA6" s="11">
        <f>Assumptions!T6</f>
        <v>46203</v>
      </c>
      <c r="AB6" s="11">
        <f>Assumptions!U6</f>
        <v>46234</v>
      </c>
      <c r="AC6" s="11">
        <f>Assumptions!V6</f>
        <v>46265</v>
      </c>
      <c r="AD6" s="11">
        <f>Assumptions!W6</f>
        <v>46295</v>
      </c>
      <c r="AE6" s="11">
        <f>Assumptions!X6</f>
        <v>46326</v>
      </c>
      <c r="AF6" s="11">
        <f>Assumptions!Y6</f>
        <v>46356</v>
      </c>
      <c r="AG6" s="11">
        <f>Assumptions!Z6</f>
        <v>46387</v>
      </c>
      <c r="AH6" s="10">
        <f>Assumptions!AA6</f>
        <v>2026</v>
      </c>
      <c r="AI6" s="11">
        <f>Assumptions!AB6</f>
        <v>46418</v>
      </c>
      <c r="AJ6" s="11">
        <f>Assumptions!AC6</f>
        <v>46446</v>
      </c>
      <c r="AK6" s="11">
        <f>Assumptions!AD6</f>
        <v>46477</v>
      </c>
      <c r="AL6" s="11">
        <f>Assumptions!AE6</f>
        <v>46507</v>
      </c>
      <c r="AM6" s="11">
        <f>Assumptions!AF6</f>
        <v>46538</v>
      </c>
      <c r="AN6" s="11">
        <f>Assumptions!AG6</f>
        <v>46568</v>
      </c>
      <c r="AO6" s="11">
        <f>Assumptions!AH6</f>
        <v>46599</v>
      </c>
      <c r="AP6" s="11">
        <f>Assumptions!AI6</f>
        <v>46630</v>
      </c>
      <c r="AQ6" s="11">
        <f>Assumptions!AJ6</f>
        <v>46660</v>
      </c>
      <c r="AR6" s="11">
        <f>Assumptions!AK6</f>
        <v>46691</v>
      </c>
      <c r="AS6" s="11">
        <f>Assumptions!AL6</f>
        <v>46721</v>
      </c>
      <c r="AT6" s="11">
        <f>Assumptions!AM6</f>
        <v>46752</v>
      </c>
      <c r="AU6" s="10">
        <f>Assumptions!AN6</f>
        <v>2027</v>
      </c>
      <c r="AV6" s="11">
        <f>Assumptions!AO6</f>
        <v>46783</v>
      </c>
      <c r="AW6" s="11">
        <f>Assumptions!AP6</f>
        <v>46812</v>
      </c>
      <c r="AX6" s="11">
        <f>Assumptions!AQ6</f>
        <v>46843</v>
      </c>
      <c r="AY6" s="11">
        <f>Assumptions!AR6</f>
        <v>46873</v>
      </c>
      <c r="AZ6" s="11">
        <f>Assumptions!AS6</f>
        <v>46904</v>
      </c>
      <c r="BA6" s="11">
        <f>Assumptions!AT6</f>
        <v>46934</v>
      </c>
      <c r="BB6" s="11">
        <f>Assumptions!AU6</f>
        <v>46965</v>
      </c>
      <c r="BC6" s="11">
        <f>Assumptions!AV6</f>
        <v>46996</v>
      </c>
      <c r="BD6" s="11">
        <f>Assumptions!AW6</f>
        <v>47026</v>
      </c>
      <c r="BE6" s="11">
        <f>Assumptions!AX6</f>
        <v>47057</v>
      </c>
      <c r="BF6" s="11">
        <f>Assumptions!AY6</f>
        <v>47087</v>
      </c>
      <c r="BG6" s="11">
        <f>Assumptions!AZ6</f>
        <v>47118</v>
      </c>
      <c r="BH6" s="10">
        <f>Assumptions!BA6</f>
        <v>2028</v>
      </c>
    </row>
    <row r="7" spans="1:62" x14ac:dyDescent="0.2">
      <c r="M7" s="6" t="s">
        <v>166</v>
      </c>
    </row>
    <row r="8" spans="1:62" x14ac:dyDescent="0.2">
      <c r="M8" s="139" t="s">
        <v>6</v>
      </c>
      <c r="N8" s="82" t="s">
        <v>229</v>
      </c>
      <c r="Q8" s="75">
        <f>('Model '!J13)</f>
        <v>9676.8801914672731</v>
      </c>
      <c r="R8" s="75">
        <f>('Model '!K13)</f>
        <v>14830.528111027204</v>
      </c>
      <c r="S8" s="75">
        <f>('Model '!L13)</f>
        <v>19999.93642177845</v>
      </c>
      <c r="T8" s="75">
        <f>('Model '!M13)</f>
        <v>25153.584341338381</v>
      </c>
      <c r="U8" s="75">
        <f>('Model '!N13)</f>
        <v>69660.929065611315</v>
      </c>
      <c r="V8" s="75">
        <f>('Model '!O13)</f>
        <v>30291.471869706998</v>
      </c>
      <c r="W8" s="75">
        <f>('Model '!P13)</f>
        <v>35460.881994733041</v>
      </c>
      <c r="X8" s="75">
        <f>('Model '!Q13)</f>
        <v>36205.560516622434</v>
      </c>
      <c r="Y8" s="75">
        <f>('Model '!R13)</f>
        <v>36205.560516622434</v>
      </c>
      <c r="Z8" s="75">
        <f>('Model '!S13)</f>
        <v>36205.560516622434</v>
      </c>
      <c r="AA8" s="75">
        <f>('Model '!T13)</f>
        <v>36205.560516622434</v>
      </c>
      <c r="AB8" s="75">
        <f>('Model '!U13)</f>
        <v>36205.560516622434</v>
      </c>
      <c r="AC8" s="75">
        <f>('Model '!V13)</f>
        <v>36205.560516622434</v>
      </c>
      <c r="AD8" s="75">
        <f>('Model '!W13)</f>
        <v>36205.560516622434</v>
      </c>
      <c r="AE8" s="75">
        <f>('Model '!X13)</f>
        <v>36205.560516622434</v>
      </c>
      <c r="AF8" s="75">
        <f>('Model '!Y13)</f>
        <v>36205.560516622434</v>
      </c>
      <c r="AG8" s="75">
        <f>('Model '!Z13)</f>
        <v>36205.560516622434</v>
      </c>
      <c r="AH8" s="75">
        <f>('Model '!AA13)</f>
        <v>427807.95903066441</v>
      </c>
      <c r="AI8" s="75">
        <f>('Model '!AB13)</f>
        <v>36929.671726954875</v>
      </c>
      <c r="AJ8" s="75">
        <f>('Model '!AC13)</f>
        <v>36929.671726954875</v>
      </c>
      <c r="AK8" s="75">
        <f>('Model '!AD13)</f>
        <v>38866.425855678986</v>
      </c>
      <c r="AL8" s="75">
        <f>('Model '!AE13)</f>
        <v>40803.181873825153</v>
      </c>
      <c r="AM8" s="75">
        <f>('Model '!AF13)</f>
        <v>42756.351078565778</v>
      </c>
      <c r="AN8" s="75">
        <f>('Model '!AG13)</f>
        <v>44693.107096711938</v>
      </c>
      <c r="AO8" s="75">
        <f>('Model '!AH13)</f>
        <v>46629.863114858104</v>
      </c>
      <c r="AP8" s="75">
        <f>('Model '!AI13)</f>
        <v>48583.032319598729</v>
      </c>
      <c r="AQ8" s="75">
        <f>('Model '!AJ13)</f>
        <v>50519.788337744896</v>
      </c>
      <c r="AR8" s="75">
        <f>('Model '!AK13)</f>
        <v>52456.544355891063</v>
      </c>
      <c r="AS8" s="75">
        <f>('Model '!AL13)</f>
        <v>54409.713560631688</v>
      </c>
      <c r="AT8" s="75">
        <f>('Model '!AM13)</f>
        <v>56346.469578777855</v>
      </c>
      <c r="AU8" s="75">
        <f>('Model '!AN13)</f>
        <v>549923.82062619389</v>
      </c>
      <c r="AV8" s="75">
        <f>('Model '!AO13)</f>
        <v>59465.631559188849</v>
      </c>
      <c r="AW8" s="75">
        <f>('Model '!AP13)</f>
        <v>61441.122697697938</v>
      </c>
      <c r="AX8" s="75">
        <f>('Model '!AQ13)</f>
        <v>63416.613836207027</v>
      </c>
      <c r="AY8" s="75">
        <f>('Model '!AR13)</f>
        <v>65408.846425042459</v>
      </c>
      <c r="AZ8" s="75">
        <f>('Model '!AS13)</f>
        <v>67384.337563551555</v>
      </c>
      <c r="BA8" s="75">
        <f>('Model '!AT13)</f>
        <v>69359.828702060637</v>
      </c>
      <c r="BB8" s="75">
        <f>('Model '!AU13)</f>
        <v>71352.061290896076</v>
      </c>
      <c r="BC8" s="75">
        <f>('Model '!AV13)</f>
        <v>75336.529271782172</v>
      </c>
      <c r="BD8" s="75">
        <f>('Model '!AW13)</f>
        <v>75336.529271782172</v>
      </c>
      <c r="BE8" s="75">
        <f>('Model '!AX13)</f>
        <v>75336.529271782172</v>
      </c>
      <c r="BF8" s="75">
        <f>('Model '!AY13)</f>
        <v>75336.529271782172</v>
      </c>
      <c r="BG8" s="75">
        <f>('Model '!AZ13)</f>
        <v>75336.529271782172</v>
      </c>
      <c r="BH8" s="75">
        <f>('Model '!BA13)</f>
        <v>834511.08843355521</v>
      </c>
      <c r="BJ8" s="42"/>
    </row>
    <row r="9" spans="1:62" x14ac:dyDescent="0.2">
      <c r="M9" s="139" t="s">
        <v>7</v>
      </c>
      <c r="N9" s="82" t="s">
        <v>229</v>
      </c>
      <c r="Q9" s="75">
        <f>('Model '!J14)</f>
        <v>17817.396622455741</v>
      </c>
      <c r="R9" s="75">
        <f>('Model '!K14)</f>
        <v>27335.981370638088</v>
      </c>
      <c r="S9" s="75">
        <f>('Model '!L14)</f>
        <v>36832.784460357776</v>
      </c>
      <c r="T9" s="75">
        <f>('Model '!M14)</f>
        <v>46351.36920854012</v>
      </c>
      <c r="U9" s="75">
        <f>('Model '!N14)</f>
        <v>128337.53166199173</v>
      </c>
      <c r="V9" s="75">
        <f>('Model '!O14)</f>
        <v>55848.172298259808</v>
      </c>
      <c r="W9" s="75">
        <f>('Model '!P14)</f>
        <v>65344.975387979495</v>
      </c>
      <c r="X9" s="75">
        <f>('Model '!Q14)</f>
        <v>66717.219871127061</v>
      </c>
      <c r="Y9" s="75">
        <f>('Model '!R14)</f>
        <v>66717.219871127061</v>
      </c>
      <c r="Z9" s="75">
        <f>('Model '!S14)</f>
        <v>66717.219871127061</v>
      </c>
      <c r="AA9" s="75">
        <f>('Model '!T14)</f>
        <v>66717.219871127061</v>
      </c>
      <c r="AB9" s="75">
        <f>('Model '!U14)</f>
        <v>66717.219871127061</v>
      </c>
      <c r="AC9" s="75">
        <f>('Model '!V14)</f>
        <v>66717.219871127061</v>
      </c>
      <c r="AD9" s="75">
        <f>('Model '!W14)</f>
        <v>66717.219871127061</v>
      </c>
      <c r="AE9" s="75">
        <f>('Model '!X14)</f>
        <v>66717.219871127061</v>
      </c>
      <c r="AF9" s="75">
        <f>('Model '!Y14)</f>
        <v>66717.219871127061</v>
      </c>
      <c r="AG9" s="75">
        <f>('Model '!Z14)</f>
        <v>66717.219871127061</v>
      </c>
      <c r="AH9" s="75">
        <f>('Model '!AA14)</f>
        <v>788365.3463975098</v>
      </c>
      <c r="AI9" s="75">
        <f>('Model '!AB14)</f>
        <v>68051.564268549599</v>
      </c>
      <c r="AJ9" s="75">
        <f>('Model '!AC14)</f>
        <v>68051.564268549599</v>
      </c>
      <c r="AK9" s="75">
        <f>('Model '!AD14)</f>
        <v>71635.613320026532</v>
      </c>
      <c r="AL9" s="75">
        <f>('Model '!AE14)</f>
        <v>75219.66237150348</v>
      </c>
      <c r="AM9" s="75">
        <f>('Model '!AF14)</f>
        <v>78803.711422980428</v>
      </c>
      <c r="AN9" s="75">
        <f>('Model '!AG14)</f>
        <v>82387.760474457376</v>
      </c>
      <c r="AO9" s="75">
        <f>('Model '!AH14)</f>
        <v>85971.809525934324</v>
      </c>
      <c r="AP9" s="75">
        <f>('Model '!AI14)</f>
        <v>89533.17472265508</v>
      </c>
      <c r="AQ9" s="75">
        <f>('Model '!AJ14)</f>
        <v>93117.223774132028</v>
      </c>
      <c r="AR9" s="75">
        <f>('Model '!AK14)</f>
        <v>96701.272825608976</v>
      </c>
      <c r="AS9" s="75">
        <f>('Model '!AL14)</f>
        <v>100262.63802232973</v>
      </c>
      <c r="AT9" s="75">
        <f>('Model '!AM14)</f>
        <v>103846.68707380668</v>
      </c>
      <c r="AU9" s="75">
        <f>('Model '!AN14)</f>
        <v>1013582.6820705339</v>
      </c>
      <c r="AV9" s="75">
        <f>('Model '!AO14)</f>
        <v>109579.35084778929</v>
      </c>
      <c r="AW9" s="75">
        <f>('Model '!AP14)</f>
        <v>113235.08088029578</v>
      </c>
      <c r="AX9" s="75">
        <f>('Model '!AQ14)</f>
        <v>116890.81091280226</v>
      </c>
      <c r="AY9" s="75">
        <f>('Model '!AR14)</f>
        <v>120546.54094530875</v>
      </c>
      <c r="AZ9" s="75">
        <f>('Model '!AS14)</f>
        <v>124202.27097781523</v>
      </c>
      <c r="BA9" s="75">
        <f>('Model '!AT14)</f>
        <v>127858.00101032171</v>
      </c>
      <c r="BB9" s="75">
        <f>('Model '!AU14)</f>
        <v>131490.59351097688</v>
      </c>
      <c r="BC9" s="75">
        <f>('Model '!AV14)</f>
        <v>138825.18917074849</v>
      </c>
      <c r="BD9" s="75">
        <f>('Model '!AW14)</f>
        <v>138825.18917074849</v>
      </c>
      <c r="BE9" s="75">
        <f>('Model '!AX14)</f>
        <v>138825.18917074849</v>
      </c>
      <c r="BF9" s="75">
        <f>('Model '!AY14)</f>
        <v>138825.18917074849</v>
      </c>
      <c r="BG9" s="75">
        <f>('Model '!AZ14)</f>
        <v>138825.18917074849</v>
      </c>
      <c r="BH9" s="75">
        <f>('Model '!BA14)</f>
        <v>1537928.5949390524</v>
      </c>
      <c r="BJ9" s="42"/>
    </row>
    <row r="10" spans="1:62" x14ac:dyDescent="0.2">
      <c r="M10" s="139" t="s">
        <v>121</v>
      </c>
      <c r="N10" s="82" t="s">
        <v>229</v>
      </c>
      <c r="Q10" s="75">
        <f>('Model '!J15)</f>
        <v>8273.7707760611011</v>
      </c>
      <c r="R10" s="75">
        <f>('Model '!K15)</f>
        <v>12683.75128750687</v>
      </c>
      <c r="S10" s="75">
        <f>('Model '!L15)</f>
        <v>17093.731798952642</v>
      </c>
      <c r="T10" s="75">
        <f>('Model '!M15)</f>
        <v>21503.712310398409</v>
      </c>
      <c r="U10" s="75">
        <f>('Model '!N15)</f>
        <v>59554.966172919019</v>
      </c>
      <c r="V10" s="75">
        <f>('Model '!O15)</f>
        <v>25933.922090245309</v>
      </c>
      <c r="W10" s="75">
        <f>('Model '!P15)</f>
        <v>30343.902601691076</v>
      </c>
      <c r="X10" s="75">
        <f>('Model '!Q15)</f>
        <v>30981.124556326587</v>
      </c>
      <c r="Y10" s="75">
        <f>('Model '!R15)</f>
        <v>30981.124556326587</v>
      </c>
      <c r="Z10" s="75">
        <f>('Model '!S15)</f>
        <v>30981.124556326587</v>
      </c>
      <c r="AA10" s="75">
        <f>('Model '!T15)</f>
        <v>30981.124556326587</v>
      </c>
      <c r="AB10" s="75">
        <f>('Model '!U15)</f>
        <v>30981.124556326587</v>
      </c>
      <c r="AC10" s="75">
        <f>('Model '!V15)</f>
        <v>30981.124556326587</v>
      </c>
      <c r="AD10" s="75">
        <f>('Model '!W15)</f>
        <v>30981.124556326587</v>
      </c>
      <c r="AE10" s="75">
        <f>('Model '!X15)</f>
        <v>30981.124556326587</v>
      </c>
      <c r="AF10" s="75">
        <f>('Model '!Y15)</f>
        <v>30981.124556326587</v>
      </c>
      <c r="AG10" s="75">
        <f>('Model '!Z15)</f>
        <v>30981.124556326587</v>
      </c>
      <c r="AH10" s="75">
        <f>('Model '!AA15)</f>
        <v>366089.0702552023</v>
      </c>
      <c r="AI10" s="75">
        <f>('Model '!AB15)</f>
        <v>31600.747047453118</v>
      </c>
      <c r="AJ10" s="75">
        <f>('Model '!AC15)</f>
        <v>31600.747047453118</v>
      </c>
      <c r="AK10" s="75">
        <f>('Model '!AD15)</f>
        <v>33265.053058618985</v>
      </c>
      <c r="AL10" s="75">
        <f>('Model '!AE15)</f>
        <v>34929.359069784849</v>
      </c>
      <c r="AM10" s="75">
        <f>('Model '!AF15)</f>
        <v>36593.665080950712</v>
      </c>
      <c r="AN10" s="75">
        <f>('Model '!AG15)</f>
        <v>38257.971092116575</v>
      </c>
      <c r="AO10" s="75">
        <f>('Model '!AH15)</f>
        <v>39922.277103282438</v>
      </c>
      <c r="AP10" s="75">
        <f>('Model '!AI15)</f>
        <v>41586.583114448302</v>
      </c>
      <c r="AQ10" s="75">
        <f>('Model '!AJ15)</f>
        <v>43250.889125614172</v>
      </c>
      <c r="AR10" s="75">
        <f>('Model '!AK15)</f>
        <v>44915.195136780036</v>
      </c>
      <c r="AS10" s="75">
        <f>('Model '!AL15)</f>
        <v>46558.433983247596</v>
      </c>
      <c r="AT10" s="75">
        <f>('Model '!AM15)</f>
        <v>48222.739994413459</v>
      </c>
      <c r="AU10" s="75">
        <f>('Model '!AN15)</f>
        <v>470703.66085416335</v>
      </c>
      <c r="AV10" s="75">
        <f>('Model '!AO15)</f>
        <v>50884.786925690911</v>
      </c>
      <c r="AW10" s="75">
        <f>('Model '!AP15)</f>
        <v>52582.379057080092</v>
      </c>
      <c r="AX10" s="75">
        <f>('Model '!AQ15)</f>
        <v>54279.971188469273</v>
      </c>
      <c r="AY10" s="75">
        <f>('Model '!AR15)</f>
        <v>55956.074811866187</v>
      </c>
      <c r="AZ10" s="75">
        <f>('Model '!AS15)</f>
        <v>57653.666943255368</v>
      </c>
      <c r="BA10" s="75">
        <f>('Model '!AT15)</f>
        <v>59351.259074644557</v>
      </c>
      <c r="BB10" s="75">
        <f>('Model '!AU15)</f>
        <v>61048.851206033738</v>
      </c>
      <c r="BC10" s="75">
        <f>('Model '!AV15)</f>
        <v>64465.523077286831</v>
      </c>
      <c r="BD10" s="75">
        <f>('Model '!AW15)</f>
        <v>64465.523077286831</v>
      </c>
      <c r="BE10" s="75">
        <f>('Model '!AX15)</f>
        <v>64465.523077286831</v>
      </c>
      <c r="BF10" s="75">
        <f>('Model '!AY15)</f>
        <v>64465.523077286831</v>
      </c>
      <c r="BG10" s="75">
        <f>('Model '!AZ15)</f>
        <v>64465.523077286831</v>
      </c>
      <c r="BH10" s="75">
        <f>('Model '!BA15)</f>
        <v>714084.60459347419</v>
      </c>
      <c r="BJ10" s="42"/>
    </row>
    <row r="11" spans="1:62" x14ac:dyDescent="0.2">
      <c r="M11" s="140" t="s">
        <v>122</v>
      </c>
      <c r="N11" s="201" t="s">
        <v>229</v>
      </c>
      <c r="O11" s="114"/>
      <c r="P11" s="114"/>
      <c r="Q11" s="144">
        <f>('Model '!J16)</f>
        <v>5232.0464491965813</v>
      </c>
      <c r="R11" s="144">
        <f>('Model '!K16)</f>
        <v>8020.7655834871794</v>
      </c>
      <c r="S11" s="144">
        <f>('Model '!L16)</f>
        <v>10809.484717777777</v>
      </c>
      <c r="T11" s="144">
        <f>('Model '!M16)</f>
        <v>13598.203852068375</v>
      </c>
      <c r="U11" s="144">
        <f>('Model '!N16)</f>
        <v>37660.500602529915</v>
      </c>
      <c r="V11" s="144">
        <f>('Model '!O16)</f>
        <v>16399.715275965813</v>
      </c>
      <c r="W11" s="144">
        <f>('Model '!P16)</f>
        <v>19188.43441025641</v>
      </c>
      <c r="X11" s="144">
        <f>('Model '!Q16)</f>
        <v>19591.391532871792</v>
      </c>
      <c r="Y11" s="144">
        <f>('Model '!R16)</f>
        <v>19591.391532871792</v>
      </c>
      <c r="Z11" s="144">
        <f>('Model '!S16)</f>
        <v>19591.391532871792</v>
      </c>
      <c r="AA11" s="144">
        <f>('Model '!T16)</f>
        <v>19591.391532871792</v>
      </c>
      <c r="AB11" s="144">
        <f>('Model '!U16)</f>
        <v>19591.391532871792</v>
      </c>
      <c r="AC11" s="144">
        <f>('Model '!V16)</f>
        <v>19591.391532871792</v>
      </c>
      <c r="AD11" s="144">
        <f>('Model '!W16)</f>
        <v>19591.391532871792</v>
      </c>
      <c r="AE11" s="144">
        <f>('Model '!X16)</f>
        <v>19591.391532871792</v>
      </c>
      <c r="AF11" s="144">
        <f>('Model '!Y16)</f>
        <v>19591.391532871792</v>
      </c>
      <c r="AG11" s="144">
        <f>('Model '!Z16)</f>
        <v>19591.391532871792</v>
      </c>
      <c r="AH11" s="144">
        <f>('Model '!AA16)</f>
        <v>231502.0650149401</v>
      </c>
      <c r="AI11" s="144">
        <f>('Model '!AB16)</f>
        <v>19983.219363529228</v>
      </c>
      <c r="AJ11" s="144">
        <f>('Model '!AC16)</f>
        <v>19983.219363529228</v>
      </c>
      <c r="AK11" s="144">
        <f>('Model '!AD16)</f>
        <v>21035.668916675102</v>
      </c>
      <c r="AL11" s="144">
        <f>('Model '!AE16)</f>
        <v>22088.118469820973</v>
      </c>
      <c r="AM11" s="144">
        <f>('Model '!AF16)</f>
        <v>23127.245876724493</v>
      </c>
      <c r="AN11" s="144">
        <f>('Model '!AG16)</f>
        <v>24179.695429870368</v>
      </c>
      <c r="AO11" s="144">
        <f>('Model '!AH16)</f>
        <v>25232.144983016238</v>
      </c>
      <c r="AP11" s="144">
        <f>('Model '!AI16)</f>
        <v>26284.594536162112</v>
      </c>
      <c r="AQ11" s="144">
        <f>('Model '!AJ16)</f>
        <v>27337.044089307983</v>
      </c>
      <c r="AR11" s="144">
        <f>('Model '!AK16)</f>
        <v>28389.493642453857</v>
      </c>
      <c r="AS11" s="144">
        <f>('Model '!AL16)</f>
        <v>29455.265341842081</v>
      </c>
      <c r="AT11" s="144">
        <f>('Model '!AM16)</f>
        <v>30507.714894987956</v>
      </c>
      <c r="AU11" s="144">
        <f>('Model '!AN16)</f>
        <v>297603.4249079196</v>
      </c>
      <c r="AV11" s="144">
        <f>('Model '!AO16)</f>
        <v>32177.779147929305</v>
      </c>
      <c r="AW11" s="144">
        <f>('Model '!AP16)</f>
        <v>33251.277692138094</v>
      </c>
      <c r="AX11" s="144">
        <f>('Model '!AQ16)</f>
        <v>34324.776236346886</v>
      </c>
      <c r="AY11" s="144">
        <f>('Model '!AR16)</f>
        <v>35398.274780555679</v>
      </c>
      <c r="AZ11" s="144">
        <f>('Model '!AS16)</f>
        <v>36471.773324764465</v>
      </c>
      <c r="BA11" s="144">
        <f>('Model '!AT16)</f>
        <v>37545.271868973257</v>
      </c>
      <c r="BB11" s="144">
        <f>('Model '!AU16)</f>
        <v>38618.77041318205</v>
      </c>
      <c r="BC11" s="144">
        <f>('Model '!AV16)</f>
        <v>40765.766932775849</v>
      </c>
      <c r="BD11" s="144">
        <f>('Model '!AW16)</f>
        <v>40765.766932775849</v>
      </c>
      <c r="BE11" s="144">
        <f>('Model '!AX16)</f>
        <v>40765.766932775849</v>
      </c>
      <c r="BF11" s="144">
        <f>('Model '!AY16)</f>
        <v>40765.766932775849</v>
      </c>
      <c r="BG11" s="144">
        <f>('Model '!AZ16)</f>
        <v>40765.766932775849</v>
      </c>
      <c r="BH11" s="144">
        <f>('Model '!BA16)</f>
        <v>451616.75812776899</v>
      </c>
      <c r="BJ11" s="42"/>
    </row>
    <row r="12" spans="1:62" x14ac:dyDescent="0.2">
      <c r="M12" s="141" t="s">
        <v>168</v>
      </c>
      <c r="N12" s="79" t="s">
        <v>229</v>
      </c>
      <c r="O12" s="6"/>
      <c r="P12" s="6"/>
      <c r="Q12" s="80">
        <f>SUM(Q8:Q11)</f>
        <v>41000.094039180694</v>
      </c>
      <c r="R12" s="80">
        <f t="shared" ref="R12:X12" si="0">SUM(R8:R11)</f>
        <v>62871.026352659341</v>
      </c>
      <c r="S12" s="80">
        <f t="shared" si="0"/>
        <v>84735.937398866663</v>
      </c>
      <c r="T12" s="80">
        <f t="shared" si="0"/>
        <v>106606.86971234527</v>
      </c>
      <c r="U12" s="80">
        <f t="shared" si="0"/>
        <v>295213.92750305199</v>
      </c>
      <c r="V12" s="80">
        <f t="shared" si="0"/>
        <v>128473.28153417792</v>
      </c>
      <c r="W12" s="80">
        <f t="shared" si="0"/>
        <v>150338.19439466004</v>
      </c>
      <c r="X12" s="80">
        <f t="shared" si="0"/>
        <v>153495.29647694787</v>
      </c>
      <c r="Y12" s="80">
        <f t="shared" ref="Y12:BH12" si="1">SUM(Y8:Y11)</f>
        <v>153495.29647694787</v>
      </c>
      <c r="Z12" s="80">
        <f t="shared" si="1"/>
        <v>153495.29647694787</v>
      </c>
      <c r="AA12" s="80">
        <f t="shared" si="1"/>
        <v>153495.29647694787</v>
      </c>
      <c r="AB12" s="80">
        <f t="shared" si="1"/>
        <v>153495.29647694787</v>
      </c>
      <c r="AC12" s="80">
        <f t="shared" si="1"/>
        <v>153495.29647694787</v>
      </c>
      <c r="AD12" s="80">
        <f t="shared" si="1"/>
        <v>153495.29647694787</v>
      </c>
      <c r="AE12" s="80">
        <f t="shared" si="1"/>
        <v>153495.29647694787</v>
      </c>
      <c r="AF12" s="80">
        <f t="shared" si="1"/>
        <v>153495.29647694787</v>
      </c>
      <c r="AG12" s="80">
        <f t="shared" si="1"/>
        <v>153495.29647694787</v>
      </c>
      <c r="AH12" s="80">
        <f t="shared" si="1"/>
        <v>1813764.4406983168</v>
      </c>
      <c r="AI12" s="80">
        <f t="shared" si="1"/>
        <v>156565.20240648685</v>
      </c>
      <c r="AJ12" s="80">
        <f t="shared" si="1"/>
        <v>156565.20240648685</v>
      </c>
      <c r="AK12" s="80">
        <f t="shared" si="1"/>
        <v>164802.76115099958</v>
      </c>
      <c r="AL12" s="80">
        <f t="shared" si="1"/>
        <v>173040.32178493444</v>
      </c>
      <c r="AM12" s="80">
        <f t="shared" si="1"/>
        <v>181280.97345922139</v>
      </c>
      <c r="AN12" s="80">
        <f t="shared" si="1"/>
        <v>189518.53409315625</v>
      </c>
      <c r="AO12" s="80">
        <f t="shared" si="1"/>
        <v>197756.09472709114</v>
      </c>
      <c r="AP12" s="80">
        <f t="shared" si="1"/>
        <v>205987.3846928642</v>
      </c>
      <c r="AQ12" s="80">
        <f t="shared" si="1"/>
        <v>214224.94532679906</v>
      </c>
      <c r="AR12" s="80">
        <f t="shared" si="1"/>
        <v>222462.50596073392</v>
      </c>
      <c r="AS12" s="80">
        <f t="shared" si="1"/>
        <v>230686.05090805108</v>
      </c>
      <c r="AT12" s="80">
        <f t="shared" si="1"/>
        <v>238923.61154198594</v>
      </c>
      <c r="AU12" s="80">
        <f t="shared" si="1"/>
        <v>2331813.5884588109</v>
      </c>
      <c r="AV12" s="80">
        <f t="shared" si="1"/>
        <v>252107.54848059837</v>
      </c>
      <c r="AW12" s="80">
        <f t="shared" si="1"/>
        <v>260509.86032721191</v>
      </c>
      <c r="AX12" s="80">
        <f t="shared" si="1"/>
        <v>268912.17217382544</v>
      </c>
      <c r="AY12" s="80">
        <f t="shared" si="1"/>
        <v>277309.73696277308</v>
      </c>
      <c r="AZ12" s="80">
        <f t="shared" si="1"/>
        <v>285712.04880938662</v>
      </c>
      <c r="BA12" s="80">
        <f t="shared" si="1"/>
        <v>294114.36065600015</v>
      </c>
      <c r="BB12" s="80">
        <f t="shared" si="1"/>
        <v>302510.27642108873</v>
      </c>
      <c r="BC12" s="80">
        <f t="shared" si="1"/>
        <v>319393.00845259335</v>
      </c>
      <c r="BD12" s="80">
        <f t="shared" si="1"/>
        <v>319393.00845259335</v>
      </c>
      <c r="BE12" s="80">
        <f t="shared" si="1"/>
        <v>319393.00845259335</v>
      </c>
      <c r="BF12" s="80">
        <f t="shared" si="1"/>
        <v>319393.00845259335</v>
      </c>
      <c r="BG12" s="80">
        <f>SUM(BG8:BG11)</f>
        <v>319393.00845259335</v>
      </c>
      <c r="BH12" s="80">
        <f t="shared" si="1"/>
        <v>3538141.0460938509</v>
      </c>
    </row>
    <row r="13" spans="1:62" x14ac:dyDescent="0.2">
      <c r="M13" s="260" t="s">
        <v>208</v>
      </c>
      <c r="N13" s="261" t="s">
        <v>13</v>
      </c>
      <c r="O13" s="262"/>
      <c r="P13" s="262"/>
      <c r="Q13" s="263"/>
      <c r="R13" s="263">
        <f t="shared" ref="R13:S13" si="2">R12/Q12-1</f>
        <v>0.53343614998975974</v>
      </c>
      <c r="S13" s="263">
        <f t="shared" si="2"/>
        <v>0.34777404338147044</v>
      </c>
      <c r="T13" s="263">
        <f>T12/S12-1</f>
        <v>0.2581069258787847</v>
      </c>
      <c r="U13" s="264"/>
      <c r="V13" s="263">
        <f>V12/T12-1</f>
        <v>0.20511259622230971</v>
      </c>
      <c r="W13" s="263">
        <f>W12/V12-1</f>
        <v>0.17019035086034884</v>
      </c>
      <c r="X13" s="263">
        <f>X12/W12-1</f>
        <v>2.0999999999999908E-2</v>
      </c>
      <c r="Y13" s="263">
        <f>Y12/X12-1</f>
        <v>0</v>
      </c>
      <c r="Z13" s="263">
        <f t="shared" ref="Z13:AG13" si="3">Z12/Y12-1</f>
        <v>0</v>
      </c>
      <c r="AA13" s="263">
        <f t="shared" si="3"/>
        <v>0</v>
      </c>
      <c r="AB13" s="263">
        <f t="shared" si="3"/>
        <v>0</v>
      </c>
      <c r="AC13" s="263">
        <f t="shared" si="3"/>
        <v>0</v>
      </c>
      <c r="AD13" s="263">
        <f t="shared" si="3"/>
        <v>0</v>
      </c>
      <c r="AE13" s="263">
        <f>AE12/AD12-1</f>
        <v>0</v>
      </c>
      <c r="AF13" s="263">
        <f t="shared" si="3"/>
        <v>0</v>
      </c>
      <c r="AG13" s="263">
        <f t="shared" si="3"/>
        <v>0</v>
      </c>
      <c r="AH13" s="263">
        <f>AH12/U12-1</f>
        <v>5.1438986162994143</v>
      </c>
      <c r="AI13" s="263">
        <f>AI12/AG12-1</f>
        <v>2.0000000000000018E-2</v>
      </c>
      <c r="AJ13" s="263">
        <f>AJ12/AI12-1</f>
        <v>0</v>
      </c>
      <c r="AK13" s="263">
        <f t="shared" ref="AK13:AT13" si="4">AK12/AJ12-1</f>
        <v>5.2614237505507422E-2</v>
      </c>
      <c r="AL13" s="263">
        <f t="shared" si="4"/>
        <v>4.9984360555629603E-2</v>
      </c>
      <c r="AM13" s="263">
        <f t="shared" si="4"/>
        <v>4.7622725092530516E-2</v>
      </c>
      <c r="AN13" s="263">
        <f t="shared" si="4"/>
        <v>4.5440845096674565E-2</v>
      </c>
      <c r="AO13" s="263">
        <f t="shared" si="4"/>
        <v>4.3465725784296083E-2</v>
      </c>
      <c r="AP13" s="263">
        <f t="shared" si="4"/>
        <v>4.1623445169325812E-2</v>
      </c>
      <c r="AQ13" s="263">
        <f t="shared" si="4"/>
        <v>3.9990607416164892E-2</v>
      </c>
      <c r="AR13" s="263">
        <f t="shared" si="4"/>
        <v>3.845285441136892E-2</v>
      </c>
      <c r="AS13" s="263">
        <f t="shared" si="4"/>
        <v>3.6965981803552372E-2</v>
      </c>
      <c r="AT13" s="263">
        <f t="shared" si="4"/>
        <v>3.5708967237114253E-2</v>
      </c>
      <c r="AU13" s="263">
        <f>AU12/AH12-1</f>
        <v>0.28562096385627678</v>
      </c>
      <c r="AV13" s="263">
        <f>AV12/AT12-1</f>
        <v>5.5180552702701835E-2</v>
      </c>
      <c r="AW13" s="263">
        <f>AW12/AV12-1</f>
        <v>3.3328283493503363E-2</v>
      </c>
      <c r="AX13" s="263">
        <f t="shared" ref="AX13:BG13" si="5">AX12/AW12-1</f>
        <v>3.2253335194529109E-2</v>
      </c>
      <c r="AY13" s="263">
        <f t="shared" si="5"/>
        <v>3.1227908804066562E-2</v>
      </c>
      <c r="AZ13" s="263">
        <f t="shared" si="5"/>
        <v>3.029937548763928E-2</v>
      </c>
      <c r="BA13" s="263">
        <f t="shared" si="5"/>
        <v>2.9408321705813423E-2</v>
      </c>
      <c r="BB13" s="263">
        <f t="shared" si="5"/>
        <v>2.8546432572561509E-2</v>
      </c>
      <c r="BC13" s="263">
        <f t="shared" si="5"/>
        <v>5.5808788485598892E-2</v>
      </c>
      <c r="BD13" s="263">
        <f t="shared" si="5"/>
        <v>0</v>
      </c>
      <c r="BE13" s="263">
        <f t="shared" si="5"/>
        <v>0</v>
      </c>
      <c r="BF13" s="263">
        <f t="shared" si="5"/>
        <v>0</v>
      </c>
      <c r="BG13" s="263">
        <f t="shared" si="5"/>
        <v>0</v>
      </c>
      <c r="BH13" s="265">
        <f>BH12/AU12-1</f>
        <v>0.51733443170830395</v>
      </c>
    </row>
    <row r="15" spans="1:62" x14ac:dyDescent="0.2">
      <c r="M15" s="142" t="s">
        <v>161</v>
      </c>
    </row>
    <row r="16" spans="1:62" x14ac:dyDescent="0.2">
      <c r="M16" s="139" t="s">
        <v>169</v>
      </c>
      <c r="N16" s="82" t="s">
        <v>229</v>
      </c>
      <c r="Q16" s="75">
        <f>(-'Model '!J21)</f>
        <v>23234.741181792</v>
      </c>
      <c r="R16" s="75">
        <f>(-'Model '!K21)</f>
        <v>35617.374106415999</v>
      </c>
      <c r="S16" s="75">
        <f>(-'Model '!L21)</f>
        <v>48010.233109392</v>
      </c>
      <c r="T16" s="75">
        <f>(-'Model '!M21)</f>
        <v>60400.125650015994</v>
      </c>
      <c r="U16" s="75">
        <f>(-'Model '!N21)</f>
        <v>167262.47404761601</v>
      </c>
      <c r="V16" s="75">
        <f>(-'Model '!O21)</f>
        <v>72794.188065743991</v>
      </c>
      <c r="W16" s="75">
        <f>(-'Model '!P21)</f>
        <v>85158.568241568006</v>
      </c>
      <c r="X16" s="75">
        <f>(-'Model '!Q21)</f>
        <v>86792.485174640926</v>
      </c>
      <c r="Y16" s="75">
        <f>(-'Model '!R21)</f>
        <v>86792.485174640926</v>
      </c>
      <c r="Z16" s="75">
        <f>(-'Model '!S21)</f>
        <v>86946.898174640926</v>
      </c>
      <c r="AA16" s="75">
        <f>(-'Model '!T21)</f>
        <v>86946.898174640926</v>
      </c>
      <c r="AB16" s="75">
        <f>(-'Model '!U21)</f>
        <v>86946.898174640926</v>
      </c>
      <c r="AC16" s="75">
        <f>(-'Model '!V21)</f>
        <v>86946.898174640926</v>
      </c>
      <c r="AD16" s="75">
        <f>(-'Model '!W21)</f>
        <v>86946.898174640926</v>
      </c>
      <c r="AE16" s="75">
        <f>(-'Model '!X21)</f>
        <v>86946.898174640926</v>
      </c>
      <c r="AF16" s="75">
        <f>(-'Model '!Y21)</f>
        <v>86946.898174640926</v>
      </c>
      <c r="AG16" s="75">
        <f>(-'Model '!Z21)</f>
        <v>86946.898174640926</v>
      </c>
      <c r="AH16" s="75">
        <f>(-'Model '!AA21)</f>
        <v>1027112.9120537211</v>
      </c>
      <c r="AI16" s="75">
        <f>(-'Model '!AB21)</f>
        <v>88685.836138133731</v>
      </c>
      <c r="AJ16" s="75">
        <f>(-'Model '!AC21)</f>
        <v>88685.836138133731</v>
      </c>
      <c r="AK16" s="75">
        <f>(-'Model '!AD21)</f>
        <v>93359.935145030264</v>
      </c>
      <c r="AL16" s="75">
        <f>(-'Model '!AE21)</f>
        <v>98028.309917746519</v>
      </c>
      <c r="AM16" s="75">
        <f>(-'Model '!AF21)</f>
        <v>102691.99830046277</v>
      </c>
      <c r="AN16" s="75">
        <f>(-'Model '!AG21)</f>
        <v>107360.37307317901</v>
      </c>
      <c r="AO16" s="75">
        <f>(-'Model '!AH21)</f>
        <v>112021.18753660057</v>
      </c>
      <c r="AP16" s="75">
        <f>(-'Model '!AI21)</f>
        <v>116683.83807513652</v>
      </c>
      <c r="AQ16" s="75">
        <f>(-'Model '!AJ21)</f>
        <v>121344.65253855805</v>
      </c>
      <c r="AR16" s="75">
        <f>(-'Model '!AK21)</f>
        <v>126013.02731127429</v>
      </c>
      <c r="AS16" s="75">
        <f>(-'Model '!AL21)</f>
        <v>130668.67675311262</v>
      </c>
      <c r="AT16" s="75">
        <f>(-'Model '!AM21)</f>
        <v>135329.49121653417</v>
      </c>
      <c r="AU16" s="75">
        <f>(-'Model '!AN21)</f>
        <v>1320873.1621439024</v>
      </c>
      <c r="AV16" s="75">
        <f>(-'Model '!AO21)</f>
        <v>142800.75470671605</v>
      </c>
      <c r="AW16" s="75">
        <f>(-'Model '!AP21)</f>
        <v>147554.785459406</v>
      </c>
      <c r="AX16" s="75">
        <f>(-'Model '!AQ21)</f>
        <v>152316.52772757661</v>
      </c>
      <c r="AY16" s="75">
        <f>(-'Model '!AR21)</f>
        <v>157066.34875931559</v>
      </c>
      <c r="AZ16" s="75">
        <f>(-'Model '!AS21)</f>
        <v>161828.09102748617</v>
      </c>
      <c r="BA16" s="75">
        <f>(-'Model '!AT21)</f>
        <v>166582.12178017612</v>
      </c>
      <c r="BB16" s="75">
        <f>(-'Model '!AU21)</f>
        <v>171338.0253294828</v>
      </c>
      <c r="BC16" s="75">
        <f>(-'Model '!AV21)</f>
        <v>180894.69285208063</v>
      </c>
      <c r="BD16" s="75">
        <f>(-'Model '!AW21)</f>
        <v>180894.69285208063</v>
      </c>
      <c r="BE16" s="75">
        <f>(-'Model '!AX21)</f>
        <v>180894.69285208063</v>
      </c>
      <c r="BF16" s="75">
        <f>(-'Model '!AY21)</f>
        <v>180894.69285208063</v>
      </c>
      <c r="BG16" s="75">
        <f>(-'Model '!AZ21)</f>
        <v>180894.69285208063</v>
      </c>
      <c r="BH16" s="75">
        <f>(-'Model '!BA21)</f>
        <v>2003960.1190505628</v>
      </c>
    </row>
    <row r="17" spans="1:60" x14ac:dyDescent="0.2">
      <c r="M17" s="139" t="s">
        <v>230</v>
      </c>
      <c r="N17" s="82" t="s">
        <v>229</v>
      </c>
      <c r="Q17" s="75">
        <f>(-'Model '!J22)</f>
        <v>9832.5</v>
      </c>
      <c r="R17" s="75">
        <f>(-'Model '!K22)</f>
        <v>15076.5</v>
      </c>
      <c r="S17" s="75">
        <f>(-'Model '!L22)</f>
        <v>20320.500000000004</v>
      </c>
      <c r="T17" s="75">
        <f>(-'Model '!M22)</f>
        <v>25564.500000000004</v>
      </c>
      <c r="U17" s="75">
        <f>(-'Model '!N22)</f>
        <v>70794</v>
      </c>
      <c r="V17" s="75">
        <f>(-'Model '!O22)</f>
        <v>30808.5</v>
      </c>
      <c r="W17" s="75">
        <f>(-'Model '!P22)</f>
        <v>36052.500503057367</v>
      </c>
      <c r="X17" s="75">
        <f>(-'Model '!Q22)</f>
        <v>36809.603013621563</v>
      </c>
      <c r="Y17" s="75">
        <f>(-'Model '!R22)</f>
        <v>36809.603013621563</v>
      </c>
      <c r="Z17" s="75">
        <f>(-'Model '!S22)</f>
        <v>36809.603013621563</v>
      </c>
      <c r="AA17" s="75">
        <f>(-'Model '!T22)</f>
        <v>36809.603013621563</v>
      </c>
      <c r="AB17" s="75">
        <f>(-'Model '!U22)</f>
        <v>36809.603013621563</v>
      </c>
      <c r="AC17" s="75">
        <f>(-'Model '!V22)</f>
        <v>36809.603013621563</v>
      </c>
      <c r="AD17" s="75">
        <f>(-'Model '!W22)</f>
        <v>36809.603013621563</v>
      </c>
      <c r="AE17" s="75">
        <f>(-'Model '!X22)</f>
        <v>36809.603013621563</v>
      </c>
      <c r="AF17" s="75">
        <f>(-'Model '!Y22)</f>
        <v>36809.603013621563</v>
      </c>
      <c r="AG17" s="75">
        <f>(-'Model '!Z22)</f>
        <v>36809.603013621563</v>
      </c>
      <c r="AH17" s="75">
        <f>(-'Model '!AA22)</f>
        <v>434957.030639273</v>
      </c>
      <c r="AI17" s="75">
        <f>(-'Model '!AB22)</f>
        <v>37545.795073893998</v>
      </c>
      <c r="AJ17" s="75">
        <f>(-'Model '!AC22)</f>
        <v>37545.795073893998</v>
      </c>
      <c r="AK17" s="75">
        <f>(-'Model '!AD22)</f>
        <v>39520.930893599994</v>
      </c>
      <c r="AL17" s="75">
        <f>(-'Model '!AE22)</f>
        <v>41496.067237199997</v>
      </c>
      <c r="AM17" s="75">
        <f>(-'Model '!AF22)</f>
        <v>43471.203580799993</v>
      </c>
      <c r="AN17" s="75">
        <f>(-'Model '!AG22)</f>
        <v>45446.339924399988</v>
      </c>
      <c r="AO17" s="75">
        <f>(-'Model '!AH22)</f>
        <v>47421.476267999999</v>
      </c>
      <c r="AP17" s="75">
        <f>(-'Model '!AI22)</f>
        <v>49396.612611599994</v>
      </c>
      <c r="AQ17" s="75">
        <f>(-'Model '!AJ22)</f>
        <v>51371.748955199997</v>
      </c>
      <c r="AR17" s="75">
        <f>(-'Model '!AK22)</f>
        <v>53346.885298799985</v>
      </c>
      <c r="AS17" s="75">
        <f>(-'Model '!AL22)</f>
        <v>55322.021642399995</v>
      </c>
      <c r="AT17" s="75">
        <f>(-'Model '!AM22)</f>
        <v>57297.157985999991</v>
      </c>
      <c r="AU17" s="75">
        <f>(-'Model '!AN22)</f>
        <v>559182.03454578796</v>
      </c>
      <c r="AV17" s="75">
        <f>(-'Model '!AO22)</f>
        <v>60457.740216192004</v>
      </c>
      <c r="AW17" s="75">
        <f>(-'Model '!AP22)</f>
        <v>62472.379286664</v>
      </c>
      <c r="AX17" s="75">
        <f>(-'Model '!AQ22)</f>
        <v>64487.018357135996</v>
      </c>
      <c r="AY17" s="75">
        <f>(-'Model '!AR22)</f>
        <v>66501.657427607992</v>
      </c>
      <c r="AZ17" s="75">
        <f>(-'Model '!AS22)</f>
        <v>68516.296498079988</v>
      </c>
      <c r="BA17" s="75">
        <f>(-'Model '!AT22)</f>
        <v>70530.935568551999</v>
      </c>
      <c r="BB17" s="75">
        <f>(-'Model '!AU22)</f>
        <v>72545.574639023995</v>
      </c>
      <c r="BC17" s="75">
        <f>(-'Model '!AV22)</f>
        <v>76593.420881999991</v>
      </c>
      <c r="BD17" s="75">
        <f>(-'Model '!AW22)</f>
        <v>76593.420881999991</v>
      </c>
      <c r="BE17" s="75">
        <f>(-'Model '!AX22)</f>
        <v>76593.420881999991</v>
      </c>
      <c r="BF17" s="75">
        <f>(-'Model '!AY22)</f>
        <v>76593.420881999991</v>
      </c>
      <c r="BG17" s="75">
        <f>(-'Model '!AZ22)</f>
        <v>76593.420881999991</v>
      </c>
      <c r="BH17" s="75">
        <f>(-'Model '!BA22)</f>
        <v>848478.70640325593</v>
      </c>
    </row>
    <row r="18" spans="1:60" x14ac:dyDescent="0.2">
      <c r="M18" s="140" t="s">
        <v>231</v>
      </c>
      <c r="N18" s="201" t="s">
        <v>229</v>
      </c>
      <c r="O18" s="114"/>
      <c r="P18" s="114"/>
      <c r="Q18" s="144">
        <f>(-'Model '!J23)</f>
        <v>2836.579615384615</v>
      </c>
      <c r="R18" s="144">
        <f>(-'Model '!K23)</f>
        <v>3747.8220786409629</v>
      </c>
      <c r="S18" s="144">
        <f>(-'Model '!L23)</f>
        <v>5068.6645418973121</v>
      </c>
      <c r="T18" s="144">
        <f>(-'Model '!M23)</f>
        <v>5945.773671820325</v>
      </c>
      <c r="U18" s="144">
        <f>(-'Model '!N23)</f>
        <v>17598.839907743211</v>
      </c>
      <c r="V18" s="144">
        <f>(-'Model '!O23)</f>
        <v>7317.8161350766732</v>
      </c>
      <c r="W18" s="144">
        <f>(-'Model '!P23)</f>
        <v>8502.1253622443983</v>
      </c>
      <c r="X18" s="144">
        <f>(-'Model '!Q23)</f>
        <v>8753.7616347092244</v>
      </c>
      <c r="Y18" s="144">
        <f>(-'Model '!R23)</f>
        <v>8561.7616248859831</v>
      </c>
      <c r="Z18" s="144">
        <f>(-'Model '!S23)</f>
        <v>8796.4282817294097</v>
      </c>
      <c r="AA18" s="144">
        <f>(-'Model '!T23)</f>
        <v>8604.4282719061684</v>
      </c>
      <c r="AB18" s="144">
        <f>(-'Model '!U23)</f>
        <v>8583.0949287495951</v>
      </c>
      <c r="AC18" s="144">
        <f>(-'Model '!V23)</f>
        <v>8647.0949189263538</v>
      </c>
      <c r="AD18" s="144">
        <f>(-'Model '!W23)</f>
        <v>8625.7615757697804</v>
      </c>
      <c r="AE18" s="144">
        <f>(-'Model '!X23)</f>
        <v>8689.7615659465391</v>
      </c>
      <c r="AF18" s="144">
        <f>(-'Model '!Y23)</f>
        <v>8753.7615561232979</v>
      </c>
      <c r="AG18" s="144">
        <f>(-'Model '!Z23)</f>
        <v>8561.7615463000584</v>
      </c>
      <c r="AH18" s="144">
        <f>(-'Model '!AA23)</f>
        <v>102397.55740236749</v>
      </c>
      <c r="AI18" s="144">
        <f>(-'Model '!AB23)</f>
        <v>8979.0512524508194</v>
      </c>
      <c r="AJ18" s="144">
        <f>(-'Model '!AC23)</f>
        <v>9149.1498412616274</v>
      </c>
      <c r="AK18" s="144">
        <f>(-'Model '!AD23)</f>
        <v>9428.4175009404917</v>
      </c>
      <c r="AL18" s="144">
        <f>(-'Model '!AE23)</f>
        <v>9762.7000253097212</v>
      </c>
      <c r="AM18" s="144">
        <f>(-'Model '!AF23)</f>
        <v>10151.997296878953</v>
      </c>
      <c r="AN18" s="144">
        <f>(-'Model '!AG23)</f>
        <v>10401.910915648183</v>
      </c>
      <c r="AO18" s="144">
        <f>(-'Model '!AH23)</f>
        <v>10901.237681617413</v>
      </c>
      <c r="AP18" s="144">
        <f>(-'Model '!AI23)</f>
        <v>11358.379994786646</v>
      </c>
      <c r="AQ18" s="144">
        <f>(-'Model '!AJ23)</f>
        <v>11481.740255155877</v>
      </c>
      <c r="AR18" s="144">
        <f>(-'Model '!AK23)</f>
        <v>12048.912062725107</v>
      </c>
      <c r="AS18" s="144">
        <f>(-'Model '!AL23)</f>
        <v>12768.297817494338</v>
      </c>
      <c r="AT18" s="144">
        <f>(-'Model '!AM23)</f>
        <v>12959.503119463567</v>
      </c>
      <c r="AU18" s="144">
        <f>(-'Model '!AN23)</f>
        <v>129391.29776373273</v>
      </c>
      <c r="AV18" s="144">
        <f>(-'Model '!AO23)</f>
        <v>13751.590070405453</v>
      </c>
      <c r="AW18" s="144">
        <f>(-'Model '!AP23)</f>
        <v>14150.86282110207</v>
      </c>
      <c r="AX18" s="144">
        <f>(-'Model '!AQ23)</f>
        <v>14407.964245942683</v>
      </c>
      <c r="AY18" s="144">
        <f>(-'Model '!AR23)</f>
        <v>15117.753448927302</v>
      </c>
      <c r="AZ18" s="144">
        <f>(-'Model '!AS23)</f>
        <v>15387.941774055915</v>
      </c>
      <c r="BA18" s="144">
        <f>(-'Model '!AT23)</f>
        <v>15813.388325328528</v>
      </c>
      <c r="BB18" s="144">
        <f>(-'Model '!AU23)</f>
        <v>16195.806734745145</v>
      </c>
      <c r="BC18" s="144">
        <f>(-'Model '!AV23)</f>
        <v>17138.83742089407</v>
      </c>
      <c r="BD18" s="144">
        <f>(-'Model '!AW23)</f>
        <v>16990.122644894069</v>
      </c>
      <c r="BE18" s="144">
        <f>(-'Model '!AX23)</f>
        <v>17237.980604894066</v>
      </c>
      <c r="BF18" s="144">
        <f>(-'Model '!AY23)</f>
        <v>17089.265828894066</v>
      </c>
      <c r="BG18" s="144">
        <f>(-'Model '!AZ23)</f>
        <v>17138.837420894066</v>
      </c>
      <c r="BH18" s="144">
        <f>(-'Model '!BA23)</f>
        <v>190420.35134097742</v>
      </c>
    </row>
    <row r="19" spans="1:60" x14ac:dyDescent="0.2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205" t="s">
        <v>171</v>
      </c>
      <c r="N19" s="206" t="s">
        <v>229</v>
      </c>
      <c r="O19" s="204"/>
      <c r="P19" s="204"/>
      <c r="Q19" s="207">
        <f>SUM(Q16:Q18)</f>
        <v>35903.820797176617</v>
      </c>
      <c r="R19" s="207">
        <f t="shared" ref="R19:BH19" si="6">SUM(R16:R18)</f>
        <v>54441.696185056964</v>
      </c>
      <c r="S19" s="207">
        <f t="shared" si="6"/>
        <v>73399.397651289313</v>
      </c>
      <c r="T19" s="207">
        <f t="shared" si="6"/>
        <v>91910.399321836318</v>
      </c>
      <c r="U19" s="207">
        <f t="shared" si="6"/>
        <v>255655.31395535922</v>
      </c>
      <c r="V19" s="207">
        <f t="shared" si="6"/>
        <v>110920.50420082067</v>
      </c>
      <c r="W19" s="207">
        <f t="shared" si="6"/>
        <v>129713.19410686978</v>
      </c>
      <c r="X19" s="207">
        <f t="shared" si="6"/>
        <v>132355.84982297171</v>
      </c>
      <c r="Y19" s="207">
        <f t="shared" si="6"/>
        <v>132163.84981314847</v>
      </c>
      <c r="Z19" s="207">
        <f t="shared" si="6"/>
        <v>132552.92946999188</v>
      </c>
      <c r="AA19" s="207">
        <f t="shared" si="6"/>
        <v>132360.92946016864</v>
      </c>
      <c r="AB19" s="207">
        <f t="shared" si="6"/>
        <v>132339.59611701209</v>
      </c>
      <c r="AC19" s="207">
        <f t="shared" si="6"/>
        <v>132403.59610718885</v>
      </c>
      <c r="AD19" s="207">
        <f t="shared" si="6"/>
        <v>132382.26276403226</v>
      </c>
      <c r="AE19" s="207">
        <f t="shared" si="6"/>
        <v>132446.26275420902</v>
      </c>
      <c r="AF19" s="207">
        <f t="shared" si="6"/>
        <v>132510.26274438578</v>
      </c>
      <c r="AG19" s="207">
        <f t="shared" si="6"/>
        <v>132318.26273456254</v>
      </c>
      <c r="AH19" s="207">
        <f t="shared" si="6"/>
        <v>1564467.5000953616</v>
      </c>
      <c r="AI19" s="207">
        <f t="shared" si="6"/>
        <v>135210.68246447854</v>
      </c>
      <c r="AJ19" s="207">
        <f t="shared" si="6"/>
        <v>135380.78105328936</v>
      </c>
      <c r="AK19" s="207">
        <f t="shared" si="6"/>
        <v>142309.28353957075</v>
      </c>
      <c r="AL19" s="207">
        <f t="shared" si="6"/>
        <v>149287.07718025622</v>
      </c>
      <c r="AM19" s="207">
        <f t="shared" si="6"/>
        <v>156315.19917814172</v>
      </c>
      <c r="AN19" s="207">
        <f t="shared" si="6"/>
        <v>163208.6239132272</v>
      </c>
      <c r="AO19" s="207">
        <f t="shared" si="6"/>
        <v>170343.90148621798</v>
      </c>
      <c r="AP19" s="207">
        <f t="shared" si="6"/>
        <v>177438.83068152313</v>
      </c>
      <c r="AQ19" s="207">
        <f t="shared" si="6"/>
        <v>184198.14174891391</v>
      </c>
      <c r="AR19" s="207">
        <f t="shared" si="6"/>
        <v>191408.82467279938</v>
      </c>
      <c r="AS19" s="207">
        <f t="shared" si="6"/>
        <v>198758.99621300696</v>
      </c>
      <c r="AT19" s="207">
        <f t="shared" si="6"/>
        <v>205586.15232199774</v>
      </c>
      <c r="AU19" s="207">
        <f t="shared" si="6"/>
        <v>2009446.4944534232</v>
      </c>
      <c r="AV19" s="207">
        <f t="shared" si="6"/>
        <v>217010.0849933135</v>
      </c>
      <c r="AW19" s="207">
        <f t="shared" si="6"/>
        <v>224178.02756717207</v>
      </c>
      <c r="AX19" s="207">
        <f t="shared" si="6"/>
        <v>231211.51033065529</v>
      </c>
      <c r="AY19" s="207">
        <f t="shared" si="6"/>
        <v>238685.7596358509</v>
      </c>
      <c r="AZ19" s="207">
        <f t="shared" si="6"/>
        <v>245732.32929962207</v>
      </c>
      <c r="BA19" s="207">
        <f t="shared" si="6"/>
        <v>252926.44567405665</v>
      </c>
      <c r="BB19" s="207">
        <f t="shared" si="6"/>
        <v>260079.40670325194</v>
      </c>
      <c r="BC19" s="207">
        <f t="shared" si="6"/>
        <v>274626.9511549747</v>
      </c>
      <c r="BD19" s="207">
        <f t="shared" si="6"/>
        <v>274478.23637897469</v>
      </c>
      <c r="BE19" s="207">
        <f t="shared" si="6"/>
        <v>274726.09433897468</v>
      </c>
      <c r="BF19" s="207">
        <f t="shared" si="6"/>
        <v>274577.37956297467</v>
      </c>
      <c r="BG19" s="207">
        <f t="shared" si="6"/>
        <v>274626.9511549747</v>
      </c>
      <c r="BH19" s="207">
        <f t="shared" si="6"/>
        <v>3042859.1767947963</v>
      </c>
    </row>
    <row r="21" spans="1:60" x14ac:dyDescent="0.2">
      <c r="M21" s="143" t="s">
        <v>162</v>
      </c>
      <c r="N21" s="82" t="s">
        <v>229</v>
      </c>
      <c r="Q21" s="76">
        <f>Q12-Q19</f>
        <v>5096.2732420040775</v>
      </c>
      <c r="R21" s="76">
        <f>R12-R19</f>
        <v>8429.3301676023766</v>
      </c>
      <c r="S21" s="76">
        <f t="shared" ref="S21:BH21" si="7">S12-S19</f>
        <v>11336.53974757735</v>
      </c>
      <c r="T21" s="76">
        <f t="shared" si="7"/>
        <v>14696.470390508955</v>
      </c>
      <c r="U21" s="76">
        <f t="shared" si="7"/>
        <v>39558.613547692774</v>
      </c>
      <c r="V21" s="76">
        <f t="shared" si="7"/>
        <v>17552.777333357255</v>
      </c>
      <c r="W21" s="76">
        <f t="shared" si="7"/>
        <v>20625.000287790259</v>
      </c>
      <c r="X21" s="76">
        <f t="shared" si="7"/>
        <v>21139.446653976163</v>
      </c>
      <c r="Y21" s="76">
        <f t="shared" si="7"/>
        <v>21331.446663799405</v>
      </c>
      <c r="Z21" s="76">
        <f t="shared" si="7"/>
        <v>20942.367006955988</v>
      </c>
      <c r="AA21" s="76">
        <f t="shared" si="7"/>
        <v>21134.36701677923</v>
      </c>
      <c r="AB21" s="76">
        <f t="shared" si="7"/>
        <v>21155.700359935785</v>
      </c>
      <c r="AC21" s="76">
        <f t="shared" si="7"/>
        <v>21091.700369759026</v>
      </c>
      <c r="AD21" s="76">
        <f t="shared" si="7"/>
        <v>21113.033712915611</v>
      </c>
      <c r="AE21" s="76">
        <f t="shared" si="7"/>
        <v>21049.033722738852</v>
      </c>
      <c r="AF21" s="76">
        <f t="shared" si="7"/>
        <v>20985.033732562093</v>
      </c>
      <c r="AG21" s="76">
        <f t="shared" si="7"/>
        <v>21177.033742385334</v>
      </c>
      <c r="AH21" s="76">
        <f t="shared" si="7"/>
        <v>249296.94060295518</v>
      </c>
      <c r="AI21" s="76">
        <f t="shared" si="7"/>
        <v>21354.519942008308</v>
      </c>
      <c r="AJ21" s="76">
        <f t="shared" si="7"/>
        <v>21184.421353197482</v>
      </c>
      <c r="AK21" s="76">
        <f t="shared" si="7"/>
        <v>22493.477611428825</v>
      </c>
      <c r="AL21" s="76">
        <f t="shared" si="7"/>
        <v>23753.244604678213</v>
      </c>
      <c r="AM21" s="76">
        <f t="shared" si="7"/>
        <v>24965.774281079677</v>
      </c>
      <c r="AN21" s="76">
        <f t="shared" si="7"/>
        <v>26309.910179929051</v>
      </c>
      <c r="AO21" s="76">
        <f t="shared" si="7"/>
        <v>27412.193240873166</v>
      </c>
      <c r="AP21" s="76">
        <f t="shared" si="7"/>
        <v>28548.554011341068</v>
      </c>
      <c r="AQ21" s="76">
        <f t="shared" si="7"/>
        <v>30026.803577885148</v>
      </c>
      <c r="AR21" s="76">
        <f t="shared" si="7"/>
        <v>31053.681287934538</v>
      </c>
      <c r="AS21" s="76">
        <f t="shared" si="7"/>
        <v>31927.05469504412</v>
      </c>
      <c r="AT21" s="76">
        <f t="shared" si="7"/>
        <v>33337.459219988203</v>
      </c>
      <c r="AU21" s="76">
        <f t="shared" si="7"/>
        <v>322367.09400538774</v>
      </c>
      <c r="AV21" s="76">
        <f t="shared" si="7"/>
        <v>35097.463487284869</v>
      </c>
      <c r="AW21" s="76">
        <f t="shared" si="7"/>
        <v>36331.832760039833</v>
      </c>
      <c r="AX21" s="76">
        <f t="shared" si="7"/>
        <v>37700.66184317015</v>
      </c>
      <c r="AY21" s="76">
        <f t="shared" si="7"/>
        <v>38623.977326922177</v>
      </c>
      <c r="AZ21" s="76">
        <f t="shared" si="7"/>
        <v>39979.719509764545</v>
      </c>
      <c r="BA21" s="76">
        <f t="shared" si="7"/>
        <v>41187.914981943497</v>
      </c>
      <c r="BB21" s="76">
        <f t="shared" si="7"/>
        <v>42430.869717836787</v>
      </c>
      <c r="BC21" s="76">
        <f t="shared" si="7"/>
        <v>44766.057297618652</v>
      </c>
      <c r="BD21" s="76">
        <f t="shared" si="7"/>
        <v>44914.77207361866</v>
      </c>
      <c r="BE21" s="76">
        <f t="shared" si="7"/>
        <v>44666.914113618666</v>
      </c>
      <c r="BF21" s="76">
        <f t="shared" si="7"/>
        <v>44815.628889618674</v>
      </c>
      <c r="BG21" s="76">
        <f t="shared" si="7"/>
        <v>44766.057297618652</v>
      </c>
      <c r="BH21" s="76">
        <f t="shared" si="7"/>
        <v>495281.86929905461</v>
      </c>
    </row>
    <row r="22" spans="1:60" x14ac:dyDescent="0.2">
      <c r="M22" s="288" t="s">
        <v>232</v>
      </c>
      <c r="N22" s="289" t="s">
        <v>13</v>
      </c>
      <c r="O22" s="289"/>
      <c r="P22" s="289"/>
      <c r="Q22" s="290">
        <f>Q21/Q12</f>
        <v>0.12429906226883172</v>
      </c>
      <c r="R22" s="290">
        <f t="shared" ref="R22:BH22" si="8">R21/R12</f>
        <v>0.13407336664619013</v>
      </c>
      <c r="S22" s="290">
        <f t="shared" si="8"/>
        <v>0.13378668007429131</v>
      </c>
      <c r="T22" s="290">
        <f t="shared" si="8"/>
        <v>0.13785669188265337</v>
      </c>
      <c r="U22" s="290">
        <f t="shared" si="8"/>
        <v>0.13399982135762822</v>
      </c>
      <c r="V22" s="290">
        <f t="shared" si="8"/>
        <v>0.13662589702503758</v>
      </c>
      <c r="W22" s="290">
        <f t="shared" si="8"/>
        <v>0.13719068777456897</v>
      </c>
      <c r="X22" s="290">
        <f t="shared" si="8"/>
        <v>0.13772048485636115</v>
      </c>
      <c r="Y22" s="290">
        <f t="shared" si="8"/>
        <v>0.1389713375810378</v>
      </c>
      <c r="Z22" s="290">
        <f t="shared" si="8"/>
        <v>0.13643653901864766</v>
      </c>
      <c r="AA22" s="290">
        <f t="shared" si="8"/>
        <v>0.13768739174332431</v>
      </c>
      <c r="AB22" s="290">
        <f t="shared" si="8"/>
        <v>0.13782637543628562</v>
      </c>
      <c r="AC22" s="290">
        <f t="shared" si="8"/>
        <v>0.13740942461338942</v>
      </c>
      <c r="AD22" s="290">
        <f t="shared" si="8"/>
        <v>0.1375484083063509</v>
      </c>
      <c r="AE22" s="290">
        <f t="shared" si="8"/>
        <v>0.13713145748345471</v>
      </c>
      <c r="AF22" s="290">
        <f t="shared" si="8"/>
        <v>0.13671450666055851</v>
      </c>
      <c r="AG22" s="290">
        <f t="shared" si="8"/>
        <v>0.13796535938523516</v>
      </c>
      <c r="AH22" s="290">
        <f t="shared" si="8"/>
        <v>0.1374472533527967</v>
      </c>
      <c r="AI22" s="290">
        <f t="shared" si="8"/>
        <v>0.13639378108148215</v>
      </c>
      <c r="AJ22" s="290">
        <f t="shared" si="8"/>
        <v>0.13530734178209552</v>
      </c>
      <c r="AK22" s="290">
        <f t="shared" si="8"/>
        <v>0.13648726182942594</v>
      </c>
      <c r="AL22" s="290">
        <f t="shared" si="8"/>
        <v>0.13726999788061112</v>
      </c>
      <c r="AM22" s="290">
        <f t="shared" si="8"/>
        <v>0.13771866845527311</v>
      </c>
      <c r="AN22" s="290">
        <f t="shared" si="8"/>
        <v>0.13882499833497358</v>
      </c>
      <c r="AO22" s="290">
        <f t="shared" si="8"/>
        <v>0.13861617402337334</v>
      </c>
      <c r="AP22" s="290">
        <f t="shared" si="8"/>
        <v>0.13859370103614915</v>
      </c>
      <c r="AQ22" s="290">
        <f t="shared" si="8"/>
        <v>0.14016483249455106</v>
      </c>
      <c r="AR22" s="290">
        <f t="shared" si="8"/>
        <v>0.13959062968307889</v>
      </c>
      <c r="AS22" s="290">
        <f t="shared" si="8"/>
        <v>0.13840045624505443</v>
      </c>
      <c r="AT22" s="290">
        <f t="shared" si="8"/>
        <v>0.13953187382708646</v>
      </c>
      <c r="AU22" s="290">
        <f t="shared" si="8"/>
        <v>0.13824736917261601</v>
      </c>
      <c r="AV22" s="290">
        <f t="shared" si="8"/>
        <v>0.13921623409854342</v>
      </c>
      <c r="AW22" s="290">
        <f t="shared" si="8"/>
        <v>0.13946432858397545</v>
      </c>
      <c r="AX22" s="290">
        <f t="shared" si="8"/>
        <v>0.14019693321580234</v>
      </c>
      <c r="AY22" s="290">
        <f t="shared" si="8"/>
        <v>0.13928099946994352</v>
      </c>
      <c r="AZ22" s="290">
        <f t="shared" si="8"/>
        <v>0.13993011382042589</v>
      </c>
      <c r="BA22" s="290">
        <f t="shared" si="8"/>
        <v>0.14004047571861816</v>
      </c>
      <c r="BB22" s="290">
        <f t="shared" si="8"/>
        <v>0.1402625729605754</v>
      </c>
      <c r="BC22" s="290">
        <f t="shared" si="8"/>
        <v>0.14015979095629816</v>
      </c>
      <c r="BD22" s="290">
        <f t="shared" si="8"/>
        <v>0.14062540783601793</v>
      </c>
      <c r="BE22" s="290">
        <f t="shared" si="8"/>
        <v>0.1398493797031517</v>
      </c>
      <c r="BF22" s="290">
        <f t="shared" si="8"/>
        <v>0.14031499658287147</v>
      </c>
      <c r="BG22" s="290">
        <f t="shared" si="8"/>
        <v>0.14015979095629816</v>
      </c>
      <c r="BH22" s="291">
        <f t="shared" si="8"/>
        <v>0.13998364193136156</v>
      </c>
    </row>
    <row r="23" spans="1:60" x14ac:dyDescent="0.2">
      <c r="M23" s="202"/>
      <c r="N23" s="119"/>
      <c r="O23" s="119"/>
      <c r="P23" s="119"/>
      <c r="Q23" s="203"/>
      <c r="R23" s="203"/>
      <c r="S23" s="203"/>
      <c r="T23" s="203"/>
      <c r="U23" s="203"/>
      <c r="V23" s="203"/>
      <c r="W23" s="203"/>
      <c r="X23" s="203"/>
    </row>
    <row r="25" spans="1:60" x14ac:dyDescent="0.2">
      <c r="M25" t="s">
        <v>73</v>
      </c>
      <c r="N25" s="82" t="s">
        <v>229</v>
      </c>
      <c r="Q25" s="76">
        <f>-'Model '!J36</f>
        <v>10828.687202953373</v>
      </c>
      <c r="R25" s="76">
        <f>-'Model '!K36</f>
        <v>10047.39652608816</v>
      </c>
      <c r="S25" s="76">
        <f>-'Model '!L36</f>
        <v>10266.045636550232</v>
      </c>
      <c r="T25" s="76">
        <f>-'Model '!M36</f>
        <v>10484.754959685019</v>
      </c>
      <c r="U25" s="76">
        <f>-'Model '!N36</f>
        <v>41626.884325276784</v>
      </c>
      <c r="V25" s="76">
        <f>-'Model '!O36</f>
        <v>10703.419077903345</v>
      </c>
      <c r="W25" s="76">
        <f>-'Model '!P36</f>
        <v>10922.068206508167</v>
      </c>
      <c r="X25" s="76">
        <f>-'Model '!Q36</f>
        <v>10953.639227331045</v>
      </c>
      <c r="Y25" s="76">
        <f>-'Model '!R36</f>
        <v>10953.639227331045</v>
      </c>
      <c r="Z25" s="76">
        <f>-'Model '!S36</f>
        <v>10953.639227331045</v>
      </c>
      <c r="AA25" s="76">
        <f>-'Model '!T36</f>
        <v>10953.639227331045</v>
      </c>
      <c r="AB25" s="76">
        <f>-'Model '!U36</f>
        <v>10953.639227331045</v>
      </c>
      <c r="AC25" s="76">
        <f>-'Model '!V36</f>
        <v>10953.639227331045</v>
      </c>
      <c r="AD25" s="76">
        <f>-'Model '!W36</f>
        <v>10953.639227331045</v>
      </c>
      <c r="AE25" s="76">
        <f>-'Model '!X36</f>
        <v>10953.639227331045</v>
      </c>
      <c r="AF25" s="76">
        <f>-'Model '!Y36</f>
        <v>10953.639227331045</v>
      </c>
      <c r="AG25" s="76">
        <f>-'Model '!Z36</f>
        <v>10953.639227331045</v>
      </c>
      <c r="AH25" s="76">
        <f>-'Model '!AA36</f>
        <v>131161.87955772196</v>
      </c>
      <c r="AI25" s="76">
        <f>-'Model '!AB36</f>
        <v>11024.838286626435</v>
      </c>
      <c r="AJ25" s="76">
        <f>-'Model '!AC36</f>
        <v>11024.838286626435</v>
      </c>
      <c r="AK25" s="76">
        <f>-'Model '!AD36</f>
        <v>11107.213874071562</v>
      </c>
      <c r="AL25" s="76">
        <f>-'Model '!AE36</f>
        <v>11189.58948041091</v>
      </c>
      <c r="AM25" s="76">
        <f>-'Model '!AF36</f>
        <v>11271.995997153779</v>
      </c>
      <c r="AN25" s="76">
        <f>-'Model '!AG36</f>
        <v>11354.371603493128</v>
      </c>
      <c r="AO25" s="76">
        <f>-'Model '!AH36</f>
        <v>11436.747209832476</v>
      </c>
      <c r="AP25" s="76">
        <f>-'Model '!AI36</f>
        <v>11519.060109490209</v>
      </c>
      <c r="AQ25" s="76">
        <f>-'Model '!AJ36</f>
        <v>11601.435715829557</v>
      </c>
      <c r="AR25" s="76">
        <f>-'Model '!AK36</f>
        <v>11683.811322168905</v>
      </c>
      <c r="AS25" s="76">
        <f>-'Model '!AL36</f>
        <v>11766.046771642075</v>
      </c>
      <c r="AT25" s="76">
        <f>-'Model '!AM36</f>
        <v>11848.422377981424</v>
      </c>
      <c r="AU25" s="76">
        <f>-'Model '!AN36</f>
        <v>136828.37103532691</v>
      </c>
      <c r="AV25" s="76">
        <f>-'Model '!AO36</f>
        <v>12021.57174736755</v>
      </c>
      <c r="AW25" s="76">
        <f>-'Model '!AP36</f>
        <v>12105.594865833686</v>
      </c>
      <c r="AX25" s="76">
        <f>-'Model '!AQ36</f>
        <v>12189.617984299821</v>
      </c>
      <c r="AY25" s="76">
        <f>-'Model '!AR36</f>
        <v>12273.593632189297</v>
      </c>
      <c r="AZ25" s="76">
        <f>-'Model '!AS36</f>
        <v>12357.616750655432</v>
      </c>
      <c r="BA25" s="76">
        <f>-'Model '!AT36</f>
        <v>12441.639869121567</v>
      </c>
      <c r="BB25" s="76">
        <f>-'Model '!AU36</f>
        <v>12525.599026772452</v>
      </c>
      <c r="BC25" s="76">
        <f>-'Model '!AV36</f>
        <v>12694.426347087499</v>
      </c>
      <c r="BD25" s="76">
        <f>-'Model '!AW36</f>
        <v>12694.426347087499</v>
      </c>
      <c r="BE25" s="76">
        <f>-'Model '!AX36</f>
        <v>12694.426347087499</v>
      </c>
      <c r="BF25" s="76">
        <f>-'Model '!AY36</f>
        <v>12694.426347087499</v>
      </c>
      <c r="BG25" s="76">
        <f>-'Model '!AZ36</f>
        <v>12694.426347087499</v>
      </c>
      <c r="BH25" s="76">
        <f>-'Model '!BA36</f>
        <v>149387.36561167729</v>
      </c>
    </row>
    <row r="26" spans="1:60" x14ac:dyDescent="0.2">
      <c r="Q26" s="76"/>
      <c r="R26" s="76"/>
      <c r="S26" s="76"/>
      <c r="T26" s="76"/>
      <c r="U26" s="76"/>
      <c r="V26" s="76"/>
      <c r="W26" s="76"/>
      <c r="X26" s="76"/>
    </row>
    <row r="28" spans="1:60" x14ac:dyDescent="0.2">
      <c r="M28" s="143" t="s">
        <v>173</v>
      </c>
      <c r="N28" s="82" t="s">
        <v>229</v>
      </c>
      <c r="Q28" s="259">
        <f>('Model '!J37)</f>
        <v>-5732.4139609492959</v>
      </c>
      <c r="R28" s="259">
        <f>('Model '!K37)</f>
        <v>-1618.066358485783</v>
      </c>
      <c r="S28" s="259">
        <f>('Model '!L37)</f>
        <v>1070.4941110271175</v>
      </c>
      <c r="T28" s="259">
        <f>('Model '!M37)</f>
        <v>4211.7154308239369</v>
      </c>
      <c r="U28" s="111">
        <f>('Model '!N37)</f>
        <v>-2068.2707775840681</v>
      </c>
      <c r="V28" s="111">
        <f>('Model '!O37)</f>
        <v>6849.3582554539098</v>
      </c>
      <c r="W28" s="111">
        <f>('Model '!P37)</f>
        <v>9702.9320812820915</v>
      </c>
      <c r="X28" s="111">
        <f>('Model '!Q37)</f>
        <v>10185.807426645119</v>
      </c>
      <c r="Y28" s="111">
        <f>('Model '!R37)</f>
        <v>10377.80743646836</v>
      </c>
      <c r="Z28" s="111">
        <f>('Model '!S37)</f>
        <v>9988.7277796249437</v>
      </c>
      <c r="AA28" s="111">
        <f>('Model '!T37)</f>
        <v>10180.727789448185</v>
      </c>
      <c r="AB28" s="111">
        <f>('Model '!U37)</f>
        <v>10202.06113260474</v>
      </c>
      <c r="AC28" s="111">
        <f>('Model '!V37)</f>
        <v>10138.061142427981</v>
      </c>
      <c r="AD28" s="111">
        <f>('Model '!W37)</f>
        <v>10159.394485584566</v>
      </c>
      <c r="AE28" s="111">
        <f>('Model '!X37)</f>
        <v>10095.394495407807</v>
      </c>
      <c r="AF28" s="111">
        <f>('Model '!Y37)</f>
        <v>10031.394505231048</v>
      </c>
      <c r="AG28" s="111">
        <f>('Model '!Z37)</f>
        <v>10223.39451505429</v>
      </c>
      <c r="AH28" s="111">
        <f>('Model '!AA37)</f>
        <v>118135.06104523322</v>
      </c>
      <c r="AI28" s="111">
        <f>('Model '!AB37)</f>
        <v>10329.681655381873</v>
      </c>
      <c r="AJ28" s="111">
        <f>('Model '!AC37)</f>
        <v>10159.583066571047</v>
      </c>
      <c r="AK28" s="111">
        <f>('Model '!AD37)</f>
        <v>11386.263737357263</v>
      </c>
      <c r="AL28" s="111">
        <f>('Model '!AE37)</f>
        <v>12563.655124267303</v>
      </c>
      <c r="AM28" s="111">
        <f>('Model '!AF37)</f>
        <v>13693.778283925898</v>
      </c>
      <c r="AN28" s="111">
        <f>('Model '!AG37)</f>
        <v>14955.538576435923</v>
      </c>
      <c r="AO28" s="111">
        <f>('Model '!AH37)</f>
        <v>15975.44603104069</v>
      </c>
      <c r="AP28" s="111">
        <f>('Model '!AI37)</f>
        <v>17029.493901850859</v>
      </c>
      <c r="AQ28" s="111">
        <f>('Model '!AJ37)</f>
        <v>18425.367862055591</v>
      </c>
      <c r="AR28" s="111">
        <f>('Model '!AK37)</f>
        <v>19369.869965765633</v>
      </c>
      <c r="AS28" s="111">
        <f>('Model '!AL37)</f>
        <v>20161.007923402045</v>
      </c>
      <c r="AT28" s="111">
        <f>('Model '!AM37)</f>
        <v>21489.036842006779</v>
      </c>
      <c r="AU28" s="111">
        <f>('Model '!AN37)</f>
        <v>185538.72297006083</v>
      </c>
      <c r="AV28" s="111">
        <f>('Model '!AO37)</f>
        <v>23075.891739917319</v>
      </c>
      <c r="AW28" s="111">
        <f>('Model '!AP37)</f>
        <v>24226.237894206148</v>
      </c>
      <c r="AX28" s="111">
        <f>('Model '!AQ37)</f>
        <v>25511.043858870329</v>
      </c>
      <c r="AY28" s="111">
        <f>('Model '!AR37)</f>
        <v>26350.383694732882</v>
      </c>
      <c r="AZ28" s="111">
        <f>('Model '!AS37)</f>
        <v>27622.102759109112</v>
      </c>
      <c r="BA28" s="111">
        <f>('Model '!AT37)</f>
        <v>28746.275112821932</v>
      </c>
      <c r="BB28" s="111">
        <f>('Model '!AU37)</f>
        <v>29905.270691064336</v>
      </c>
      <c r="BC28" s="111">
        <f>('Model '!AV37)</f>
        <v>32071.630950531151</v>
      </c>
      <c r="BD28" s="111">
        <f>('Model '!AW37)</f>
        <v>32220.345726531159</v>
      </c>
      <c r="BE28" s="111">
        <f>('Model '!AX37)</f>
        <v>31972.487766531165</v>
      </c>
      <c r="BF28" s="111">
        <f>('Model '!AY37)</f>
        <v>32121.202542531173</v>
      </c>
      <c r="BG28" s="111">
        <f>('Model '!AZ37)</f>
        <v>32071.630950531151</v>
      </c>
      <c r="BH28" s="111">
        <f>('Model '!BA37)</f>
        <v>345894.50368737732</v>
      </c>
    </row>
    <row r="29" spans="1:60" x14ac:dyDescent="0.2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288" t="s">
        <v>233</v>
      </c>
      <c r="N29" s="289" t="s">
        <v>13</v>
      </c>
      <c r="O29" s="14"/>
      <c r="P29" s="14"/>
      <c r="Q29" s="290">
        <f>Q28/Q12</f>
        <v>-0.1398146539730192</v>
      </c>
      <c r="R29" s="290">
        <f t="shared" ref="R29:BH29" si="9">R28/R12</f>
        <v>-2.5736280324256889E-2</v>
      </c>
      <c r="S29" s="290">
        <f t="shared" si="9"/>
        <v>1.2633295197858226E-2</v>
      </c>
      <c r="T29" s="290">
        <f t="shared" si="9"/>
        <v>3.9506979636380904E-2</v>
      </c>
      <c r="U29" s="290">
        <f t="shared" si="9"/>
        <v>-7.0060067798213407E-3</v>
      </c>
      <c r="V29" s="290">
        <f t="shared" si="9"/>
        <v>5.3313484124181618E-2</v>
      </c>
      <c r="W29" s="290">
        <f t="shared" si="9"/>
        <v>6.4540698525422338E-2</v>
      </c>
      <c r="X29" s="290">
        <f t="shared" si="9"/>
        <v>6.6359085004111751E-2</v>
      </c>
      <c r="Y29" s="290">
        <f t="shared" si="9"/>
        <v>6.76099377287884E-2</v>
      </c>
      <c r="Z29" s="290">
        <f t="shared" si="9"/>
        <v>6.507513916639826E-2</v>
      </c>
      <c r="AA29" s="290">
        <f t="shared" si="9"/>
        <v>6.6325991891074923E-2</v>
      </c>
      <c r="AB29" s="290">
        <f t="shared" si="9"/>
        <v>6.6464975584036218E-2</v>
      </c>
      <c r="AC29" s="290">
        <f t="shared" si="9"/>
        <v>6.6048024761140023E-2</v>
      </c>
      <c r="AD29" s="290">
        <f t="shared" si="9"/>
        <v>6.6187008454101498E-2</v>
      </c>
      <c r="AE29" s="290">
        <f t="shared" si="9"/>
        <v>6.5770057631205317E-2</v>
      </c>
      <c r="AF29" s="290">
        <f t="shared" si="9"/>
        <v>6.5353106808309122E-2</v>
      </c>
      <c r="AG29" s="290">
        <f t="shared" si="9"/>
        <v>6.6603959532985771E-2</v>
      </c>
      <c r="AH29" s="290">
        <f t="shared" si="9"/>
        <v>6.5132526801413126E-2</v>
      </c>
      <c r="AI29" s="290">
        <f t="shared" si="9"/>
        <v>6.597686776250028E-2</v>
      </c>
      <c r="AJ29" s="290">
        <f t="shared" si="9"/>
        <v>6.4890428463113672E-2</v>
      </c>
      <c r="AK29" s="290">
        <f t="shared" si="9"/>
        <v>6.9090248596773596E-2</v>
      </c>
      <c r="AL29" s="290">
        <f t="shared" si="9"/>
        <v>7.2605361540428806E-2</v>
      </c>
      <c r="AM29" s="290">
        <f t="shared" si="9"/>
        <v>7.5538971479576E-2</v>
      </c>
      <c r="AN29" s="290">
        <f t="shared" si="9"/>
        <v>7.8913329759529763E-2</v>
      </c>
      <c r="AO29" s="290">
        <f t="shared" si="9"/>
        <v>8.0783583702374609E-2</v>
      </c>
      <c r="AP29" s="290">
        <f t="shared" si="9"/>
        <v>8.2672508936615444E-2</v>
      </c>
      <c r="AQ29" s="290">
        <f t="shared" si="9"/>
        <v>8.6009441309217213E-2</v>
      </c>
      <c r="AR29" s="290">
        <f t="shared" si="9"/>
        <v>8.7070267783392413E-2</v>
      </c>
      <c r="AS29" s="290">
        <f t="shared" si="9"/>
        <v>8.739586916522317E-2</v>
      </c>
      <c r="AT29" s="290">
        <f t="shared" si="9"/>
        <v>8.9941034723688335E-2</v>
      </c>
      <c r="AU29" s="290">
        <f t="shared" si="9"/>
        <v>7.9568420000798959E-2</v>
      </c>
      <c r="AV29" s="290">
        <f t="shared" si="9"/>
        <v>9.1531934997548026E-2</v>
      </c>
      <c r="AW29" s="290">
        <f t="shared" si="9"/>
        <v>9.2995473813455354E-2</v>
      </c>
      <c r="AX29" s="290">
        <f t="shared" si="9"/>
        <v>9.4867568294305149E-2</v>
      </c>
      <c r="AY29" s="290">
        <f t="shared" si="9"/>
        <v>9.502148746500827E-2</v>
      </c>
      <c r="AZ29" s="290">
        <f t="shared" si="9"/>
        <v>9.6678116566015923E-2</v>
      </c>
      <c r="BA29" s="290">
        <f t="shared" si="9"/>
        <v>9.773842749026436E-2</v>
      </c>
      <c r="BB29" s="290">
        <f t="shared" si="9"/>
        <v>9.8857040642932575E-2</v>
      </c>
      <c r="BC29" s="290">
        <f t="shared" si="9"/>
        <v>0.10041431747649372</v>
      </c>
      <c r="BD29" s="290">
        <f t="shared" si="9"/>
        <v>0.10087993435621349</v>
      </c>
      <c r="BE29" s="290">
        <f t="shared" si="9"/>
        <v>0.10010390622334726</v>
      </c>
      <c r="BF29" s="290">
        <f t="shared" si="9"/>
        <v>0.10056952310306704</v>
      </c>
      <c r="BG29" s="290">
        <f t="shared" si="9"/>
        <v>0.10041431747649372</v>
      </c>
      <c r="BH29" s="291">
        <f t="shared" si="9"/>
        <v>9.7761649177114884E-2</v>
      </c>
    </row>
    <row r="30" spans="1:60" x14ac:dyDescent="0.2">
      <c r="M30" s="202"/>
      <c r="N30" s="119"/>
      <c r="Q30" s="203"/>
      <c r="R30" s="203"/>
      <c r="S30" s="203"/>
      <c r="T30" s="203"/>
      <c r="U30" s="203"/>
      <c r="V30" s="203"/>
      <c r="W30" s="203"/>
      <c r="X30" s="203"/>
    </row>
    <row r="31" spans="1:60" x14ac:dyDescent="0.2">
      <c r="M31" s="6" t="s">
        <v>234</v>
      </c>
      <c r="N31" s="79" t="s">
        <v>229</v>
      </c>
    </row>
    <row r="32" spans="1:60" x14ac:dyDescent="0.2">
      <c r="M32" s="139" t="s">
        <v>6</v>
      </c>
      <c r="N32" s="82" t="s">
        <v>229</v>
      </c>
      <c r="Q32" s="40">
        <f>Assumptions!J11</f>
        <v>15.760391191314776</v>
      </c>
      <c r="R32" s="40">
        <f>Assumptions!K11</f>
        <v>15.760391191314776</v>
      </c>
      <c r="S32" s="40">
        <f>Assumptions!L11</f>
        <v>15.760391191314776</v>
      </c>
      <c r="T32" s="40">
        <f>Assumptions!M11</f>
        <v>15.760391191314776</v>
      </c>
      <c r="U32" s="40">
        <f>Assumptions!N11</f>
        <v>15.760391191314776</v>
      </c>
      <c r="V32" s="40">
        <f>Assumptions!O11</f>
        <v>15.760391191314776</v>
      </c>
      <c r="W32" s="40">
        <f>Assumptions!P11</f>
        <v>15.760391191314776</v>
      </c>
      <c r="X32" s="40">
        <f>Assumptions!Q11</f>
        <v>16.091359406332383</v>
      </c>
      <c r="Y32" s="40">
        <f>Assumptions!R11</f>
        <v>16.091359406332383</v>
      </c>
      <c r="Z32" s="40">
        <f>Assumptions!S11</f>
        <v>16.091359406332383</v>
      </c>
      <c r="AA32" s="40">
        <f>Assumptions!T11</f>
        <v>16.091359406332383</v>
      </c>
      <c r="AB32" s="40">
        <f>Assumptions!U11</f>
        <v>16.091359406332383</v>
      </c>
      <c r="AC32" s="40">
        <f>Assumptions!V11</f>
        <v>16.091359406332383</v>
      </c>
      <c r="AD32" s="40">
        <f>Assumptions!W11</f>
        <v>16.091359406332383</v>
      </c>
      <c r="AE32" s="40">
        <f>Assumptions!X11</f>
        <v>16.091359406332383</v>
      </c>
      <c r="AF32" s="40">
        <f>Assumptions!Y11</f>
        <v>16.091359406332383</v>
      </c>
      <c r="AG32" s="40">
        <f>Assumptions!Z11</f>
        <v>16.091359406332383</v>
      </c>
      <c r="AH32" s="40">
        <f>Assumptions!AA11</f>
        <v>16.091359406332383</v>
      </c>
      <c r="AI32" s="40">
        <f>Assumptions!AB11</f>
        <v>16.413186594459031</v>
      </c>
      <c r="AJ32" s="40">
        <f>Assumptions!AC11</f>
        <v>16.413186594459031</v>
      </c>
      <c r="AK32" s="40">
        <f>Assumptions!AD11</f>
        <v>16.413186594459031</v>
      </c>
      <c r="AL32" s="40">
        <f>Assumptions!AE11</f>
        <v>16.413186594459031</v>
      </c>
      <c r="AM32" s="40">
        <f>Assumptions!AF11</f>
        <v>16.413186594459031</v>
      </c>
      <c r="AN32" s="40">
        <f>Assumptions!AG11</f>
        <v>16.413186594459031</v>
      </c>
      <c r="AO32" s="40">
        <f>Assumptions!AH11</f>
        <v>16.413186594459031</v>
      </c>
      <c r="AP32" s="40">
        <f>Assumptions!AI11</f>
        <v>16.413186594459031</v>
      </c>
      <c r="AQ32" s="40">
        <f>Assumptions!AJ11</f>
        <v>16.413186594459031</v>
      </c>
      <c r="AR32" s="40">
        <f>Assumptions!AK11</f>
        <v>16.413186594459031</v>
      </c>
      <c r="AS32" s="40">
        <f>Assumptions!AL11</f>
        <v>16.413186594459031</v>
      </c>
      <c r="AT32" s="40">
        <f>Assumptions!AM11</f>
        <v>16.413186594459031</v>
      </c>
      <c r="AU32" s="40">
        <f>Assumptions!AN11</f>
        <v>16.413186594459031</v>
      </c>
      <c r="AV32" s="40">
        <f>Assumptions!AO11</f>
        <v>16.741450326348211</v>
      </c>
      <c r="AW32" s="40">
        <f>Assumptions!AP11</f>
        <v>16.741450326348211</v>
      </c>
      <c r="AX32" s="40">
        <f>Assumptions!AQ11</f>
        <v>16.741450326348211</v>
      </c>
      <c r="AY32" s="40">
        <f>Assumptions!AR11</f>
        <v>16.741450326348211</v>
      </c>
      <c r="AZ32" s="40">
        <f>Assumptions!AS11</f>
        <v>16.741450326348211</v>
      </c>
      <c r="BA32" s="40">
        <f>Assumptions!AT11</f>
        <v>16.741450326348211</v>
      </c>
      <c r="BB32" s="40">
        <f>Assumptions!AU11</f>
        <v>16.741450326348211</v>
      </c>
      <c r="BC32" s="40">
        <f>Assumptions!AV11</f>
        <v>16.741450326348211</v>
      </c>
      <c r="BD32" s="40">
        <f>Assumptions!AW11</f>
        <v>16.741450326348211</v>
      </c>
      <c r="BE32" s="40">
        <f>Assumptions!AX11</f>
        <v>16.741450326348211</v>
      </c>
      <c r="BF32" s="40">
        <f>Assumptions!AY11</f>
        <v>16.741450326348211</v>
      </c>
      <c r="BG32" s="40">
        <f>Assumptions!AZ11</f>
        <v>16.741450326348211</v>
      </c>
      <c r="BH32" s="40">
        <f>Assumptions!BA11</f>
        <v>16.741450326348211</v>
      </c>
    </row>
    <row r="33" spans="13:60" x14ac:dyDescent="0.2">
      <c r="M33" s="139" t="s">
        <v>7</v>
      </c>
      <c r="N33" s="82" t="s">
        <v>229</v>
      </c>
      <c r="Q33" s="40">
        <f>Assumptions!J12</f>
        <v>21.781658462659831</v>
      </c>
      <c r="R33" s="40">
        <f>Assumptions!K12</f>
        <v>21.781658462659831</v>
      </c>
      <c r="S33" s="40">
        <f>Assumptions!L12</f>
        <v>21.781658462659831</v>
      </c>
      <c r="T33" s="40">
        <f>Assumptions!M12</f>
        <v>21.781658462659831</v>
      </c>
      <c r="U33" s="40">
        <f>Assumptions!N12</f>
        <v>21.781658462659831</v>
      </c>
      <c r="V33" s="40">
        <f>Assumptions!O12</f>
        <v>21.781658462659831</v>
      </c>
      <c r="W33" s="40">
        <f>Assumptions!P12</f>
        <v>21.781658462659831</v>
      </c>
      <c r="X33" s="40">
        <f>Assumptions!Q12</f>
        <v>22.239073290375686</v>
      </c>
      <c r="Y33" s="40">
        <f>Assumptions!R12</f>
        <v>22.239073290375686</v>
      </c>
      <c r="Z33" s="40">
        <f>Assumptions!S12</f>
        <v>22.239073290375686</v>
      </c>
      <c r="AA33" s="40">
        <f>Assumptions!T12</f>
        <v>22.239073290375686</v>
      </c>
      <c r="AB33" s="40">
        <f>Assumptions!U12</f>
        <v>22.239073290375686</v>
      </c>
      <c r="AC33" s="40">
        <f>Assumptions!V12</f>
        <v>22.239073290375686</v>
      </c>
      <c r="AD33" s="40">
        <f>Assumptions!W12</f>
        <v>22.239073290375686</v>
      </c>
      <c r="AE33" s="40">
        <f>Assumptions!X12</f>
        <v>22.239073290375686</v>
      </c>
      <c r="AF33" s="40">
        <f>Assumptions!Y12</f>
        <v>22.239073290375686</v>
      </c>
      <c r="AG33" s="40">
        <f>Assumptions!Z12</f>
        <v>22.239073290375686</v>
      </c>
      <c r="AH33" s="40">
        <f>Assumptions!AA12</f>
        <v>22.239073290375686</v>
      </c>
      <c r="AI33" s="40">
        <f>Assumptions!AB12</f>
        <v>22.683854756183198</v>
      </c>
      <c r="AJ33" s="40">
        <f>Assumptions!AC12</f>
        <v>22.683854756183198</v>
      </c>
      <c r="AK33" s="40">
        <f>Assumptions!AD12</f>
        <v>22.683854756183198</v>
      </c>
      <c r="AL33" s="40">
        <f>Assumptions!AE12</f>
        <v>22.683854756183198</v>
      </c>
      <c r="AM33" s="40">
        <f>Assumptions!AF12</f>
        <v>22.683854756183198</v>
      </c>
      <c r="AN33" s="40">
        <f>Assumptions!AG12</f>
        <v>22.683854756183198</v>
      </c>
      <c r="AO33" s="40">
        <f>Assumptions!AH12</f>
        <v>22.683854756183198</v>
      </c>
      <c r="AP33" s="40">
        <f>Assumptions!AI12</f>
        <v>22.683854756183198</v>
      </c>
      <c r="AQ33" s="40">
        <f>Assumptions!AJ12</f>
        <v>22.683854756183198</v>
      </c>
      <c r="AR33" s="40">
        <f>Assumptions!AK12</f>
        <v>22.683854756183198</v>
      </c>
      <c r="AS33" s="40">
        <f>Assumptions!AL12</f>
        <v>22.683854756183198</v>
      </c>
      <c r="AT33" s="40">
        <f>Assumptions!AM12</f>
        <v>22.683854756183198</v>
      </c>
      <c r="AU33" s="40">
        <f>Assumptions!AN12</f>
        <v>22.683854756183198</v>
      </c>
      <c r="AV33" s="40">
        <f>Assumptions!AO12</f>
        <v>23.137531851306861</v>
      </c>
      <c r="AW33" s="40">
        <f>Assumptions!AP12</f>
        <v>23.137531851306861</v>
      </c>
      <c r="AX33" s="40">
        <f>Assumptions!AQ12</f>
        <v>23.137531851306861</v>
      </c>
      <c r="AY33" s="40">
        <f>Assumptions!AR12</f>
        <v>23.137531851306861</v>
      </c>
      <c r="AZ33" s="40">
        <f>Assumptions!AS12</f>
        <v>23.137531851306861</v>
      </c>
      <c r="BA33" s="40">
        <f>Assumptions!AT12</f>
        <v>23.137531851306861</v>
      </c>
      <c r="BB33" s="40">
        <f>Assumptions!AU12</f>
        <v>23.137531851306861</v>
      </c>
      <c r="BC33" s="40">
        <f>Assumptions!AV12</f>
        <v>23.137531851306861</v>
      </c>
      <c r="BD33" s="40">
        <f>Assumptions!AW12</f>
        <v>23.137531851306861</v>
      </c>
      <c r="BE33" s="40">
        <f>Assumptions!AX12</f>
        <v>23.137531851306861</v>
      </c>
      <c r="BF33" s="40">
        <f>Assumptions!AY12</f>
        <v>23.137531851306861</v>
      </c>
      <c r="BG33" s="40">
        <f>Assumptions!AZ12</f>
        <v>23.137531851306861</v>
      </c>
      <c r="BH33" s="40">
        <f>Assumptions!BA12</f>
        <v>23.137531851306861</v>
      </c>
    </row>
    <row r="34" spans="13:60" x14ac:dyDescent="0.2">
      <c r="M34" s="139" t="s">
        <v>121</v>
      </c>
      <c r="N34" s="82" t="s">
        <v>229</v>
      </c>
      <c r="Q34" s="40">
        <f>Assumptions!J13</f>
        <v>20.229268401127385</v>
      </c>
      <c r="R34" s="40">
        <f>Assumptions!K13</f>
        <v>20.229268401127385</v>
      </c>
      <c r="S34" s="40">
        <f>Assumptions!L13</f>
        <v>20.229268401127385</v>
      </c>
      <c r="T34" s="40">
        <f>Assumptions!M13</f>
        <v>20.229268401127385</v>
      </c>
      <c r="U34" s="40">
        <f>Assumptions!N13</f>
        <v>20.229268401127385</v>
      </c>
      <c r="V34" s="40">
        <f>Assumptions!O13</f>
        <v>20.229268401127385</v>
      </c>
      <c r="W34" s="40">
        <f>Assumptions!P13</f>
        <v>20.229268401127385</v>
      </c>
      <c r="X34" s="40">
        <f>Assumptions!Q13</f>
        <v>20.654083037551057</v>
      </c>
      <c r="Y34" s="40">
        <f>Assumptions!R13</f>
        <v>20.654083037551057</v>
      </c>
      <c r="Z34" s="40">
        <f>Assumptions!S13</f>
        <v>20.654083037551057</v>
      </c>
      <c r="AA34" s="40">
        <f>Assumptions!T13</f>
        <v>20.654083037551057</v>
      </c>
      <c r="AB34" s="40">
        <f>Assumptions!U13</f>
        <v>20.654083037551057</v>
      </c>
      <c r="AC34" s="40">
        <f>Assumptions!V13</f>
        <v>20.654083037551057</v>
      </c>
      <c r="AD34" s="40">
        <f>Assumptions!W13</f>
        <v>20.654083037551057</v>
      </c>
      <c r="AE34" s="40">
        <f>Assumptions!X13</f>
        <v>20.654083037551057</v>
      </c>
      <c r="AF34" s="40">
        <f>Assumptions!Y13</f>
        <v>20.654083037551057</v>
      </c>
      <c r="AG34" s="40">
        <f>Assumptions!Z13</f>
        <v>20.654083037551057</v>
      </c>
      <c r="AH34" s="40">
        <f>Assumptions!AA13</f>
        <v>20.654083037551057</v>
      </c>
      <c r="AI34" s="40">
        <f>Assumptions!AB13</f>
        <v>21.067164698302079</v>
      </c>
      <c r="AJ34" s="40">
        <f>Assumptions!AC13</f>
        <v>21.067164698302079</v>
      </c>
      <c r="AK34" s="40">
        <f>Assumptions!AD13</f>
        <v>21.067164698302079</v>
      </c>
      <c r="AL34" s="40">
        <f>Assumptions!AE13</f>
        <v>21.067164698302079</v>
      </c>
      <c r="AM34" s="40">
        <f>Assumptions!AF13</f>
        <v>21.067164698302079</v>
      </c>
      <c r="AN34" s="40">
        <f>Assumptions!AG13</f>
        <v>21.067164698302079</v>
      </c>
      <c r="AO34" s="40">
        <f>Assumptions!AH13</f>
        <v>21.067164698302079</v>
      </c>
      <c r="AP34" s="40">
        <f>Assumptions!AI13</f>
        <v>21.067164698302079</v>
      </c>
      <c r="AQ34" s="40">
        <f>Assumptions!AJ13</f>
        <v>21.067164698302079</v>
      </c>
      <c r="AR34" s="40">
        <f>Assumptions!AK13</f>
        <v>21.067164698302079</v>
      </c>
      <c r="AS34" s="40">
        <f>Assumptions!AL13</f>
        <v>21.067164698302079</v>
      </c>
      <c r="AT34" s="40">
        <f>Assumptions!AM13</f>
        <v>21.067164698302079</v>
      </c>
      <c r="AU34" s="40">
        <f>Assumptions!AN13</f>
        <v>21.067164698302079</v>
      </c>
      <c r="AV34" s="40">
        <f>Assumptions!AO13</f>
        <v>21.488507992268122</v>
      </c>
      <c r="AW34" s="40">
        <f>Assumptions!AP13</f>
        <v>21.488507992268122</v>
      </c>
      <c r="AX34" s="40">
        <f>Assumptions!AQ13</f>
        <v>21.488507992268122</v>
      </c>
      <c r="AY34" s="40">
        <f>Assumptions!AR13</f>
        <v>21.488507992268122</v>
      </c>
      <c r="AZ34" s="40">
        <f>Assumptions!AS13</f>
        <v>21.488507992268122</v>
      </c>
      <c r="BA34" s="40">
        <f>Assumptions!AT13</f>
        <v>21.488507992268122</v>
      </c>
      <c r="BB34" s="40">
        <f>Assumptions!AU13</f>
        <v>21.488507992268122</v>
      </c>
      <c r="BC34" s="40">
        <f>Assumptions!AV13</f>
        <v>21.488507992268122</v>
      </c>
      <c r="BD34" s="40">
        <f>Assumptions!AW13</f>
        <v>21.488507992268122</v>
      </c>
      <c r="BE34" s="40">
        <f>Assumptions!AX13</f>
        <v>21.488507992268122</v>
      </c>
      <c r="BF34" s="40">
        <f>Assumptions!AY13</f>
        <v>21.488507992268122</v>
      </c>
      <c r="BG34" s="40">
        <f>Assumptions!AZ13</f>
        <v>21.488507992268122</v>
      </c>
      <c r="BH34" s="40">
        <f>Assumptions!BA13</f>
        <v>21.488507992268122</v>
      </c>
    </row>
    <row r="35" spans="13:60" x14ac:dyDescent="0.2">
      <c r="M35" s="139" t="s">
        <v>122</v>
      </c>
      <c r="N35" s="82" t="s">
        <v>229</v>
      </c>
      <c r="Q35" s="40">
        <f>Assumptions!J14</f>
        <v>12.792289606837606</v>
      </c>
      <c r="R35" s="40">
        <f>Assumptions!K14</f>
        <v>12.792289606837606</v>
      </c>
      <c r="S35" s="40">
        <f>Assumptions!L14</f>
        <v>12.792289606837606</v>
      </c>
      <c r="T35" s="40">
        <f>Assumptions!M14</f>
        <v>12.792289606837606</v>
      </c>
      <c r="U35" s="40">
        <f>Assumptions!N14</f>
        <v>12.792289606837606</v>
      </c>
      <c r="V35" s="40">
        <f>Assumptions!O14</f>
        <v>12.792289606837606</v>
      </c>
      <c r="W35" s="40">
        <f>Assumptions!P14</f>
        <v>12.792289606837606</v>
      </c>
      <c r="X35" s="40">
        <f>Assumptions!Q14</f>
        <v>13.060927688581195</v>
      </c>
      <c r="Y35" s="40">
        <f>Assumptions!R14</f>
        <v>13.060927688581195</v>
      </c>
      <c r="Z35" s="40">
        <f>Assumptions!S14</f>
        <v>13.060927688581195</v>
      </c>
      <c r="AA35" s="40">
        <f>Assumptions!T14</f>
        <v>13.060927688581195</v>
      </c>
      <c r="AB35" s="40">
        <f>Assumptions!U14</f>
        <v>13.060927688581195</v>
      </c>
      <c r="AC35" s="40">
        <f>Assumptions!V14</f>
        <v>13.060927688581195</v>
      </c>
      <c r="AD35" s="40">
        <f>Assumptions!W14</f>
        <v>13.060927688581195</v>
      </c>
      <c r="AE35" s="40">
        <f>Assumptions!X14</f>
        <v>13.060927688581195</v>
      </c>
      <c r="AF35" s="40">
        <f>Assumptions!Y14</f>
        <v>13.060927688581195</v>
      </c>
      <c r="AG35" s="40">
        <f>Assumptions!Z14</f>
        <v>13.060927688581195</v>
      </c>
      <c r="AH35" s="40">
        <f>Assumptions!AA14</f>
        <v>13.060927688581195</v>
      </c>
      <c r="AI35" s="40">
        <f>Assumptions!AB14</f>
        <v>13.322146242352819</v>
      </c>
      <c r="AJ35" s="40">
        <f>Assumptions!AC14</f>
        <v>13.322146242352819</v>
      </c>
      <c r="AK35" s="40">
        <f>Assumptions!AD14</f>
        <v>13.322146242352819</v>
      </c>
      <c r="AL35" s="40">
        <f>Assumptions!AE14</f>
        <v>13.322146242352819</v>
      </c>
      <c r="AM35" s="40">
        <f>Assumptions!AF14</f>
        <v>13.322146242352819</v>
      </c>
      <c r="AN35" s="40">
        <f>Assumptions!AG14</f>
        <v>13.322146242352819</v>
      </c>
      <c r="AO35" s="40">
        <f>Assumptions!AH14</f>
        <v>13.322146242352819</v>
      </c>
      <c r="AP35" s="40">
        <f>Assumptions!AI14</f>
        <v>13.322146242352819</v>
      </c>
      <c r="AQ35" s="40">
        <f>Assumptions!AJ14</f>
        <v>13.322146242352819</v>
      </c>
      <c r="AR35" s="40">
        <f>Assumptions!AK14</f>
        <v>13.322146242352819</v>
      </c>
      <c r="AS35" s="40">
        <f>Assumptions!AL14</f>
        <v>13.322146242352819</v>
      </c>
      <c r="AT35" s="40">
        <f>Assumptions!AM14</f>
        <v>13.322146242352819</v>
      </c>
      <c r="AU35" s="40">
        <f>Assumptions!AN14</f>
        <v>13.322146242352819</v>
      </c>
      <c r="AV35" s="40">
        <f>Assumptions!AO14</f>
        <v>13.588589167199876</v>
      </c>
      <c r="AW35" s="40">
        <f>Assumptions!AP14</f>
        <v>13.588589167199876</v>
      </c>
      <c r="AX35" s="40">
        <f>Assumptions!AQ14</f>
        <v>13.588589167199876</v>
      </c>
      <c r="AY35" s="40">
        <f>Assumptions!AR14</f>
        <v>13.588589167199876</v>
      </c>
      <c r="AZ35" s="40">
        <f>Assumptions!AS14</f>
        <v>13.588589167199876</v>
      </c>
      <c r="BA35" s="40">
        <f>Assumptions!AT14</f>
        <v>13.588589167199876</v>
      </c>
      <c r="BB35" s="40">
        <f>Assumptions!AU14</f>
        <v>13.588589167199876</v>
      </c>
      <c r="BC35" s="40">
        <f>Assumptions!AV14</f>
        <v>13.588589167199876</v>
      </c>
      <c r="BD35" s="40">
        <f>Assumptions!AW14</f>
        <v>13.588589167199876</v>
      </c>
      <c r="BE35" s="40">
        <f>Assumptions!AX14</f>
        <v>13.588589167199876</v>
      </c>
      <c r="BF35" s="40">
        <f>Assumptions!AY14</f>
        <v>13.588589167199876</v>
      </c>
      <c r="BG35" s="40">
        <f>Assumptions!AZ14</f>
        <v>13.588589167199876</v>
      </c>
      <c r="BH35" s="40">
        <f>Assumptions!BA14</f>
        <v>13.588589167199876</v>
      </c>
    </row>
    <row r="36" spans="13:60" x14ac:dyDescent="0.2">
      <c r="Q36" s="42"/>
      <c r="AF36" s="42"/>
    </row>
    <row r="37" spans="13:60" x14ac:dyDescent="0.2">
      <c r="M37" s="6" t="s">
        <v>235</v>
      </c>
      <c r="N37" s="6" t="s">
        <v>12</v>
      </c>
    </row>
    <row r="38" spans="13:60" x14ac:dyDescent="0.2">
      <c r="M38" s="139" t="s">
        <v>6</v>
      </c>
      <c r="N38" t="s">
        <v>12</v>
      </c>
      <c r="Q38" s="155">
        <f>Assumptions!J18</f>
        <v>614</v>
      </c>
      <c r="R38" s="155">
        <f>Assumptions!K18</f>
        <v>941</v>
      </c>
      <c r="S38" s="155">
        <f>Assumptions!L18</f>
        <v>1269</v>
      </c>
      <c r="T38" s="155">
        <f>Assumptions!M18</f>
        <v>1596</v>
      </c>
      <c r="U38" s="155">
        <f>Assumptions!N18</f>
        <v>4420</v>
      </c>
      <c r="V38" s="155">
        <f>Assumptions!O18</f>
        <v>1922</v>
      </c>
      <c r="W38" s="155">
        <f>Assumptions!P18</f>
        <v>2250.0001151161018</v>
      </c>
      <c r="X38" s="155">
        <f>Assumptions!Q18</f>
        <v>2250.0001151161018</v>
      </c>
      <c r="Y38" s="155">
        <f>Assumptions!R18</f>
        <v>2250.0001151161018</v>
      </c>
      <c r="Z38" s="155">
        <f>Assumptions!S18</f>
        <v>2250.0001151161018</v>
      </c>
      <c r="AA38" s="155">
        <f>Assumptions!T18</f>
        <v>2250.0001151161018</v>
      </c>
      <c r="AB38" s="155">
        <f>Assumptions!U18</f>
        <v>2250.0001151161018</v>
      </c>
      <c r="AC38" s="155">
        <f>Assumptions!V18</f>
        <v>2250.0001151161018</v>
      </c>
      <c r="AD38" s="155">
        <f>Assumptions!W18</f>
        <v>2250.0001151161018</v>
      </c>
      <c r="AE38" s="155">
        <f>Assumptions!X18</f>
        <v>2250.0001151161018</v>
      </c>
      <c r="AF38" s="155">
        <f>Assumptions!Y18</f>
        <v>2250.0001151161018</v>
      </c>
      <c r="AG38" s="155">
        <f>Assumptions!Z18</f>
        <v>2250.0001151161018</v>
      </c>
      <c r="AH38" s="155">
        <f>Assumptions!AA18</f>
        <v>26672.001266277115</v>
      </c>
      <c r="AI38" s="155">
        <f>Assumptions!AB18</f>
        <v>2250.0001151161018</v>
      </c>
      <c r="AJ38" s="155">
        <f>Assumptions!AC18</f>
        <v>2250.0001151161018</v>
      </c>
      <c r="AK38" s="155">
        <f>Assumptions!AD18</f>
        <v>2368</v>
      </c>
      <c r="AL38" s="155">
        <f>Assumptions!AE18</f>
        <v>2486</v>
      </c>
      <c r="AM38" s="155">
        <f>Assumptions!AF18</f>
        <v>2605</v>
      </c>
      <c r="AN38" s="155">
        <f>Assumptions!AG18</f>
        <v>2723</v>
      </c>
      <c r="AO38" s="155">
        <f>Assumptions!AH18</f>
        <v>2841</v>
      </c>
      <c r="AP38" s="155">
        <f>Assumptions!AI18</f>
        <v>2960</v>
      </c>
      <c r="AQ38" s="155">
        <f>Assumptions!AJ18</f>
        <v>3078</v>
      </c>
      <c r="AR38" s="155">
        <f>Assumptions!AK18</f>
        <v>3196</v>
      </c>
      <c r="AS38" s="155">
        <f>Assumptions!AL18</f>
        <v>3315</v>
      </c>
      <c r="AT38" s="155">
        <f>Assumptions!AM18</f>
        <v>3433</v>
      </c>
      <c r="AU38" s="155">
        <f>Assumptions!AN18</f>
        <v>33505.000230232203</v>
      </c>
      <c r="AV38" s="155">
        <f>Assumptions!AO18</f>
        <v>3552</v>
      </c>
      <c r="AW38" s="155">
        <f>Assumptions!AP18</f>
        <v>3670</v>
      </c>
      <c r="AX38" s="155">
        <f>Assumptions!AQ18</f>
        <v>3788</v>
      </c>
      <c r="AY38" s="155">
        <f>Assumptions!AR18</f>
        <v>3907</v>
      </c>
      <c r="AZ38" s="155">
        <f>Assumptions!AS18</f>
        <v>4025</v>
      </c>
      <c r="BA38" s="155">
        <f>Assumptions!AT18</f>
        <v>4143</v>
      </c>
      <c r="BB38" s="155">
        <f>Assumptions!AU18</f>
        <v>4262</v>
      </c>
      <c r="BC38" s="155">
        <f>Assumptions!AV18</f>
        <v>4500.0001674415998</v>
      </c>
      <c r="BD38" s="155">
        <f>Assumptions!AW18</f>
        <v>4500.0001674415998</v>
      </c>
      <c r="BE38" s="155">
        <f>Assumptions!AX18</f>
        <v>4500.0001674415998</v>
      </c>
      <c r="BF38" s="155">
        <f>Assumptions!AY18</f>
        <v>4500.0001674415998</v>
      </c>
      <c r="BG38" s="155">
        <f>Assumptions!AZ18</f>
        <v>4500.0001674415998</v>
      </c>
      <c r="BH38" s="155">
        <f>Assumptions!BA18</f>
        <v>49847.00083720799</v>
      </c>
    </row>
    <row r="39" spans="13:60" x14ac:dyDescent="0.2">
      <c r="M39" s="139" t="s">
        <v>7</v>
      </c>
      <c r="N39" t="s">
        <v>12</v>
      </c>
      <c r="Q39" s="155">
        <f>Assumptions!J19</f>
        <v>818</v>
      </c>
      <c r="R39" s="155">
        <f>Assumptions!K19</f>
        <v>1255</v>
      </c>
      <c r="S39" s="155">
        <f>Assumptions!L19</f>
        <v>1691</v>
      </c>
      <c r="T39" s="155">
        <f>Assumptions!M19</f>
        <v>2128</v>
      </c>
      <c r="U39" s="155">
        <f>Assumptions!N19</f>
        <v>5892</v>
      </c>
      <c r="V39" s="155">
        <f>Assumptions!O19</f>
        <v>2564</v>
      </c>
      <c r="W39" s="155">
        <f>Assumptions!P19</f>
        <v>3000</v>
      </c>
      <c r="X39" s="155">
        <f>Assumptions!Q19</f>
        <v>3000</v>
      </c>
      <c r="Y39" s="155">
        <f>Assumptions!R19</f>
        <v>3000</v>
      </c>
      <c r="Z39" s="155">
        <f>Assumptions!S19</f>
        <v>3000</v>
      </c>
      <c r="AA39" s="155">
        <f>Assumptions!T19</f>
        <v>3000</v>
      </c>
      <c r="AB39" s="155">
        <f>Assumptions!U19</f>
        <v>3000</v>
      </c>
      <c r="AC39" s="155">
        <f>Assumptions!V19</f>
        <v>3000</v>
      </c>
      <c r="AD39" s="155">
        <f>Assumptions!W19</f>
        <v>3000</v>
      </c>
      <c r="AE39" s="155">
        <f>Assumptions!X19</f>
        <v>3000</v>
      </c>
      <c r="AF39" s="155">
        <f>Assumptions!Y19</f>
        <v>3000</v>
      </c>
      <c r="AG39" s="155">
        <f>Assumptions!Z19</f>
        <v>3000</v>
      </c>
      <c r="AH39" s="155">
        <f>Assumptions!AA19</f>
        <v>35564</v>
      </c>
      <c r="AI39" s="155">
        <f>Assumptions!AB19</f>
        <v>3000</v>
      </c>
      <c r="AJ39" s="155">
        <f>Assumptions!AC19</f>
        <v>3000</v>
      </c>
      <c r="AK39" s="155">
        <f>Assumptions!AD19</f>
        <v>3158</v>
      </c>
      <c r="AL39" s="155">
        <f>Assumptions!AE19</f>
        <v>3316</v>
      </c>
      <c r="AM39" s="155">
        <f>Assumptions!AF19</f>
        <v>3474</v>
      </c>
      <c r="AN39" s="155">
        <f>Assumptions!AG19</f>
        <v>3632</v>
      </c>
      <c r="AO39" s="155">
        <f>Assumptions!AH19</f>
        <v>3790</v>
      </c>
      <c r="AP39" s="155">
        <f>Assumptions!AI19</f>
        <v>3947</v>
      </c>
      <c r="AQ39" s="155">
        <f>Assumptions!AJ19</f>
        <v>4105</v>
      </c>
      <c r="AR39" s="155">
        <f>Assumptions!AK19</f>
        <v>4263</v>
      </c>
      <c r="AS39" s="155">
        <f>Assumptions!AL19</f>
        <v>4420</v>
      </c>
      <c r="AT39" s="155">
        <f>Assumptions!AM19</f>
        <v>4578</v>
      </c>
      <c r="AU39" s="155">
        <f>Assumptions!AN19</f>
        <v>44683</v>
      </c>
      <c r="AV39" s="155">
        <f>Assumptions!AO19</f>
        <v>4736</v>
      </c>
      <c r="AW39" s="155">
        <f>Assumptions!AP19</f>
        <v>4894</v>
      </c>
      <c r="AX39" s="155">
        <f>Assumptions!AQ19</f>
        <v>5052</v>
      </c>
      <c r="AY39" s="155">
        <f>Assumptions!AR19</f>
        <v>5210</v>
      </c>
      <c r="AZ39" s="155">
        <f>Assumptions!AS19</f>
        <v>5368</v>
      </c>
      <c r="BA39" s="155">
        <f>Assumptions!AT19</f>
        <v>5526</v>
      </c>
      <c r="BB39" s="155">
        <f>Assumptions!AU19</f>
        <v>5683</v>
      </c>
      <c r="BC39" s="155">
        <f>Assumptions!AV19</f>
        <v>5999.9999162792001</v>
      </c>
      <c r="BD39" s="155">
        <f>Assumptions!AW19</f>
        <v>5999.9999162792001</v>
      </c>
      <c r="BE39" s="155">
        <f>Assumptions!AX19</f>
        <v>5999.9999162792001</v>
      </c>
      <c r="BF39" s="155">
        <f>Assumptions!AY19</f>
        <v>5999.9999162792001</v>
      </c>
      <c r="BG39" s="155">
        <f>Assumptions!AZ19</f>
        <v>5999.9999162792001</v>
      </c>
      <c r="BH39" s="155">
        <f>Assumptions!BA19</f>
        <v>66468.999581395998</v>
      </c>
    </row>
    <row r="40" spans="13:60" x14ac:dyDescent="0.2">
      <c r="M40" s="139" t="s">
        <v>121</v>
      </c>
      <c r="N40" t="s">
        <v>12</v>
      </c>
      <c r="Q40" s="155">
        <f>Assumptions!J20</f>
        <v>409</v>
      </c>
      <c r="R40" s="155">
        <f>Assumptions!K20</f>
        <v>627</v>
      </c>
      <c r="S40" s="155">
        <f>Assumptions!L20</f>
        <v>845</v>
      </c>
      <c r="T40" s="155">
        <f>Assumptions!M20</f>
        <v>1063</v>
      </c>
      <c r="U40" s="155">
        <f>Assumptions!N20</f>
        <v>2944</v>
      </c>
      <c r="V40" s="155">
        <f>Assumptions!O20</f>
        <v>1282</v>
      </c>
      <c r="W40" s="155">
        <f>Assumptions!P20</f>
        <v>1500</v>
      </c>
      <c r="X40" s="155">
        <f>Assumptions!Q20</f>
        <v>1500</v>
      </c>
      <c r="Y40" s="155">
        <f>Assumptions!R20</f>
        <v>1500</v>
      </c>
      <c r="Z40" s="155">
        <f>Assumptions!S20</f>
        <v>1500</v>
      </c>
      <c r="AA40" s="155">
        <f>Assumptions!T20</f>
        <v>1500</v>
      </c>
      <c r="AB40" s="155">
        <f>Assumptions!U20</f>
        <v>1500</v>
      </c>
      <c r="AC40" s="155">
        <f>Assumptions!V20</f>
        <v>1500</v>
      </c>
      <c r="AD40" s="155">
        <f>Assumptions!W20</f>
        <v>1500</v>
      </c>
      <c r="AE40" s="155">
        <f>Assumptions!X20</f>
        <v>1500</v>
      </c>
      <c r="AF40" s="155">
        <f>Assumptions!Y20</f>
        <v>1500</v>
      </c>
      <c r="AG40" s="155">
        <f>Assumptions!Z20</f>
        <v>1500</v>
      </c>
      <c r="AH40" s="155">
        <f>Assumptions!AA20</f>
        <v>17782</v>
      </c>
      <c r="AI40" s="155">
        <f>Assumptions!AB20</f>
        <v>1500</v>
      </c>
      <c r="AJ40" s="155">
        <f>Assumptions!AC20</f>
        <v>1500</v>
      </c>
      <c r="AK40" s="155">
        <f>Assumptions!AD20</f>
        <v>1579</v>
      </c>
      <c r="AL40" s="155">
        <f>Assumptions!AE20</f>
        <v>1658</v>
      </c>
      <c r="AM40" s="155">
        <f>Assumptions!AF20</f>
        <v>1737</v>
      </c>
      <c r="AN40" s="155">
        <f>Assumptions!AG20</f>
        <v>1816</v>
      </c>
      <c r="AO40" s="155">
        <f>Assumptions!AH20</f>
        <v>1895</v>
      </c>
      <c r="AP40" s="155">
        <f>Assumptions!AI20</f>
        <v>1974</v>
      </c>
      <c r="AQ40" s="155">
        <f>Assumptions!AJ20</f>
        <v>2053</v>
      </c>
      <c r="AR40" s="155">
        <f>Assumptions!AK20</f>
        <v>2132</v>
      </c>
      <c r="AS40" s="155">
        <f>Assumptions!AL20</f>
        <v>2210</v>
      </c>
      <c r="AT40" s="155">
        <f>Assumptions!AM20</f>
        <v>2289</v>
      </c>
      <c r="AU40" s="155">
        <f>Assumptions!AN20</f>
        <v>22343</v>
      </c>
      <c r="AV40" s="155">
        <f>Assumptions!AO20</f>
        <v>2368</v>
      </c>
      <c r="AW40" s="155">
        <f>Assumptions!AP20</f>
        <v>2447</v>
      </c>
      <c r="AX40" s="155">
        <f>Assumptions!AQ20</f>
        <v>2526</v>
      </c>
      <c r="AY40" s="155">
        <f>Assumptions!AR20</f>
        <v>2604</v>
      </c>
      <c r="AZ40" s="155">
        <f>Assumptions!AS20</f>
        <v>2683</v>
      </c>
      <c r="BA40" s="155">
        <f>Assumptions!AT20</f>
        <v>2762</v>
      </c>
      <c r="BB40" s="155">
        <f>Assumptions!AU20</f>
        <v>2841</v>
      </c>
      <c r="BC40" s="155">
        <f>Assumptions!AV20</f>
        <v>2999.9999581396</v>
      </c>
      <c r="BD40" s="155">
        <f>Assumptions!AW20</f>
        <v>2999.9999581396</v>
      </c>
      <c r="BE40" s="155">
        <f>Assumptions!AX20</f>
        <v>2999.9999581396</v>
      </c>
      <c r="BF40" s="155">
        <f>Assumptions!AY20</f>
        <v>2999.9999581396</v>
      </c>
      <c r="BG40" s="155">
        <f>Assumptions!AZ20</f>
        <v>2999.9999581396</v>
      </c>
      <c r="BH40" s="155">
        <f>Assumptions!BA20</f>
        <v>33230.999790697999</v>
      </c>
    </row>
    <row r="41" spans="13:60" x14ac:dyDescent="0.2">
      <c r="M41" s="140" t="s">
        <v>122</v>
      </c>
      <c r="N41" s="114" t="s">
        <v>12</v>
      </c>
      <c r="O41" s="114"/>
      <c r="P41" s="114"/>
      <c r="Q41" s="186">
        <f>Assumptions!J21</f>
        <v>409</v>
      </c>
      <c r="R41" s="186">
        <f>Assumptions!K21</f>
        <v>627</v>
      </c>
      <c r="S41" s="186">
        <f>Assumptions!L21</f>
        <v>845</v>
      </c>
      <c r="T41" s="186">
        <f>Assumptions!M21</f>
        <v>1063</v>
      </c>
      <c r="U41" s="186">
        <f>Assumptions!N21</f>
        <v>2944</v>
      </c>
      <c r="V41" s="186">
        <f>Assumptions!O21</f>
        <v>1282</v>
      </c>
      <c r="W41" s="186">
        <f>Assumptions!P21</f>
        <v>1500</v>
      </c>
      <c r="X41" s="186">
        <f>Assumptions!Q21</f>
        <v>1500</v>
      </c>
      <c r="Y41" s="186">
        <f>Assumptions!R21</f>
        <v>1500</v>
      </c>
      <c r="Z41" s="186">
        <f>Assumptions!S21</f>
        <v>1500</v>
      </c>
      <c r="AA41" s="186">
        <f>Assumptions!T21</f>
        <v>1500</v>
      </c>
      <c r="AB41" s="186">
        <f>Assumptions!U21</f>
        <v>1500</v>
      </c>
      <c r="AC41" s="186">
        <f>Assumptions!V21</f>
        <v>1500</v>
      </c>
      <c r="AD41" s="186">
        <f>Assumptions!W21</f>
        <v>1500</v>
      </c>
      <c r="AE41" s="186">
        <f>Assumptions!X21</f>
        <v>1500</v>
      </c>
      <c r="AF41" s="186">
        <f>Assumptions!Y21</f>
        <v>1500</v>
      </c>
      <c r="AG41" s="186">
        <f>Assumptions!Z21</f>
        <v>1500</v>
      </c>
      <c r="AH41" s="186">
        <f>Assumptions!AA21</f>
        <v>17782</v>
      </c>
      <c r="AI41" s="186">
        <f>Assumptions!AB21</f>
        <v>1500</v>
      </c>
      <c r="AJ41" s="186">
        <f>Assumptions!AC21</f>
        <v>1500</v>
      </c>
      <c r="AK41" s="186">
        <f>Assumptions!AD21</f>
        <v>1579</v>
      </c>
      <c r="AL41" s="186">
        <f>Assumptions!AE21</f>
        <v>1658</v>
      </c>
      <c r="AM41" s="186">
        <f>Assumptions!AF21</f>
        <v>1736</v>
      </c>
      <c r="AN41" s="186">
        <f>Assumptions!AG21</f>
        <v>1815</v>
      </c>
      <c r="AO41" s="186">
        <f>Assumptions!AH21</f>
        <v>1894</v>
      </c>
      <c r="AP41" s="186">
        <f>Assumptions!AI21</f>
        <v>1973</v>
      </c>
      <c r="AQ41" s="186">
        <f>Assumptions!AJ21</f>
        <v>2052</v>
      </c>
      <c r="AR41" s="186">
        <f>Assumptions!AK21</f>
        <v>2131</v>
      </c>
      <c r="AS41" s="186">
        <f>Assumptions!AL21</f>
        <v>2211</v>
      </c>
      <c r="AT41" s="186">
        <f>Assumptions!AM21</f>
        <v>2290</v>
      </c>
      <c r="AU41" s="186">
        <f>Assumptions!AN21</f>
        <v>22339</v>
      </c>
      <c r="AV41" s="186">
        <f>Assumptions!AO21</f>
        <v>2368</v>
      </c>
      <c r="AW41" s="186">
        <f>Assumptions!AP21</f>
        <v>2447</v>
      </c>
      <c r="AX41" s="186">
        <f>Assumptions!AQ21</f>
        <v>2526</v>
      </c>
      <c r="AY41" s="186">
        <f>Assumptions!AR21</f>
        <v>2605</v>
      </c>
      <c r="AZ41" s="186">
        <f>Assumptions!AS21</f>
        <v>2684</v>
      </c>
      <c r="BA41" s="186">
        <f>Assumptions!AT21</f>
        <v>2763</v>
      </c>
      <c r="BB41" s="186">
        <f>Assumptions!AU21</f>
        <v>2842</v>
      </c>
      <c r="BC41" s="186">
        <f>Assumptions!AV21</f>
        <v>2999.9999581396</v>
      </c>
      <c r="BD41" s="186">
        <f>Assumptions!AW21</f>
        <v>2999.9999581396</v>
      </c>
      <c r="BE41" s="186">
        <f>Assumptions!AX21</f>
        <v>2999.9999581396</v>
      </c>
      <c r="BF41" s="186">
        <f>Assumptions!AY21</f>
        <v>2999.9999581396</v>
      </c>
      <c r="BG41" s="186">
        <f>Assumptions!AZ21</f>
        <v>2999.9999581396</v>
      </c>
      <c r="BH41" s="186">
        <f>Assumptions!BA21</f>
        <v>33234.999790697999</v>
      </c>
    </row>
    <row r="42" spans="13:60" x14ac:dyDescent="0.2">
      <c r="M42" s="141" t="s">
        <v>236</v>
      </c>
      <c r="N42" s="6" t="s">
        <v>12</v>
      </c>
      <c r="Q42" s="209">
        <f>SUM(Q38:Q41)</f>
        <v>2250</v>
      </c>
      <c r="R42" s="209">
        <f t="shared" ref="R42:BH42" si="10">SUM(R38:R41)</f>
        <v>3450</v>
      </c>
      <c r="S42" s="209">
        <f t="shared" si="10"/>
        <v>4650</v>
      </c>
      <c r="T42" s="209">
        <f t="shared" si="10"/>
        <v>5850</v>
      </c>
      <c r="U42" s="209">
        <f t="shared" si="10"/>
        <v>16200</v>
      </c>
      <c r="V42" s="209">
        <f t="shared" si="10"/>
        <v>7050</v>
      </c>
      <c r="W42" s="209">
        <f t="shared" si="10"/>
        <v>8250.0001151161014</v>
      </c>
      <c r="X42" s="209">
        <f t="shared" si="10"/>
        <v>8250.0001151161014</v>
      </c>
      <c r="Y42" s="209">
        <f t="shared" si="10"/>
        <v>8250.0001151161014</v>
      </c>
      <c r="Z42" s="209">
        <f t="shared" si="10"/>
        <v>8250.0001151161014</v>
      </c>
      <c r="AA42" s="209">
        <f t="shared" si="10"/>
        <v>8250.0001151161014</v>
      </c>
      <c r="AB42" s="209">
        <f t="shared" si="10"/>
        <v>8250.0001151161014</v>
      </c>
      <c r="AC42" s="209">
        <f t="shared" si="10"/>
        <v>8250.0001151161014</v>
      </c>
      <c r="AD42" s="209">
        <f t="shared" si="10"/>
        <v>8250.0001151161014</v>
      </c>
      <c r="AE42" s="209">
        <f t="shared" si="10"/>
        <v>8250.0001151161014</v>
      </c>
      <c r="AF42" s="209">
        <f t="shared" si="10"/>
        <v>8250.0001151161014</v>
      </c>
      <c r="AG42" s="209">
        <f t="shared" si="10"/>
        <v>8250.0001151161014</v>
      </c>
      <c r="AH42" s="209">
        <f t="shared" si="10"/>
        <v>97800.001266277119</v>
      </c>
      <c r="AI42" s="209">
        <f t="shared" si="10"/>
        <v>8250.0001151161014</v>
      </c>
      <c r="AJ42" s="209">
        <f t="shared" si="10"/>
        <v>8250.0001151161014</v>
      </c>
      <c r="AK42" s="209">
        <f t="shared" si="10"/>
        <v>8684</v>
      </c>
      <c r="AL42" s="209">
        <f t="shared" si="10"/>
        <v>9118</v>
      </c>
      <c r="AM42" s="209">
        <f t="shared" si="10"/>
        <v>9552</v>
      </c>
      <c r="AN42" s="209">
        <f t="shared" si="10"/>
        <v>9986</v>
      </c>
      <c r="AO42" s="209">
        <f t="shared" si="10"/>
        <v>10420</v>
      </c>
      <c r="AP42" s="209">
        <f t="shared" si="10"/>
        <v>10854</v>
      </c>
      <c r="AQ42" s="209">
        <f t="shared" si="10"/>
        <v>11288</v>
      </c>
      <c r="AR42" s="209">
        <f t="shared" si="10"/>
        <v>11722</v>
      </c>
      <c r="AS42" s="209">
        <f t="shared" si="10"/>
        <v>12156</v>
      </c>
      <c r="AT42" s="209">
        <f t="shared" si="10"/>
        <v>12590</v>
      </c>
      <c r="AU42" s="209">
        <f t="shared" si="10"/>
        <v>122870.0002302322</v>
      </c>
      <c r="AV42" s="209">
        <f t="shared" si="10"/>
        <v>13024</v>
      </c>
      <c r="AW42" s="209">
        <f t="shared" si="10"/>
        <v>13458</v>
      </c>
      <c r="AX42" s="209">
        <f t="shared" si="10"/>
        <v>13892</v>
      </c>
      <c r="AY42" s="209">
        <f t="shared" si="10"/>
        <v>14326</v>
      </c>
      <c r="AZ42" s="209">
        <f t="shared" si="10"/>
        <v>14760</v>
      </c>
      <c r="BA42" s="209">
        <f t="shared" si="10"/>
        <v>15194</v>
      </c>
      <c r="BB42" s="209">
        <f t="shared" si="10"/>
        <v>15628</v>
      </c>
      <c r="BC42" s="209">
        <f t="shared" si="10"/>
        <v>16500</v>
      </c>
      <c r="BD42" s="209">
        <f t="shared" si="10"/>
        <v>16500</v>
      </c>
      <c r="BE42" s="209">
        <f t="shared" si="10"/>
        <v>16500</v>
      </c>
      <c r="BF42" s="209">
        <f t="shared" si="10"/>
        <v>16500</v>
      </c>
      <c r="BG42" s="209">
        <f t="shared" si="10"/>
        <v>16500</v>
      </c>
      <c r="BH42" s="209">
        <f t="shared" si="10"/>
        <v>182782</v>
      </c>
    </row>
    <row r="43" spans="13:60" x14ac:dyDescent="0.2">
      <c r="M43" s="256" t="s">
        <v>237</v>
      </c>
      <c r="N43" s="257" t="s">
        <v>13</v>
      </c>
      <c r="O43" s="257"/>
      <c r="P43" s="257"/>
      <c r="Q43" s="257"/>
      <c r="R43" s="257">
        <f t="shared" ref="R43" si="11">R42/Q42-1</f>
        <v>0.53333333333333344</v>
      </c>
      <c r="S43" s="257">
        <f>S42/R42-1</f>
        <v>0.34782608695652173</v>
      </c>
      <c r="T43" s="257">
        <f>T42/S42-1</f>
        <v>0.25806451612903225</v>
      </c>
      <c r="U43" s="257"/>
      <c r="V43" s="257">
        <f>V42/T42-1</f>
        <v>0.20512820512820507</v>
      </c>
      <c r="W43" s="257">
        <f>W42/V42-1</f>
        <v>0.17021278228597181</v>
      </c>
      <c r="X43" s="257">
        <f>X42/W42-1</f>
        <v>0</v>
      </c>
      <c r="Y43" s="257">
        <f t="shared" ref="Y43" si="12">Y42/X42-1</f>
        <v>0</v>
      </c>
      <c r="Z43" s="257">
        <f t="shared" ref="Z43" si="13">Z42/Y42-1</f>
        <v>0</v>
      </c>
      <c r="AA43" s="257">
        <f t="shared" ref="AA43" si="14">AA42/Z42-1</f>
        <v>0</v>
      </c>
      <c r="AB43" s="257">
        <f t="shared" ref="AB43" si="15">AB42/AA42-1</f>
        <v>0</v>
      </c>
      <c r="AC43" s="257">
        <f t="shared" ref="AC43" si="16">AC42/AB42-1</f>
        <v>0</v>
      </c>
      <c r="AD43" s="257">
        <f t="shared" ref="AD43" si="17">AD42/AC42-1</f>
        <v>0</v>
      </c>
      <c r="AE43" s="257">
        <f t="shared" ref="AE43" si="18">AE42/AD42-1</f>
        <v>0</v>
      </c>
      <c r="AF43" s="257">
        <f t="shared" ref="AF43" si="19">AF42/AE42-1</f>
        <v>0</v>
      </c>
      <c r="AG43" s="257">
        <f t="shared" ref="AG43" si="20">AG42/AF42-1</f>
        <v>0</v>
      </c>
      <c r="AH43" s="257">
        <f>AH42/U42-1</f>
        <v>5.037037115202291</v>
      </c>
      <c r="AI43" s="257">
        <f>AI42/AG42-1</f>
        <v>0</v>
      </c>
      <c r="AJ43" s="257">
        <f>AJ42/AI42-1</f>
        <v>0</v>
      </c>
      <c r="AK43" s="257">
        <f t="shared" ref="AK43" si="21">AK42/AJ42-1</f>
        <v>5.2606045918557109E-2</v>
      </c>
      <c r="AL43" s="257">
        <f t="shared" ref="AL43" si="22">AL42/AK42-1</f>
        <v>4.9976969138645799E-2</v>
      </c>
      <c r="AM43" s="257">
        <f t="shared" ref="AM43" si="23">AM42/AL42-1</f>
        <v>4.7598157490677862E-2</v>
      </c>
      <c r="AN43" s="257">
        <f t="shared" ref="AN43" si="24">AN42/AM42-1</f>
        <v>4.5435510887772201E-2</v>
      </c>
      <c r="AO43" s="257">
        <f t="shared" ref="AO43" si="25">AO42/AN42-1</f>
        <v>4.3460845183256547E-2</v>
      </c>
      <c r="AP43" s="257">
        <f t="shared" ref="AP43" si="26">AP42/AO42-1</f>
        <v>4.1650671785028681E-2</v>
      </c>
      <c r="AQ43" s="257">
        <f t="shared" ref="AQ43" si="27">AQ42/AP42-1</f>
        <v>3.9985258890731457E-2</v>
      </c>
      <c r="AR43" s="257">
        <f t="shared" ref="AR43" si="28">AR42/AQ42-1</f>
        <v>3.8447909284195614E-2</v>
      </c>
      <c r="AS43" s="257">
        <f t="shared" ref="AS43" si="29">AS42/AR42-1</f>
        <v>3.7024398566797512E-2</v>
      </c>
      <c r="AT43" s="257">
        <f t="shared" ref="AT43" si="30">AT42/AS42-1</f>
        <v>3.5702533728199981E-2</v>
      </c>
      <c r="AU43" s="257">
        <f>AU42/AH42-1</f>
        <v>0.25633945439016648</v>
      </c>
      <c r="AV43" s="257">
        <f>AV42/AT42-1</f>
        <v>3.4471803018268465E-2</v>
      </c>
      <c r="AW43" s="257">
        <f t="shared" ref="AW43" si="31">AW42/AV42-1</f>
        <v>3.3323095823095894E-2</v>
      </c>
      <c r="AX43" s="257">
        <f t="shared" ref="AX43" si="32">AX42/AW42-1</f>
        <v>3.224847674245801E-2</v>
      </c>
      <c r="AY43" s="257">
        <f t="shared" ref="AY43" si="33">AY42/AX42-1</f>
        <v>3.1241002015548469E-2</v>
      </c>
      <c r="AZ43" s="257">
        <f t="shared" ref="AZ43" si="34">AZ42/AY42-1</f>
        <v>3.0294569314533115E-2</v>
      </c>
      <c r="BA43" s="257">
        <f t="shared" ref="BA43" si="35">BA42/AZ42-1</f>
        <v>2.9403794037940356E-2</v>
      </c>
      <c r="BB43" s="257">
        <f t="shared" ref="BB43" si="36">BB42/BA42-1</f>
        <v>2.856390680531784E-2</v>
      </c>
      <c r="BC43" s="257">
        <f t="shared" ref="BC43" si="37">BC42/BB42-1</f>
        <v>5.5797286920911127E-2</v>
      </c>
      <c r="BD43" s="257">
        <f t="shared" ref="BD43" si="38">BD42/BC42-1</f>
        <v>0</v>
      </c>
      <c r="BE43" s="257">
        <f t="shared" ref="BE43" si="39">BE42/BD42-1</f>
        <v>0</v>
      </c>
      <c r="BF43" s="257">
        <f t="shared" ref="BF43" si="40">BF42/BE42-1</f>
        <v>0</v>
      </c>
      <c r="BG43" s="257">
        <f t="shared" ref="BG43" si="41">BG42/BF42-1</f>
        <v>0</v>
      </c>
      <c r="BH43" s="258">
        <f>BH42/AU42-1</f>
        <v>0.48760478275824437</v>
      </c>
    </row>
    <row r="45" spans="13:60" x14ac:dyDescent="0.2">
      <c r="M45" s="6" t="s">
        <v>239</v>
      </c>
      <c r="N45" s="79" t="s">
        <v>238</v>
      </c>
    </row>
    <row r="46" spans="13:60" x14ac:dyDescent="0.2">
      <c r="M46" s="139" t="s">
        <v>169</v>
      </c>
      <c r="N46" s="82" t="s">
        <v>238</v>
      </c>
      <c r="Q46" s="42">
        <f>(Q16)/Q42</f>
        <v>10.326551636352001</v>
      </c>
      <c r="R46" s="42">
        <f t="shared" ref="R46:BH46" si="42">(R16)/R42</f>
        <v>10.323876552584347</v>
      </c>
      <c r="S46" s="42">
        <f t="shared" si="42"/>
        <v>10.324781313847742</v>
      </c>
      <c r="T46" s="42">
        <f t="shared" si="42"/>
        <v>10.324807803421537</v>
      </c>
      <c r="U46" s="42">
        <f t="shared" si="42"/>
        <v>10.324844077013333</v>
      </c>
      <c r="V46" s="42">
        <f t="shared" si="42"/>
        <v>10.325416746914041</v>
      </c>
      <c r="W46" s="42">
        <f t="shared" si="42"/>
        <v>10.322250551916456</v>
      </c>
      <c r="X46" s="42">
        <f t="shared" si="42"/>
        <v>10.520301086495136</v>
      </c>
      <c r="Y46" s="42">
        <f t="shared" si="42"/>
        <v>10.520301086495136</v>
      </c>
      <c r="Z46" s="42">
        <f t="shared" si="42"/>
        <v>10.539017813506701</v>
      </c>
      <c r="AA46" s="42">
        <f t="shared" si="42"/>
        <v>10.539017813506701</v>
      </c>
      <c r="AB46" s="42">
        <f t="shared" si="42"/>
        <v>10.539017813506701</v>
      </c>
      <c r="AC46" s="42">
        <f t="shared" si="42"/>
        <v>10.539017813506701</v>
      </c>
      <c r="AD46" s="42">
        <f t="shared" si="42"/>
        <v>10.539017813506701</v>
      </c>
      <c r="AE46" s="42">
        <f t="shared" si="42"/>
        <v>10.539017813506701</v>
      </c>
      <c r="AF46" s="42">
        <f t="shared" si="42"/>
        <v>10.539017813506701</v>
      </c>
      <c r="AG46" s="42">
        <f t="shared" si="42"/>
        <v>10.539017813506701</v>
      </c>
      <c r="AH46" s="42">
        <f t="shared" si="42"/>
        <v>10.502176878886042</v>
      </c>
      <c r="AI46" s="42">
        <f t="shared" si="42"/>
        <v>10.749798169776833</v>
      </c>
      <c r="AJ46" s="42">
        <f t="shared" si="42"/>
        <v>10.749798169776833</v>
      </c>
      <c r="AK46" s="42">
        <f t="shared" si="42"/>
        <v>10.750798611818317</v>
      </c>
      <c r="AL46" s="42">
        <f t="shared" si="42"/>
        <v>10.751075884815368</v>
      </c>
      <c r="AM46" s="42">
        <f t="shared" si="42"/>
        <v>10.750837343013272</v>
      </c>
      <c r="AN46" s="42">
        <f t="shared" si="42"/>
        <v>10.751088831682257</v>
      </c>
      <c r="AO46" s="42">
        <f t="shared" si="42"/>
        <v>10.750593813493337</v>
      </c>
      <c r="AP46" s="42">
        <f t="shared" si="42"/>
        <v>10.750307543314586</v>
      </c>
      <c r="AQ46" s="42">
        <f t="shared" si="42"/>
        <v>10.749880628858792</v>
      </c>
      <c r="AR46" s="42">
        <f t="shared" si="42"/>
        <v>10.750130294427084</v>
      </c>
      <c r="AS46" s="42">
        <f t="shared" si="42"/>
        <v>10.749315297228746</v>
      </c>
      <c r="AT46" s="42">
        <f t="shared" si="42"/>
        <v>10.748966736817646</v>
      </c>
      <c r="AU46" s="42">
        <f t="shared" si="42"/>
        <v>10.750168142499126</v>
      </c>
      <c r="AV46" s="42">
        <f t="shared" si="42"/>
        <v>10.964431411756454</v>
      </c>
      <c r="AW46" s="42">
        <f t="shared" si="42"/>
        <v>10.96409462471437</v>
      </c>
      <c r="AX46" s="42">
        <f t="shared" si="42"/>
        <v>10.964333985572749</v>
      </c>
      <c r="AY46" s="42">
        <f t="shared" si="42"/>
        <v>10.963726703847241</v>
      </c>
      <c r="AZ46" s="42">
        <f t="shared" si="42"/>
        <v>10.963962806740255</v>
      </c>
      <c r="BA46" s="42">
        <f t="shared" si="42"/>
        <v>10.963677884702918</v>
      </c>
      <c r="BB46" s="42">
        <f t="shared" si="42"/>
        <v>10.96352862359117</v>
      </c>
      <c r="BC46" s="42">
        <f t="shared" si="42"/>
        <v>10.963314718307917</v>
      </c>
      <c r="BD46" s="42">
        <f t="shared" si="42"/>
        <v>10.963314718307917</v>
      </c>
      <c r="BE46" s="42">
        <f t="shared" si="42"/>
        <v>10.963314718307917</v>
      </c>
      <c r="BF46" s="42">
        <f t="shared" si="42"/>
        <v>10.963314718307917</v>
      </c>
      <c r="BG46" s="42">
        <f t="shared" si="42"/>
        <v>10.963314718307917</v>
      </c>
      <c r="BH46" s="42">
        <f t="shared" si="42"/>
        <v>10.963662281026375</v>
      </c>
    </row>
    <row r="47" spans="13:60" x14ac:dyDescent="0.2">
      <c r="M47" s="139" t="s">
        <v>230</v>
      </c>
      <c r="N47" s="82" t="s">
        <v>238</v>
      </c>
      <c r="Q47" s="42">
        <f>(Q17/Q42)</f>
        <v>4.37</v>
      </c>
      <c r="R47" s="42">
        <f t="shared" ref="R47:BH47" si="43">(R17/R42)</f>
        <v>4.37</v>
      </c>
      <c r="S47" s="42">
        <f t="shared" si="43"/>
        <v>4.370000000000001</v>
      </c>
      <c r="T47" s="42">
        <f t="shared" si="43"/>
        <v>4.370000000000001</v>
      </c>
      <c r="U47" s="42">
        <f t="shared" si="43"/>
        <v>4.37</v>
      </c>
      <c r="V47" s="42">
        <f t="shared" si="43"/>
        <v>4.37</v>
      </c>
      <c r="W47" s="42">
        <f t="shared" si="43"/>
        <v>4.37</v>
      </c>
      <c r="X47" s="42">
        <f t="shared" si="43"/>
        <v>4.4617699999999996</v>
      </c>
      <c r="Y47" s="42">
        <f t="shared" si="43"/>
        <v>4.4617699999999996</v>
      </c>
      <c r="Z47" s="42">
        <f t="shared" si="43"/>
        <v>4.4617699999999996</v>
      </c>
      <c r="AA47" s="42">
        <f t="shared" si="43"/>
        <v>4.4617699999999996</v>
      </c>
      <c r="AB47" s="42">
        <f t="shared" si="43"/>
        <v>4.4617699999999996</v>
      </c>
      <c r="AC47" s="42">
        <f t="shared" si="43"/>
        <v>4.4617699999999996</v>
      </c>
      <c r="AD47" s="42">
        <f t="shared" si="43"/>
        <v>4.4617699999999996</v>
      </c>
      <c r="AE47" s="42">
        <f t="shared" si="43"/>
        <v>4.4617699999999996</v>
      </c>
      <c r="AF47" s="42">
        <f t="shared" si="43"/>
        <v>4.4617699999999996</v>
      </c>
      <c r="AG47" s="42">
        <f t="shared" si="43"/>
        <v>4.4617699999999996</v>
      </c>
      <c r="AH47" s="42">
        <f t="shared" si="43"/>
        <v>4.447413343636148</v>
      </c>
      <c r="AI47" s="42">
        <f t="shared" si="43"/>
        <v>4.5510054000000002</v>
      </c>
      <c r="AJ47" s="42">
        <f t="shared" si="43"/>
        <v>4.5510054000000002</v>
      </c>
      <c r="AK47" s="42">
        <f t="shared" si="43"/>
        <v>4.5510053999999993</v>
      </c>
      <c r="AL47" s="42">
        <f t="shared" si="43"/>
        <v>4.5510053999999993</v>
      </c>
      <c r="AM47" s="42">
        <f t="shared" si="43"/>
        <v>4.5510053999999993</v>
      </c>
      <c r="AN47" s="42">
        <f t="shared" si="43"/>
        <v>4.5510053999999984</v>
      </c>
      <c r="AO47" s="42">
        <f t="shared" si="43"/>
        <v>4.5510054000000002</v>
      </c>
      <c r="AP47" s="42">
        <f t="shared" si="43"/>
        <v>4.5510053999999993</v>
      </c>
      <c r="AQ47" s="42">
        <f t="shared" si="43"/>
        <v>4.5510053999999993</v>
      </c>
      <c r="AR47" s="42">
        <f t="shared" si="43"/>
        <v>4.5510053999999984</v>
      </c>
      <c r="AS47" s="42">
        <f t="shared" si="43"/>
        <v>4.5510053999999993</v>
      </c>
      <c r="AT47" s="42">
        <f t="shared" si="43"/>
        <v>4.5510053999999993</v>
      </c>
      <c r="AU47" s="42">
        <f t="shared" si="43"/>
        <v>4.5510054000000002</v>
      </c>
      <c r="AV47" s="42">
        <f t="shared" si="43"/>
        <v>4.6420255080000006</v>
      </c>
      <c r="AW47" s="42">
        <f t="shared" si="43"/>
        <v>4.6420255079999997</v>
      </c>
      <c r="AX47" s="42">
        <f t="shared" si="43"/>
        <v>4.6420255079999997</v>
      </c>
      <c r="AY47" s="42">
        <f t="shared" si="43"/>
        <v>4.6420255079999997</v>
      </c>
      <c r="AZ47" s="42">
        <f t="shared" si="43"/>
        <v>4.6420255079999988</v>
      </c>
      <c r="BA47" s="42">
        <f t="shared" si="43"/>
        <v>4.6420255079999997</v>
      </c>
      <c r="BB47" s="42">
        <f t="shared" si="43"/>
        <v>4.6420255079999997</v>
      </c>
      <c r="BC47" s="42">
        <f t="shared" si="43"/>
        <v>4.6420255079999997</v>
      </c>
      <c r="BD47" s="42">
        <f t="shared" si="43"/>
        <v>4.6420255079999997</v>
      </c>
      <c r="BE47" s="42">
        <f t="shared" si="43"/>
        <v>4.6420255079999997</v>
      </c>
      <c r="BF47" s="42">
        <f t="shared" si="43"/>
        <v>4.6420255079999997</v>
      </c>
      <c r="BG47" s="42">
        <f t="shared" si="43"/>
        <v>4.6420255079999997</v>
      </c>
      <c r="BH47" s="42">
        <f t="shared" si="43"/>
        <v>4.6420255079999997</v>
      </c>
    </row>
    <row r="48" spans="13:60" x14ac:dyDescent="0.2">
      <c r="M48" s="140" t="s">
        <v>231</v>
      </c>
      <c r="N48" s="201" t="s">
        <v>238</v>
      </c>
      <c r="O48" s="114"/>
      <c r="P48" s="114"/>
      <c r="Q48" s="212">
        <f>(Q18/Q42)</f>
        <v>1.260702051282051</v>
      </c>
      <c r="R48" s="212">
        <f t="shared" ref="R48:BH48" si="44">(R18/R42)</f>
        <v>1.0863252401857864</v>
      </c>
      <c r="S48" s="212">
        <f t="shared" si="44"/>
        <v>1.0900353853542606</v>
      </c>
      <c r="T48" s="212">
        <f t="shared" si="44"/>
        <v>1.0163715678325342</v>
      </c>
      <c r="U48" s="212">
        <f t="shared" si="44"/>
        <v>1.0863481424532846</v>
      </c>
      <c r="V48" s="212">
        <f t="shared" si="44"/>
        <v>1.0379881042661947</v>
      </c>
      <c r="W48" s="212">
        <f t="shared" si="44"/>
        <v>1.0305606355891244</v>
      </c>
      <c r="X48" s="212">
        <f t="shared" si="44"/>
        <v>1.0610620015228973</v>
      </c>
      <c r="Y48" s="212">
        <f t="shared" si="44"/>
        <v>1.0377892733842093</v>
      </c>
      <c r="Z48" s="212">
        <f t="shared" si="44"/>
        <v>1.0662337162410596</v>
      </c>
      <c r="AA48" s="212">
        <f t="shared" si="44"/>
        <v>1.0429609881023716</v>
      </c>
      <c r="AB48" s="212">
        <f t="shared" si="44"/>
        <v>1.0403751283618989</v>
      </c>
      <c r="AC48" s="212">
        <f t="shared" si="44"/>
        <v>1.0481327028205338</v>
      </c>
      <c r="AD48" s="212">
        <f t="shared" si="44"/>
        <v>1.0455468430800612</v>
      </c>
      <c r="AE48" s="212">
        <f t="shared" si="44"/>
        <v>1.0533044175386959</v>
      </c>
      <c r="AF48" s="212">
        <f t="shared" si="44"/>
        <v>1.0610619919973308</v>
      </c>
      <c r="AG48" s="212">
        <f t="shared" si="44"/>
        <v>1.037789263858643</v>
      </c>
      <c r="AH48" s="212">
        <f t="shared" si="44"/>
        <v>1.0470097758339771</v>
      </c>
      <c r="AI48" s="212">
        <f t="shared" si="44"/>
        <v>1.0883698335953851</v>
      </c>
      <c r="AJ48" s="212">
        <f t="shared" si="44"/>
        <v>1.1089878440726388</v>
      </c>
      <c r="AK48" s="212">
        <f t="shared" si="44"/>
        <v>1.0857228812690571</v>
      </c>
      <c r="AL48" s="212">
        <f t="shared" si="44"/>
        <v>1.0707062980159816</v>
      </c>
      <c r="AM48" s="212">
        <f t="shared" si="44"/>
        <v>1.0628137873616994</v>
      </c>
      <c r="AN48" s="212">
        <f t="shared" si="44"/>
        <v>1.0416494007258343</v>
      </c>
      <c r="AO48" s="212">
        <f t="shared" si="44"/>
        <v>1.046184038542938</v>
      </c>
      <c r="AP48" s="212">
        <f t="shared" si="44"/>
        <v>1.0464695038498846</v>
      </c>
      <c r="AQ48" s="212">
        <f t="shared" si="44"/>
        <v>1.017163381923802</v>
      </c>
      <c r="AR48" s="212">
        <f t="shared" si="44"/>
        <v>1.0278887615360097</v>
      </c>
      <c r="AS48" s="212">
        <f t="shared" si="44"/>
        <v>1.0503700080202647</v>
      </c>
      <c r="AT48" s="212">
        <f t="shared" si="44"/>
        <v>1.0293489372091793</v>
      </c>
      <c r="AU48" s="212">
        <f t="shared" si="44"/>
        <v>1.0530747743247417</v>
      </c>
      <c r="AV48" s="212">
        <f t="shared" si="44"/>
        <v>1.0558653309586497</v>
      </c>
      <c r="AW48" s="212">
        <f t="shared" si="44"/>
        <v>1.0514833423318524</v>
      </c>
      <c r="AX48" s="212">
        <f t="shared" si="44"/>
        <v>1.0371411061001068</v>
      </c>
      <c r="AY48" s="212">
        <f t="shared" si="44"/>
        <v>1.0552668887984993</v>
      </c>
      <c r="AZ48" s="212">
        <f t="shared" si="44"/>
        <v>1.0425434806270946</v>
      </c>
      <c r="BA48" s="212">
        <f t="shared" si="44"/>
        <v>1.040765323504576</v>
      </c>
      <c r="BB48" s="212">
        <f t="shared" si="44"/>
        <v>1.0363326551538998</v>
      </c>
      <c r="BC48" s="212">
        <f t="shared" si="44"/>
        <v>1.0387174194481255</v>
      </c>
      <c r="BD48" s="212">
        <f t="shared" si="44"/>
        <v>1.0297044027208526</v>
      </c>
      <c r="BE48" s="212">
        <f t="shared" si="44"/>
        <v>1.0447260972663071</v>
      </c>
      <c r="BF48" s="212">
        <f t="shared" si="44"/>
        <v>1.0357130805390342</v>
      </c>
      <c r="BG48" s="212">
        <f t="shared" si="44"/>
        <v>1.0387174194481252</v>
      </c>
      <c r="BH48" s="212">
        <f t="shared" si="44"/>
        <v>1.0417894067302984</v>
      </c>
    </row>
    <row r="50" spans="1:60" x14ac:dyDescent="0.2">
      <c r="M50" s="6" t="s">
        <v>239</v>
      </c>
      <c r="N50" s="79" t="s">
        <v>238</v>
      </c>
    </row>
    <row r="51" spans="1:60" x14ac:dyDescent="0.2">
      <c r="M51" s="139" t="s">
        <v>6</v>
      </c>
      <c r="N51" s="82" t="s">
        <v>238</v>
      </c>
      <c r="Q51" s="40">
        <f>'Price Analysis'!$C$16</f>
        <v>13.260391191314776</v>
      </c>
      <c r="R51" s="40">
        <f>'Price Analysis'!$C$16</f>
        <v>13.260391191314776</v>
      </c>
      <c r="S51" s="40">
        <f>'Price Analysis'!$C$16</f>
        <v>13.260391191314776</v>
      </c>
      <c r="T51" s="40">
        <f>'Price Analysis'!$C$16</f>
        <v>13.260391191314776</v>
      </c>
      <c r="U51" s="294">
        <f>'Price Analysis'!$C$16</f>
        <v>13.260391191314776</v>
      </c>
      <c r="V51" s="294">
        <f>U51</f>
        <v>13.260391191314776</v>
      </c>
      <c r="W51" s="294">
        <f>V51</f>
        <v>13.260391191314776</v>
      </c>
      <c r="X51" s="294">
        <f>AF51</f>
        <v>13.538859406332385</v>
      </c>
      <c r="Y51" s="294">
        <f>X51</f>
        <v>13.538859406332385</v>
      </c>
      <c r="Z51" s="294">
        <f t="shared" ref="Z51:AE51" si="45">Y51</f>
        <v>13.538859406332385</v>
      </c>
      <c r="AA51" s="294">
        <f t="shared" si="45"/>
        <v>13.538859406332385</v>
      </c>
      <c r="AB51" s="294">
        <f t="shared" si="45"/>
        <v>13.538859406332385</v>
      </c>
      <c r="AC51" s="294">
        <f t="shared" si="45"/>
        <v>13.538859406332385</v>
      </c>
      <c r="AD51" s="294">
        <f t="shared" si="45"/>
        <v>13.538859406332385</v>
      </c>
      <c r="AE51" s="294">
        <f t="shared" si="45"/>
        <v>13.538859406332385</v>
      </c>
      <c r="AF51" s="294">
        <f>U51*(1+Scenarios!$AA$13)</f>
        <v>13.538859406332385</v>
      </c>
      <c r="AG51" s="294">
        <f>AF51</f>
        <v>13.538859406332385</v>
      </c>
      <c r="AH51" s="314">
        <f>AG51</f>
        <v>13.538859406332385</v>
      </c>
      <c r="AI51" s="294">
        <f t="shared" ref="AI51:AT51" si="46">AH51</f>
        <v>13.538859406332385</v>
      </c>
      <c r="AJ51" s="294">
        <f t="shared" si="46"/>
        <v>13.538859406332385</v>
      </c>
      <c r="AK51" s="294">
        <f t="shared" si="46"/>
        <v>13.538859406332385</v>
      </c>
      <c r="AL51" s="294">
        <f t="shared" si="46"/>
        <v>13.538859406332385</v>
      </c>
      <c r="AM51" s="294">
        <f t="shared" si="46"/>
        <v>13.538859406332385</v>
      </c>
      <c r="AN51" s="294">
        <f t="shared" si="46"/>
        <v>13.538859406332385</v>
      </c>
      <c r="AO51" s="294">
        <f t="shared" si="46"/>
        <v>13.538859406332385</v>
      </c>
      <c r="AP51" s="294">
        <f t="shared" si="46"/>
        <v>13.538859406332385</v>
      </c>
      <c r="AQ51" s="294">
        <f t="shared" si="46"/>
        <v>13.538859406332385</v>
      </c>
      <c r="AR51" s="294">
        <f t="shared" si="46"/>
        <v>13.538859406332385</v>
      </c>
      <c r="AS51" s="294">
        <f t="shared" si="46"/>
        <v>13.538859406332385</v>
      </c>
      <c r="AT51" s="294">
        <f t="shared" si="46"/>
        <v>13.538859406332385</v>
      </c>
      <c r="AU51" s="315">
        <f>AF51*(1+Scenarios!$AN$13)</f>
        <v>13.809636594459032</v>
      </c>
      <c r="AV51" s="294">
        <f>BH51</f>
        <v>14.085829326348213</v>
      </c>
      <c r="AW51" s="294">
        <f>AV51</f>
        <v>14.085829326348213</v>
      </c>
      <c r="AX51" s="294">
        <f t="shared" ref="AX51:BG51" si="47">AW51</f>
        <v>14.085829326348213</v>
      </c>
      <c r="AY51" s="294">
        <f t="shared" si="47"/>
        <v>14.085829326348213</v>
      </c>
      <c r="AZ51" s="294">
        <f t="shared" si="47"/>
        <v>14.085829326348213</v>
      </c>
      <c r="BA51" s="294">
        <f t="shared" si="47"/>
        <v>14.085829326348213</v>
      </c>
      <c r="BB51" s="294">
        <f t="shared" si="47"/>
        <v>14.085829326348213</v>
      </c>
      <c r="BC51" s="294">
        <f t="shared" si="47"/>
        <v>14.085829326348213</v>
      </c>
      <c r="BD51" s="294">
        <f t="shared" si="47"/>
        <v>14.085829326348213</v>
      </c>
      <c r="BE51" s="294">
        <f t="shared" si="47"/>
        <v>14.085829326348213</v>
      </c>
      <c r="BF51" s="294">
        <f t="shared" si="47"/>
        <v>14.085829326348213</v>
      </c>
      <c r="BG51" s="294">
        <f t="shared" si="47"/>
        <v>14.085829326348213</v>
      </c>
      <c r="BH51" s="294">
        <f>AU51*(1+Scenarios!$BN$13)</f>
        <v>14.085829326348213</v>
      </c>
    </row>
    <row r="52" spans="1:60" x14ac:dyDescent="0.2">
      <c r="M52" s="139" t="s">
        <v>7</v>
      </c>
      <c r="N52" s="82" t="s">
        <v>238</v>
      </c>
      <c r="Q52" s="40">
        <f>'Price Analysis'!$C$17</f>
        <v>19.281658462659831</v>
      </c>
      <c r="R52" s="40">
        <f>'Price Analysis'!$C$17</f>
        <v>19.281658462659831</v>
      </c>
      <c r="S52" s="40">
        <f>'Price Analysis'!$C$17</f>
        <v>19.281658462659831</v>
      </c>
      <c r="T52" s="40">
        <f>'Price Analysis'!$C$17</f>
        <v>19.281658462659831</v>
      </c>
      <c r="U52" s="294">
        <f>'Price Analysis'!$C$17</f>
        <v>19.281658462659831</v>
      </c>
      <c r="V52" s="294">
        <f t="shared" ref="V52:W54" si="48">U52</f>
        <v>19.281658462659831</v>
      </c>
      <c r="W52" s="294">
        <f t="shared" si="48"/>
        <v>19.281658462659831</v>
      </c>
      <c r="X52" s="294">
        <f t="shared" ref="X52:X54" si="49">AF52</f>
        <v>19.686573290375684</v>
      </c>
      <c r="Y52" s="294">
        <f t="shared" ref="Y52:AE54" si="50">X52</f>
        <v>19.686573290375684</v>
      </c>
      <c r="Z52" s="294">
        <f t="shared" si="50"/>
        <v>19.686573290375684</v>
      </c>
      <c r="AA52" s="294">
        <f t="shared" si="50"/>
        <v>19.686573290375684</v>
      </c>
      <c r="AB52" s="294">
        <f t="shared" si="50"/>
        <v>19.686573290375684</v>
      </c>
      <c r="AC52" s="294">
        <f t="shared" si="50"/>
        <v>19.686573290375684</v>
      </c>
      <c r="AD52" s="294">
        <f t="shared" si="50"/>
        <v>19.686573290375684</v>
      </c>
      <c r="AE52" s="294">
        <f t="shared" si="50"/>
        <v>19.686573290375684</v>
      </c>
      <c r="AF52" s="294">
        <f>U52*(1+Scenarios!$AA$13)</f>
        <v>19.686573290375684</v>
      </c>
      <c r="AG52" s="294">
        <f t="shared" ref="AG52:AG54" si="51">AF52</f>
        <v>19.686573290375684</v>
      </c>
      <c r="AH52" s="314">
        <f t="shared" ref="AH52:AT54" si="52">AG52</f>
        <v>19.686573290375684</v>
      </c>
      <c r="AI52" s="294">
        <f t="shared" si="52"/>
        <v>19.686573290375684</v>
      </c>
      <c r="AJ52" s="294">
        <f t="shared" si="52"/>
        <v>19.686573290375684</v>
      </c>
      <c r="AK52" s="294">
        <f t="shared" si="52"/>
        <v>19.686573290375684</v>
      </c>
      <c r="AL52" s="294">
        <f t="shared" si="52"/>
        <v>19.686573290375684</v>
      </c>
      <c r="AM52" s="294">
        <f t="shared" si="52"/>
        <v>19.686573290375684</v>
      </c>
      <c r="AN52" s="294">
        <f t="shared" si="52"/>
        <v>19.686573290375684</v>
      </c>
      <c r="AO52" s="294">
        <f t="shared" si="52"/>
        <v>19.686573290375684</v>
      </c>
      <c r="AP52" s="294">
        <f t="shared" si="52"/>
        <v>19.686573290375684</v>
      </c>
      <c r="AQ52" s="294">
        <f t="shared" si="52"/>
        <v>19.686573290375684</v>
      </c>
      <c r="AR52" s="294">
        <f t="shared" si="52"/>
        <v>19.686573290375684</v>
      </c>
      <c r="AS52" s="294">
        <f t="shared" si="52"/>
        <v>19.686573290375684</v>
      </c>
      <c r="AT52" s="294">
        <f t="shared" si="52"/>
        <v>19.686573290375684</v>
      </c>
      <c r="AU52" s="314">
        <f>AF52*(1+Scenarios!$AN$13)</f>
        <v>20.080304756183196</v>
      </c>
      <c r="AV52" s="294">
        <f t="shared" ref="AV52:AV54" si="53">BH52</f>
        <v>20.481910851306861</v>
      </c>
      <c r="AW52" s="294">
        <f t="shared" ref="AW52:BG54" si="54">AV52</f>
        <v>20.481910851306861</v>
      </c>
      <c r="AX52" s="294">
        <f t="shared" si="54"/>
        <v>20.481910851306861</v>
      </c>
      <c r="AY52" s="294">
        <f t="shared" si="54"/>
        <v>20.481910851306861</v>
      </c>
      <c r="AZ52" s="294">
        <f t="shared" si="54"/>
        <v>20.481910851306861</v>
      </c>
      <c r="BA52" s="294">
        <f t="shared" si="54"/>
        <v>20.481910851306861</v>
      </c>
      <c r="BB52" s="294">
        <f t="shared" si="54"/>
        <v>20.481910851306861</v>
      </c>
      <c r="BC52" s="294">
        <f t="shared" si="54"/>
        <v>20.481910851306861</v>
      </c>
      <c r="BD52" s="294">
        <f t="shared" si="54"/>
        <v>20.481910851306861</v>
      </c>
      <c r="BE52" s="294">
        <f t="shared" si="54"/>
        <v>20.481910851306861</v>
      </c>
      <c r="BF52" s="294">
        <f t="shared" si="54"/>
        <v>20.481910851306861</v>
      </c>
      <c r="BG52" s="294">
        <f t="shared" si="54"/>
        <v>20.481910851306861</v>
      </c>
      <c r="BH52" s="294">
        <f>AU52*(1+Scenarios!$BN$13)</f>
        <v>20.481910851306861</v>
      </c>
    </row>
    <row r="53" spans="1:60" x14ac:dyDescent="0.2">
      <c r="M53" s="139" t="s">
        <v>121</v>
      </c>
      <c r="N53" s="82" t="s">
        <v>238</v>
      </c>
      <c r="Q53" s="40">
        <f>'Price Analysis'!$C$18</f>
        <v>17.729268401127385</v>
      </c>
      <c r="R53" s="40">
        <f>'Price Analysis'!$C$18</f>
        <v>17.729268401127385</v>
      </c>
      <c r="S53" s="40">
        <f>'Price Analysis'!$C$18</f>
        <v>17.729268401127385</v>
      </c>
      <c r="T53" s="40">
        <f>'Price Analysis'!$C$18</f>
        <v>17.729268401127385</v>
      </c>
      <c r="U53" s="294">
        <f>'Price Analysis'!$C$18</f>
        <v>17.729268401127385</v>
      </c>
      <c r="V53" s="294">
        <f t="shared" si="48"/>
        <v>17.729268401127385</v>
      </c>
      <c r="W53" s="294">
        <f t="shared" si="48"/>
        <v>17.729268401127385</v>
      </c>
      <c r="X53" s="294">
        <f t="shared" si="49"/>
        <v>18.101583037551059</v>
      </c>
      <c r="Y53" s="294">
        <f t="shared" si="50"/>
        <v>18.101583037551059</v>
      </c>
      <c r="Z53" s="294">
        <f t="shared" si="50"/>
        <v>18.101583037551059</v>
      </c>
      <c r="AA53" s="294">
        <f t="shared" si="50"/>
        <v>18.101583037551059</v>
      </c>
      <c r="AB53" s="294">
        <f t="shared" si="50"/>
        <v>18.101583037551059</v>
      </c>
      <c r="AC53" s="294">
        <f t="shared" si="50"/>
        <v>18.101583037551059</v>
      </c>
      <c r="AD53" s="294">
        <f t="shared" si="50"/>
        <v>18.101583037551059</v>
      </c>
      <c r="AE53" s="294">
        <f t="shared" si="50"/>
        <v>18.101583037551059</v>
      </c>
      <c r="AF53" s="294">
        <f>U53*(1+Scenarios!$AA$13)</f>
        <v>18.101583037551059</v>
      </c>
      <c r="AG53" s="294">
        <f t="shared" si="51"/>
        <v>18.101583037551059</v>
      </c>
      <c r="AH53" s="294">
        <f>AG53</f>
        <v>18.101583037551059</v>
      </c>
      <c r="AI53" s="294">
        <f t="shared" si="52"/>
        <v>18.101583037551059</v>
      </c>
      <c r="AJ53" s="294">
        <f t="shared" si="52"/>
        <v>18.101583037551059</v>
      </c>
      <c r="AK53" s="294">
        <f t="shared" si="52"/>
        <v>18.101583037551059</v>
      </c>
      <c r="AL53" s="294">
        <f t="shared" si="52"/>
        <v>18.101583037551059</v>
      </c>
      <c r="AM53" s="294">
        <f t="shared" si="52"/>
        <v>18.101583037551059</v>
      </c>
      <c r="AN53" s="294">
        <f t="shared" si="52"/>
        <v>18.101583037551059</v>
      </c>
      <c r="AO53" s="294">
        <f t="shared" si="52"/>
        <v>18.101583037551059</v>
      </c>
      <c r="AP53" s="294">
        <f t="shared" si="52"/>
        <v>18.101583037551059</v>
      </c>
      <c r="AQ53" s="294">
        <f t="shared" si="52"/>
        <v>18.101583037551059</v>
      </c>
      <c r="AR53" s="294">
        <f t="shared" si="52"/>
        <v>18.101583037551059</v>
      </c>
      <c r="AS53" s="294">
        <f t="shared" si="52"/>
        <v>18.101583037551059</v>
      </c>
      <c r="AT53" s="294">
        <f t="shared" si="52"/>
        <v>18.101583037551059</v>
      </c>
      <c r="AU53" s="294">
        <f>AF53*(1+Scenarios!$AN$13)</f>
        <v>18.463614698302081</v>
      </c>
      <c r="AV53" s="294">
        <f t="shared" si="53"/>
        <v>18.832886992268122</v>
      </c>
      <c r="AW53" s="294">
        <f t="shared" si="54"/>
        <v>18.832886992268122</v>
      </c>
      <c r="AX53" s="294">
        <f t="shared" si="54"/>
        <v>18.832886992268122</v>
      </c>
      <c r="AY53" s="294">
        <f t="shared" si="54"/>
        <v>18.832886992268122</v>
      </c>
      <c r="AZ53" s="294">
        <f t="shared" si="54"/>
        <v>18.832886992268122</v>
      </c>
      <c r="BA53" s="294">
        <f t="shared" si="54"/>
        <v>18.832886992268122</v>
      </c>
      <c r="BB53" s="294">
        <f t="shared" si="54"/>
        <v>18.832886992268122</v>
      </c>
      <c r="BC53" s="294">
        <f t="shared" si="54"/>
        <v>18.832886992268122</v>
      </c>
      <c r="BD53" s="294">
        <f t="shared" si="54"/>
        <v>18.832886992268122</v>
      </c>
      <c r="BE53" s="294">
        <f t="shared" si="54"/>
        <v>18.832886992268122</v>
      </c>
      <c r="BF53" s="294">
        <f t="shared" si="54"/>
        <v>18.832886992268122</v>
      </c>
      <c r="BG53" s="294">
        <f t="shared" si="54"/>
        <v>18.832886992268122</v>
      </c>
      <c r="BH53" s="294">
        <f>AU53*(1+Scenarios!$BN$13)</f>
        <v>18.832886992268122</v>
      </c>
    </row>
    <row r="54" spans="1:60" x14ac:dyDescent="0.2">
      <c r="M54" s="139" t="s">
        <v>122</v>
      </c>
      <c r="N54" s="82" t="s">
        <v>238</v>
      </c>
      <c r="Q54" s="40">
        <f>'Price Analysis'!$C$19</f>
        <v>10.292289606837606</v>
      </c>
      <c r="R54" s="40">
        <f>'Price Analysis'!$C$19</f>
        <v>10.292289606837606</v>
      </c>
      <c r="S54" s="40">
        <f>'Price Analysis'!$C$19</f>
        <v>10.292289606837606</v>
      </c>
      <c r="T54" s="40">
        <f>'Price Analysis'!$C$19</f>
        <v>10.292289606837606</v>
      </c>
      <c r="U54" s="294">
        <f>'Price Analysis'!$C$19</f>
        <v>10.292289606837606</v>
      </c>
      <c r="V54" s="294">
        <f t="shared" si="48"/>
        <v>10.292289606837606</v>
      </c>
      <c r="W54" s="294">
        <f t="shared" si="48"/>
        <v>10.292289606837606</v>
      </c>
      <c r="X54" s="294">
        <f t="shared" si="49"/>
        <v>10.508427688581195</v>
      </c>
      <c r="Y54" s="294">
        <f t="shared" si="50"/>
        <v>10.508427688581195</v>
      </c>
      <c r="Z54" s="294">
        <f t="shared" si="50"/>
        <v>10.508427688581195</v>
      </c>
      <c r="AA54" s="294">
        <f t="shared" si="50"/>
        <v>10.508427688581195</v>
      </c>
      <c r="AB54" s="294">
        <f t="shared" si="50"/>
        <v>10.508427688581195</v>
      </c>
      <c r="AC54" s="294">
        <f t="shared" si="50"/>
        <v>10.508427688581195</v>
      </c>
      <c r="AD54" s="294">
        <f t="shared" si="50"/>
        <v>10.508427688581195</v>
      </c>
      <c r="AE54" s="294">
        <f t="shared" si="50"/>
        <v>10.508427688581195</v>
      </c>
      <c r="AF54" s="294">
        <f>U54*(1+Scenarios!$AA$13)</f>
        <v>10.508427688581195</v>
      </c>
      <c r="AG54" s="294">
        <f t="shared" si="51"/>
        <v>10.508427688581195</v>
      </c>
      <c r="AH54" s="294">
        <f t="shared" si="52"/>
        <v>10.508427688581195</v>
      </c>
      <c r="AI54" s="294">
        <f t="shared" si="52"/>
        <v>10.508427688581195</v>
      </c>
      <c r="AJ54" s="294">
        <f t="shared" si="52"/>
        <v>10.508427688581195</v>
      </c>
      <c r="AK54" s="294">
        <f t="shared" si="52"/>
        <v>10.508427688581195</v>
      </c>
      <c r="AL54" s="294">
        <f t="shared" si="52"/>
        <v>10.508427688581195</v>
      </c>
      <c r="AM54" s="294">
        <f t="shared" si="52"/>
        <v>10.508427688581195</v>
      </c>
      <c r="AN54" s="294">
        <f t="shared" si="52"/>
        <v>10.508427688581195</v>
      </c>
      <c r="AO54" s="294">
        <f t="shared" si="52"/>
        <v>10.508427688581195</v>
      </c>
      <c r="AP54" s="294">
        <f t="shared" si="52"/>
        <v>10.508427688581195</v>
      </c>
      <c r="AQ54" s="294">
        <f t="shared" si="52"/>
        <v>10.508427688581195</v>
      </c>
      <c r="AR54" s="294">
        <f t="shared" si="52"/>
        <v>10.508427688581195</v>
      </c>
      <c r="AS54" s="294">
        <f t="shared" si="52"/>
        <v>10.508427688581195</v>
      </c>
      <c r="AT54" s="294">
        <f t="shared" si="52"/>
        <v>10.508427688581195</v>
      </c>
      <c r="AU54" s="294">
        <f>AF54*(1+Scenarios!$AN$13)</f>
        <v>10.718596242352818</v>
      </c>
      <c r="AV54" s="294">
        <f t="shared" si="53"/>
        <v>10.932968167199874</v>
      </c>
      <c r="AW54" s="294">
        <f t="shared" si="54"/>
        <v>10.932968167199874</v>
      </c>
      <c r="AX54" s="294">
        <f t="shared" si="54"/>
        <v>10.932968167199874</v>
      </c>
      <c r="AY54" s="294">
        <f t="shared" si="54"/>
        <v>10.932968167199874</v>
      </c>
      <c r="AZ54" s="294">
        <f t="shared" si="54"/>
        <v>10.932968167199874</v>
      </c>
      <c r="BA54" s="294">
        <f t="shared" si="54"/>
        <v>10.932968167199874</v>
      </c>
      <c r="BB54" s="294">
        <f t="shared" si="54"/>
        <v>10.932968167199874</v>
      </c>
      <c r="BC54" s="294">
        <f t="shared" si="54"/>
        <v>10.932968167199874</v>
      </c>
      <c r="BD54" s="294">
        <f t="shared" si="54"/>
        <v>10.932968167199874</v>
      </c>
      <c r="BE54" s="294">
        <f t="shared" si="54"/>
        <v>10.932968167199874</v>
      </c>
      <c r="BF54" s="294">
        <f t="shared" si="54"/>
        <v>10.932968167199874</v>
      </c>
      <c r="BG54" s="294">
        <f t="shared" si="54"/>
        <v>10.932968167199874</v>
      </c>
      <c r="BH54" s="294">
        <f>AU54*(1+Scenarios!$BN$13)</f>
        <v>10.932968167199874</v>
      </c>
    </row>
    <row r="56" spans="1:60" x14ac:dyDescent="0.2">
      <c r="A56" s="114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284" t="s">
        <v>373</v>
      </c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</row>
    <row r="57" spans="1:60" x14ac:dyDescent="0.2">
      <c r="M57" s="285" t="s">
        <v>375</v>
      </c>
    </row>
    <row r="58" spans="1:60" x14ac:dyDescent="0.2">
      <c r="M58" s="139" t="s">
        <v>271</v>
      </c>
      <c r="U58" s="75">
        <f>'Model '!J91</f>
        <v>441867.96546970739</v>
      </c>
      <c r="AH58" s="75">
        <f>'Model '!K91</f>
        <v>639108.44305488898</v>
      </c>
      <c r="AU58" s="75">
        <f>'Model '!L91</f>
        <v>738544.84251328558</v>
      </c>
      <c r="BH58" s="75">
        <f>'Model '!M91</f>
        <v>719793.63906185026</v>
      </c>
    </row>
    <row r="59" spans="1:60" x14ac:dyDescent="0.2">
      <c r="M59" s="139" t="s">
        <v>277</v>
      </c>
      <c r="U59" s="75">
        <f>'Model '!J102</f>
        <v>62866.060808694885</v>
      </c>
      <c r="AH59" s="75">
        <f>'Model '!K102</f>
        <v>257172.73974170329</v>
      </c>
      <c r="AU59" s="75">
        <f>'Model '!L102</f>
        <v>330319.97169097367</v>
      </c>
      <c r="BH59" s="75">
        <f>'Model '!M102</f>
        <v>498829.37324504857</v>
      </c>
    </row>
    <row r="60" spans="1:60" x14ac:dyDescent="0.2">
      <c r="M60" s="139" t="s">
        <v>367</v>
      </c>
      <c r="U60" s="75">
        <f>'Model '!J107</f>
        <v>379001.90466101246</v>
      </c>
      <c r="AH60" s="75">
        <f>'Model '!K107</f>
        <v>381935.70331318578</v>
      </c>
      <c r="AU60" s="75">
        <f>'Model '!L107</f>
        <v>408224.87082231184</v>
      </c>
      <c r="BH60" s="75">
        <f>'Model '!M107</f>
        <v>220964.26581680161</v>
      </c>
    </row>
    <row r="61" spans="1:60" x14ac:dyDescent="0.2">
      <c r="M61" s="139" t="s">
        <v>210</v>
      </c>
      <c r="U61" s="75">
        <f>'Model '!J60</f>
        <v>-147383.75473668327</v>
      </c>
      <c r="AH61" s="75">
        <f>'Model '!K60</f>
        <v>46793.044426278982</v>
      </c>
      <c r="AU61" s="75">
        <f>'Model '!L60</f>
        <v>-15333.325819743957</v>
      </c>
      <c r="BH61" s="75">
        <f>'Model '!M60</f>
        <v>-736.766995097365</v>
      </c>
    </row>
    <row r="62" spans="1:60" x14ac:dyDescent="0.2">
      <c r="A62" s="114"/>
      <c r="M62" s="140" t="s">
        <v>368</v>
      </c>
      <c r="N62" s="114"/>
      <c r="O62" s="114"/>
      <c r="P62" s="114"/>
      <c r="Q62" s="114"/>
      <c r="R62" s="114"/>
      <c r="S62" s="114"/>
      <c r="T62" s="114"/>
      <c r="U62" s="144">
        <f>'Model '!J75</f>
        <v>231618.14992432919</v>
      </c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44">
        <f>'Model '!K75</f>
        <v>281344.99300278147</v>
      </c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44">
        <f>'Model '!L75</f>
        <v>292300.83469216357</v>
      </c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44">
        <f>'Model '!M75</f>
        <v>104303.46269155605</v>
      </c>
    </row>
    <row r="63" spans="1:60" x14ac:dyDescent="0.2">
      <c r="M63" s="142" t="s">
        <v>376</v>
      </c>
    </row>
    <row r="64" spans="1:60" x14ac:dyDescent="0.2">
      <c r="M64" s="139" t="s">
        <v>369</v>
      </c>
      <c r="U64" s="77">
        <f>U58/U59</f>
        <v>7.028720422205831</v>
      </c>
      <c r="V64" s="77" t="e">
        <f t="shared" ref="V64:BH64" si="55">V58/V59</f>
        <v>#DIV/0!</v>
      </c>
      <c r="W64" s="77" t="e">
        <f t="shared" si="55"/>
        <v>#DIV/0!</v>
      </c>
      <c r="X64" s="77" t="e">
        <f t="shared" si="55"/>
        <v>#DIV/0!</v>
      </c>
      <c r="Y64" s="77" t="e">
        <f t="shared" si="55"/>
        <v>#DIV/0!</v>
      </c>
      <c r="Z64" s="77" t="e">
        <f t="shared" si="55"/>
        <v>#DIV/0!</v>
      </c>
      <c r="AA64" s="77" t="e">
        <f t="shared" si="55"/>
        <v>#DIV/0!</v>
      </c>
      <c r="AB64" s="77" t="e">
        <f t="shared" si="55"/>
        <v>#DIV/0!</v>
      </c>
      <c r="AC64" s="77" t="e">
        <f t="shared" si="55"/>
        <v>#DIV/0!</v>
      </c>
      <c r="AD64" s="77" t="e">
        <f t="shared" si="55"/>
        <v>#DIV/0!</v>
      </c>
      <c r="AE64" s="77" t="e">
        <f t="shared" si="55"/>
        <v>#DIV/0!</v>
      </c>
      <c r="AF64" s="77" t="e">
        <f t="shared" si="55"/>
        <v>#DIV/0!</v>
      </c>
      <c r="AG64" s="77" t="e">
        <f t="shared" si="55"/>
        <v>#DIV/0!</v>
      </c>
      <c r="AH64" s="77">
        <f t="shared" si="55"/>
        <v>2.4851329254289962</v>
      </c>
      <c r="AI64" s="77" t="e">
        <f t="shared" si="55"/>
        <v>#DIV/0!</v>
      </c>
      <c r="AJ64" s="77" t="e">
        <f t="shared" si="55"/>
        <v>#DIV/0!</v>
      </c>
      <c r="AK64" s="77" t="e">
        <f t="shared" si="55"/>
        <v>#DIV/0!</v>
      </c>
      <c r="AL64" s="77" t="e">
        <f t="shared" si="55"/>
        <v>#DIV/0!</v>
      </c>
      <c r="AM64" s="77" t="e">
        <f t="shared" si="55"/>
        <v>#DIV/0!</v>
      </c>
      <c r="AN64" s="77" t="e">
        <f t="shared" si="55"/>
        <v>#DIV/0!</v>
      </c>
      <c r="AO64" s="77" t="e">
        <f t="shared" si="55"/>
        <v>#DIV/0!</v>
      </c>
      <c r="AP64" s="77" t="e">
        <f t="shared" si="55"/>
        <v>#DIV/0!</v>
      </c>
      <c r="AQ64" s="77" t="e">
        <f t="shared" si="55"/>
        <v>#DIV/0!</v>
      </c>
      <c r="AR64" s="77" t="e">
        <f t="shared" si="55"/>
        <v>#DIV/0!</v>
      </c>
      <c r="AS64" s="77" t="e">
        <f t="shared" si="55"/>
        <v>#DIV/0!</v>
      </c>
      <c r="AT64" s="77" t="e">
        <f t="shared" si="55"/>
        <v>#DIV/0!</v>
      </c>
      <c r="AU64" s="77">
        <f t="shared" si="55"/>
        <v>2.2358467722448858</v>
      </c>
      <c r="AV64" s="77" t="e">
        <f t="shared" si="55"/>
        <v>#DIV/0!</v>
      </c>
      <c r="AW64" s="77" t="e">
        <f t="shared" si="55"/>
        <v>#DIV/0!</v>
      </c>
      <c r="AX64" s="77" t="e">
        <f t="shared" si="55"/>
        <v>#DIV/0!</v>
      </c>
      <c r="AY64" s="77" t="e">
        <f t="shared" si="55"/>
        <v>#DIV/0!</v>
      </c>
      <c r="AZ64" s="77" t="e">
        <f t="shared" si="55"/>
        <v>#DIV/0!</v>
      </c>
      <c r="BA64" s="77" t="e">
        <f t="shared" si="55"/>
        <v>#DIV/0!</v>
      </c>
      <c r="BB64" s="77" t="e">
        <f t="shared" si="55"/>
        <v>#DIV/0!</v>
      </c>
      <c r="BC64" s="77" t="e">
        <f t="shared" si="55"/>
        <v>#DIV/0!</v>
      </c>
      <c r="BD64" s="77" t="e">
        <f t="shared" si="55"/>
        <v>#DIV/0!</v>
      </c>
      <c r="BE64" s="77" t="e">
        <f t="shared" si="55"/>
        <v>#DIV/0!</v>
      </c>
      <c r="BF64" s="77" t="e">
        <f t="shared" si="55"/>
        <v>#DIV/0!</v>
      </c>
      <c r="BG64" s="77" t="e">
        <f t="shared" si="55"/>
        <v>#DIV/0!</v>
      </c>
      <c r="BH64" s="77">
        <f t="shared" si="55"/>
        <v>1.4429656264613222</v>
      </c>
    </row>
    <row r="65" spans="1:60" x14ac:dyDescent="0.2">
      <c r="M65" s="139" t="s">
        <v>370</v>
      </c>
      <c r="U65" s="77">
        <f>('Model '!J82+'Model '!J83)/'Model '!J94</f>
        <v>4.8390456589975006</v>
      </c>
      <c r="V65" s="77" t="e">
        <f t="shared" ref="V65:BG65" si="56">V62/V58</f>
        <v>#DIV/0!</v>
      </c>
      <c r="W65" s="77" t="e">
        <f t="shared" si="56"/>
        <v>#DIV/0!</v>
      </c>
      <c r="X65" s="77" t="e">
        <f t="shared" si="56"/>
        <v>#DIV/0!</v>
      </c>
      <c r="Y65" s="77" t="e">
        <f t="shared" si="56"/>
        <v>#DIV/0!</v>
      </c>
      <c r="Z65" s="77" t="e">
        <f t="shared" si="56"/>
        <v>#DIV/0!</v>
      </c>
      <c r="AA65" s="77" t="e">
        <f t="shared" si="56"/>
        <v>#DIV/0!</v>
      </c>
      <c r="AB65" s="77" t="e">
        <f t="shared" si="56"/>
        <v>#DIV/0!</v>
      </c>
      <c r="AC65" s="77" t="e">
        <f t="shared" si="56"/>
        <v>#DIV/0!</v>
      </c>
      <c r="AD65" s="77" t="e">
        <f t="shared" si="56"/>
        <v>#DIV/0!</v>
      </c>
      <c r="AE65" s="77" t="e">
        <f t="shared" si="56"/>
        <v>#DIV/0!</v>
      </c>
      <c r="AF65" s="77" t="e">
        <f t="shared" si="56"/>
        <v>#DIV/0!</v>
      </c>
      <c r="AG65" s="77" t="e">
        <f t="shared" si="56"/>
        <v>#DIV/0!</v>
      </c>
      <c r="AH65" s="77">
        <f>('Model '!K82+'Model '!K83)/'Model '!K97</f>
        <v>1.6736669788856646</v>
      </c>
      <c r="AI65" s="77" t="e">
        <f t="shared" si="56"/>
        <v>#DIV/0!</v>
      </c>
      <c r="AJ65" s="77" t="e">
        <f t="shared" si="56"/>
        <v>#DIV/0!</v>
      </c>
      <c r="AK65" s="77" t="e">
        <f t="shared" si="56"/>
        <v>#DIV/0!</v>
      </c>
      <c r="AL65" s="77" t="e">
        <f t="shared" si="56"/>
        <v>#DIV/0!</v>
      </c>
      <c r="AM65" s="77" t="e">
        <f t="shared" si="56"/>
        <v>#DIV/0!</v>
      </c>
      <c r="AN65" s="77" t="e">
        <f t="shared" si="56"/>
        <v>#DIV/0!</v>
      </c>
      <c r="AO65" s="77" t="e">
        <f t="shared" si="56"/>
        <v>#DIV/0!</v>
      </c>
      <c r="AP65" s="77" t="e">
        <f t="shared" si="56"/>
        <v>#DIV/0!</v>
      </c>
      <c r="AQ65" s="77" t="e">
        <f t="shared" si="56"/>
        <v>#DIV/0!</v>
      </c>
      <c r="AR65" s="77" t="e">
        <f t="shared" si="56"/>
        <v>#DIV/0!</v>
      </c>
      <c r="AS65" s="77" t="e">
        <f t="shared" si="56"/>
        <v>#DIV/0!</v>
      </c>
      <c r="AT65" s="77" t="e">
        <f t="shared" si="56"/>
        <v>#DIV/0!</v>
      </c>
      <c r="AU65" s="77">
        <f>('Model '!L82+'Model '!L83)/'Model '!L97</f>
        <v>1.4651150022654365</v>
      </c>
      <c r="AV65" s="77" t="e">
        <f t="shared" si="56"/>
        <v>#DIV/0!</v>
      </c>
      <c r="AW65" s="77" t="e">
        <f t="shared" si="56"/>
        <v>#DIV/0!</v>
      </c>
      <c r="AX65" s="77" t="e">
        <f t="shared" si="56"/>
        <v>#DIV/0!</v>
      </c>
      <c r="AY65" s="77" t="e">
        <f t="shared" si="56"/>
        <v>#DIV/0!</v>
      </c>
      <c r="AZ65" s="77" t="e">
        <f t="shared" si="56"/>
        <v>#DIV/0!</v>
      </c>
      <c r="BA65" s="77" t="e">
        <f t="shared" si="56"/>
        <v>#DIV/0!</v>
      </c>
      <c r="BB65" s="77" t="e">
        <f t="shared" si="56"/>
        <v>#DIV/0!</v>
      </c>
      <c r="BC65" s="77" t="e">
        <f t="shared" si="56"/>
        <v>#DIV/0!</v>
      </c>
      <c r="BD65" s="77" t="e">
        <f t="shared" si="56"/>
        <v>#DIV/0!</v>
      </c>
      <c r="BE65" s="77" t="e">
        <f t="shared" si="56"/>
        <v>#DIV/0!</v>
      </c>
      <c r="BF65" s="77" t="e">
        <f t="shared" si="56"/>
        <v>#DIV/0!</v>
      </c>
      <c r="BG65" s="77" t="e">
        <f t="shared" si="56"/>
        <v>#DIV/0!</v>
      </c>
      <c r="BH65" s="77">
        <f>('Model '!M82+'Model '!M83)/'Model '!M97</f>
        <v>0.79048076355576513</v>
      </c>
    </row>
    <row r="66" spans="1:60" x14ac:dyDescent="0.2">
      <c r="M66" s="139" t="s">
        <v>371</v>
      </c>
      <c r="U66" s="77">
        <f>U12/U58</f>
        <v>0.66810438993747467</v>
      </c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>
        <f>AH12/AVERAGE(AH58,U58)</f>
        <v>3.3557891298920919</v>
      </c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>
        <f>AU12/AVERAGE(AU58,AH58)</f>
        <v>3.3851965699731479</v>
      </c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>
        <f>BH12/AVERAGE(BH58,AU58)</f>
        <v>4.8522905906896767</v>
      </c>
    </row>
    <row r="67" spans="1:60" x14ac:dyDescent="0.2">
      <c r="M67" s="139" t="s">
        <v>216</v>
      </c>
      <c r="U67">
        <f>'Model '!J126</f>
        <v>30</v>
      </c>
      <c r="AH67">
        <f>'Model '!K126</f>
        <v>30</v>
      </c>
      <c r="AU67">
        <f>'Model '!L126</f>
        <v>30</v>
      </c>
      <c r="BH67">
        <f>'Model '!M126</f>
        <v>30</v>
      </c>
    </row>
    <row r="68" spans="1:60" x14ac:dyDescent="0.2">
      <c r="M68" s="139" t="s">
        <v>42</v>
      </c>
      <c r="U68" s="41">
        <f>'Model '!J128</f>
        <v>196.5322840748461</v>
      </c>
      <c r="AH68" s="41">
        <f>'Model '!K128</f>
        <v>48.687956792599898</v>
      </c>
      <c r="AU68" s="41">
        <f>'Model '!L128</f>
        <v>23.121953099383482</v>
      </c>
      <c r="BH68" s="41">
        <f>'Model '!M128</f>
        <v>19.521063521354783</v>
      </c>
    </row>
    <row r="69" spans="1:60" x14ac:dyDescent="0.2">
      <c r="M69" s="139" t="s">
        <v>217</v>
      </c>
      <c r="U69">
        <f>'Model '!J127</f>
        <v>30</v>
      </c>
      <c r="AH69">
        <f>'Model '!K127</f>
        <v>30</v>
      </c>
      <c r="AU69">
        <f>'Model '!L127</f>
        <v>30</v>
      </c>
      <c r="BH69">
        <f>'Model '!M127</f>
        <v>30</v>
      </c>
    </row>
    <row r="70" spans="1:60" x14ac:dyDescent="0.2">
      <c r="A70" s="114"/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40" t="s">
        <v>372</v>
      </c>
      <c r="N70" s="114"/>
      <c r="O70" s="114"/>
      <c r="P70" s="114"/>
      <c r="Q70" s="114"/>
      <c r="R70" s="114"/>
      <c r="S70" s="114"/>
      <c r="T70" s="114"/>
      <c r="U70" s="292">
        <f>U68+U67-U69</f>
        <v>196.5322840748461</v>
      </c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292">
        <f>AH68+AH67-AH69</f>
        <v>48.687956792599891</v>
      </c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292">
        <f>AU68+AU67-AU69</f>
        <v>23.121953099383482</v>
      </c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292">
        <f>BH68+BH67-BH69</f>
        <v>19.521063521354783</v>
      </c>
    </row>
    <row r="71" spans="1:60" x14ac:dyDescent="0.2">
      <c r="M71" s="142" t="s">
        <v>377</v>
      </c>
    </row>
    <row r="72" spans="1:60" x14ac:dyDescent="0.2">
      <c r="M72" s="139" t="s">
        <v>284</v>
      </c>
      <c r="P72" s="38">
        <f>'Investor Returns'!E12</f>
        <v>0.24146023400647953</v>
      </c>
    </row>
    <row r="73" spans="1:60" x14ac:dyDescent="0.2">
      <c r="M73" s="139" t="s">
        <v>374</v>
      </c>
      <c r="P73" s="38">
        <f>'Investor Returns'!E16</f>
        <v>1.7139140271092637</v>
      </c>
    </row>
    <row r="74" spans="1:60" x14ac:dyDescent="0.2">
      <c r="M74" s="140" t="s">
        <v>283</v>
      </c>
      <c r="N74" s="114"/>
      <c r="O74" s="114"/>
      <c r="P74" s="293">
        <f>'Investor Returns'!E14</f>
        <v>2.3926604509805149</v>
      </c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313">
        <f>'Investor Returns'!L14</f>
        <v>0</v>
      </c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>
        <f>'Investor Returns'!M14</f>
        <v>0</v>
      </c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>
        <f>'Investor Returns'!N14</f>
        <v>0</v>
      </c>
    </row>
    <row r="75" spans="1:60" x14ac:dyDescent="0.2">
      <c r="M75" s="142" t="s">
        <v>378</v>
      </c>
    </row>
    <row r="76" spans="1:60" x14ac:dyDescent="0.2">
      <c r="M76" s="139" t="s">
        <v>379</v>
      </c>
      <c r="P76" s="75">
        <f>'Production Funding'!G12</f>
        <v>240307.17983806771</v>
      </c>
    </row>
    <row r="77" spans="1:60" x14ac:dyDescent="0.2">
      <c r="M77" s="139" t="s">
        <v>380</v>
      </c>
      <c r="P77" s="75">
        <f>'Production Funding'!G13+'Production Funding'!G14</f>
        <v>99849.235150738794</v>
      </c>
    </row>
    <row r="78" spans="1:60" x14ac:dyDescent="0.2">
      <c r="M78" s="139" t="s">
        <v>381</v>
      </c>
      <c r="P78" s="75">
        <f>'Production Funding'!G18</f>
        <v>39843.585011193529</v>
      </c>
    </row>
    <row r="79" spans="1:60" x14ac:dyDescent="0.2">
      <c r="A79" s="114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205" t="s">
        <v>145</v>
      </c>
      <c r="N79" s="114"/>
      <c r="O79" s="114"/>
      <c r="P79" s="246">
        <f>'Production Funding'!G16</f>
        <v>380000</v>
      </c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</row>
    <row r="80" spans="1:60" x14ac:dyDescent="0.2">
      <c r="M80" s="143" t="s">
        <v>383</v>
      </c>
      <c r="AH80" s="128">
        <f>'Model '!K164</f>
        <v>0.55000000000000004</v>
      </c>
      <c r="AU80" s="128">
        <f>'Model '!L164</f>
        <v>0.55000000000000004</v>
      </c>
      <c r="BH80" s="128">
        <f>'Model '!M164</f>
        <v>0.55000000000000004</v>
      </c>
    </row>
    <row r="81" spans="13:60" x14ac:dyDescent="0.2">
      <c r="M81" s="143" t="s">
        <v>384</v>
      </c>
      <c r="AH81" s="128">
        <f>'Model '!K163</f>
        <v>0.1</v>
      </c>
      <c r="AU81" s="128">
        <f>'Model '!L163</f>
        <v>0.1</v>
      </c>
      <c r="BH81" s="128">
        <f>'Model '!M163</f>
        <v>0.8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4A357-8416-4AC7-9DAA-91EAB9964CF3}">
  <dimension ref="B2:BV234"/>
  <sheetViews>
    <sheetView showGridLines="0" topLeftCell="B1" zoomScale="97" workbookViewId="0">
      <pane xSplit="2" ySplit="6" topLeftCell="M18" activePane="bottomRight" state="frozen"/>
      <selection activeCell="B1" sqref="B1"/>
      <selection pane="topRight" activeCell="D1" sqref="D1"/>
      <selection pane="bottomLeft" activeCell="B8" sqref="B8"/>
      <selection pane="bottomRight" activeCell="N201" sqref="N201"/>
    </sheetView>
  </sheetViews>
  <sheetFormatPr baseColWidth="10" defaultColWidth="8.83203125" defaultRowHeight="15" outlineLevelCol="1" x14ac:dyDescent="0.2"/>
  <cols>
    <col min="1" max="1" width="4.33203125" customWidth="1"/>
    <col min="2" max="2" width="65.83203125" customWidth="1"/>
    <col min="3" max="3" width="16.83203125" customWidth="1"/>
    <col min="4" max="4" width="9.33203125" bestFit="1" customWidth="1"/>
    <col min="5" max="5" width="11.5" bestFit="1" customWidth="1"/>
    <col min="6" max="6" width="10.6640625" hidden="1" customWidth="1" outlineLevel="1"/>
    <col min="7" max="9" width="9.6640625" hidden="1" customWidth="1" outlineLevel="1"/>
    <col min="10" max="10" width="11" bestFit="1" customWidth="1" collapsed="1"/>
    <col min="11" max="13" width="11.1640625" bestFit="1" customWidth="1"/>
    <col min="14" max="14" width="18.5" bestFit="1" customWidth="1"/>
    <col min="15" max="15" width="10.6640625" hidden="1" customWidth="1" outlineLevel="1"/>
    <col min="16" max="16" width="9.6640625" hidden="1" customWidth="1" outlineLevel="1"/>
    <col min="17" max="26" width="10.6640625" hidden="1" customWidth="1" outlineLevel="1"/>
    <col min="27" max="27" width="11.6640625" bestFit="1" customWidth="1" collapsed="1"/>
    <col min="28" max="39" width="10.6640625" hidden="1" customWidth="1" outlineLevel="1"/>
    <col min="40" max="40" width="11.6640625" bestFit="1" customWidth="1" collapsed="1"/>
    <col min="41" max="52" width="10.6640625" hidden="1" customWidth="1" outlineLevel="1"/>
    <col min="53" max="53" width="11.6640625" bestFit="1" customWidth="1" collapsed="1"/>
    <col min="54" max="65" width="10.6640625" hidden="1" customWidth="1" outlineLevel="1"/>
    <col min="66" max="66" width="11.6640625" hidden="1" customWidth="1" outlineLevel="1"/>
    <col min="67" max="67" width="10.6640625" customWidth="1" collapsed="1"/>
    <col min="68" max="73" width="10.6640625" customWidth="1"/>
  </cols>
  <sheetData>
    <row r="2" spans="2:66" ht="28" x14ac:dyDescent="0.35">
      <c r="B2" s="5" t="str">
        <f>'Cover Page'!$B$6</f>
        <v>Solea</v>
      </c>
    </row>
    <row r="3" spans="2:66" x14ac:dyDescent="0.2">
      <c r="B3" s="6" t="str">
        <f>UPPER("currently running: "&amp;CHOOSE(Scenarios!$C$8,Scenarios!B15,Scenarios!B16,Scenarios!B17)&amp;" Scenario")</f>
        <v>CURRENTLY RUNNING: BASE CASE SCENARIO</v>
      </c>
    </row>
    <row r="4" spans="2:66" x14ac:dyDescent="0.2">
      <c r="B4" s="6" t="s">
        <v>1</v>
      </c>
    </row>
    <row r="5" spans="2:66" x14ac:dyDescent="0.2">
      <c r="B5" s="9" t="s">
        <v>2</v>
      </c>
      <c r="C5" s="9" t="s">
        <v>3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</row>
    <row r="6" spans="2:66" x14ac:dyDescent="0.2">
      <c r="B6" s="10" t="s">
        <v>59</v>
      </c>
      <c r="C6" s="10"/>
      <c r="D6" s="10"/>
      <c r="E6" s="10"/>
      <c r="F6" s="11">
        <v>45808</v>
      </c>
      <c r="G6" s="11">
        <v>45838</v>
      </c>
      <c r="H6" s="11">
        <f t="shared" ref="H6:M6" si="0">EOMONTH(EDATE(G6,1),0)</f>
        <v>45869</v>
      </c>
      <c r="I6" s="11">
        <f t="shared" si="0"/>
        <v>45900</v>
      </c>
      <c r="J6" s="11">
        <f t="shared" si="0"/>
        <v>45930</v>
      </c>
      <c r="K6" s="11">
        <f t="shared" si="0"/>
        <v>45961</v>
      </c>
      <c r="L6" s="11">
        <f t="shared" si="0"/>
        <v>45991</v>
      </c>
      <c r="M6" s="11">
        <f t="shared" si="0"/>
        <v>46022</v>
      </c>
      <c r="N6" s="10">
        <v>2025</v>
      </c>
      <c r="O6" s="11">
        <f>EOMONTH(EDATE(M6,1),0)</f>
        <v>46053</v>
      </c>
      <c r="P6" s="11">
        <f>EOMONTH(EDATE(O6,1),0)</f>
        <v>46081</v>
      </c>
      <c r="Q6" s="11">
        <f t="shared" ref="Q6:Z6" si="1">EOMONTH(EDATE(P6,1),0)</f>
        <v>46112</v>
      </c>
      <c r="R6" s="11">
        <f t="shared" si="1"/>
        <v>46142</v>
      </c>
      <c r="S6" s="11">
        <f t="shared" si="1"/>
        <v>46173</v>
      </c>
      <c r="T6" s="11">
        <f t="shared" si="1"/>
        <v>46203</v>
      </c>
      <c r="U6" s="11">
        <f t="shared" si="1"/>
        <v>46234</v>
      </c>
      <c r="V6" s="11">
        <f t="shared" si="1"/>
        <v>46265</v>
      </c>
      <c r="W6" s="11">
        <f t="shared" si="1"/>
        <v>46295</v>
      </c>
      <c r="X6" s="11">
        <f t="shared" si="1"/>
        <v>46326</v>
      </c>
      <c r="Y6" s="11">
        <f t="shared" si="1"/>
        <v>46356</v>
      </c>
      <c r="Z6" s="11">
        <f t="shared" si="1"/>
        <v>46387</v>
      </c>
      <c r="AA6" s="10">
        <v>2026</v>
      </c>
      <c r="AB6" s="11">
        <f>EOMONTH(EDATE(Z6,1),0)</f>
        <v>46418</v>
      </c>
      <c r="AC6" s="11">
        <f>EOMONTH(EDATE(AB6,1),0)</f>
        <v>46446</v>
      </c>
      <c r="AD6" s="11">
        <f t="shared" ref="AD6:AM6" si="2">EOMONTH(EDATE(AC6,1),0)</f>
        <v>46477</v>
      </c>
      <c r="AE6" s="11">
        <f t="shared" si="2"/>
        <v>46507</v>
      </c>
      <c r="AF6" s="11">
        <f t="shared" si="2"/>
        <v>46538</v>
      </c>
      <c r="AG6" s="11">
        <f t="shared" si="2"/>
        <v>46568</v>
      </c>
      <c r="AH6" s="11">
        <f t="shared" si="2"/>
        <v>46599</v>
      </c>
      <c r="AI6" s="11">
        <f t="shared" si="2"/>
        <v>46630</v>
      </c>
      <c r="AJ6" s="11">
        <f t="shared" si="2"/>
        <v>46660</v>
      </c>
      <c r="AK6" s="11">
        <f t="shared" si="2"/>
        <v>46691</v>
      </c>
      <c r="AL6" s="11">
        <f t="shared" si="2"/>
        <v>46721</v>
      </c>
      <c r="AM6" s="11">
        <f t="shared" si="2"/>
        <v>46752</v>
      </c>
      <c r="AN6" s="10">
        <v>2027</v>
      </c>
      <c r="AO6" s="11">
        <f>EOMONTH(EDATE(AM6,1),0)</f>
        <v>46783</v>
      </c>
      <c r="AP6" s="11">
        <f>EOMONTH(EDATE(AO6,1),0)</f>
        <v>46812</v>
      </c>
      <c r="AQ6" s="11">
        <f t="shared" ref="AQ6:AZ6" si="3">EOMONTH(EDATE(AP6,1),0)</f>
        <v>46843</v>
      </c>
      <c r="AR6" s="11">
        <f t="shared" si="3"/>
        <v>46873</v>
      </c>
      <c r="AS6" s="11">
        <f t="shared" si="3"/>
        <v>46904</v>
      </c>
      <c r="AT6" s="11">
        <f t="shared" si="3"/>
        <v>46934</v>
      </c>
      <c r="AU6" s="11">
        <f t="shared" si="3"/>
        <v>46965</v>
      </c>
      <c r="AV6" s="11">
        <f t="shared" si="3"/>
        <v>46996</v>
      </c>
      <c r="AW6" s="11">
        <f t="shared" si="3"/>
        <v>47026</v>
      </c>
      <c r="AX6" s="11">
        <f t="shared" si="3"/>
        <v>47057</v>
      </c>
      <c r="AY6" s="11">
        <f t="shared" si="3"/>
        <v>47087</v>
      </c>
      <c r="AZ6" s="11">
        <f t="shared" si="3"/>
        <v>47118</v>
      </c>
      <c r="BA6" s="10">
        <v>2028</v>
      </c>
      <c r="BB6" s="11">
        <f>EOMONTH(EDATE(AZ6,1),0)</f>
        <v>47149</v>
      </c>
      <c r="BC6" s="11">
        <f>EOMONTH(EDATE(BB6,1),0)</f>
        <v>47177</v>
      </c>
      <c r="BD6" s="11">
        <f t="shared" ref="BD6:BM6" si="4">EOMONTH(EDATE(BC6,1),0)</f>
        <v>47208</v>
      </c>
      <c r="BE6" s="11">
        <f t="shared" si="4"/>
        <v>47238</v>
      </c>
      <c r="BF6" s="11">
        <f t="shared" si="4"/>
        <v>47269</v>
      </c>
      <c r="BG6" s="11">
        <f t="shared" si="4"/>
        <v>47299</v>
      </c>
      <c r="BH6" s="11">
        <f t="shared" si="4"/>
        <v>47330</v>
      </c>
      <c r="BI6" s="11">
        <f t="shared" si="4"/>
        <v>47361</v>
      </c>
      <c r="BJ6" s="11">
        <f t="shared" si="4"/>
        <v>47391</v>
      </c>
      <c r="BK6" s="11">
        <f t="shared" si="4"/>
        <v>47422</v>
      </c>
      <c r="BL6" s="11">
        <f t="shared" si="4"/>
        <v>47452</v>
      </c>
      <c r="BM6" s="11">
        <f t="shared" si="4"/>
        <v>47483</v>
      </c>
      <c r="BN6" s="10">
        <v>2029</v>
      </c>
    </row>
    <row r="7" spans="2:66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</row>
    <row r="9" spans="2:66" x14ac:dyDescent="0.2">
      <c r="B9" s="8" t="s">
        <v>4</v>
      </c>
    </row>
    <row r="10" spans="2:66" x14ac:dyDescent="0.2">
      <c r="B10" s="6" t="s">
        <v>5</v>
      </c>
    </row>
    <row r="11" spans="2:66" x14ac:dyDescent="0.2">
      <c r="B11" t="s">
        <v>6</v>
      </c>
      <c r="C11" t="s">
        <v>10</v>
      </c>
      <c r="G11" s="136">
        <f t="shared" ref="G11:L11" si="5">H11</f>
        <v>15.760391191314776</v>
      </c>
      <c r="H11" s="136">
        <f t="shared" si="5"/>
        <v>15.760391191314776</v>
      </c>
      <c r="I11" s="136">
        <f>J11</f>
        <v>15.760391191314776</v>
      </c>
      <c r="J11" s="136">
        <f>K11</f>
        <v>15.760391191314776</v>
      </c>
      <c r="K11" s="136">
        <f t="shared" si="5"/>
        <v>15.760391191314776</v>
      </c>
      <c r="L11" s="136">
        <f t="shared" si="5"/>
        <v>15.760391191314776</v>
      </c>
      <c r="M11" s="136">
        <f>N11</f>
        <v>15.760391191314776</v>
      </c>
      <c r="N11" s="136">
        <f>'Price Analysis'!G16</f>
        <v>15.760391191314776</v>
      </c>
      <c r="O11" s="136">
        <f>N11</f>
        <v>15.760391191314776</v>
      </c>
      <c r="P11" s="136">
        <f>O11</f>
        <v>15.760391191314776</v>
      </c>
      <c r="Q11" s="136">
        <f>P11*(1+$AA$15)</f>
        <v>16.091359406332383</v>
      </c>
      <c r="R11" s="136">
        <f t="shared" ref="R11:AA11" si="6">Q11</f>
        <v>16.091359406332383</v>
      </c>
      <c r="S11" s="136">
        <f t="shared" si="6"/>
        <v>16.091359406332383</v>
      </c>
      <c r="T11" s="136">
        <f t="shared" si="6"/>
        <v>16.091359406332383</v>
      </c>
      <c r="U11" s="136">
        <f t="shared" si="6"/>
        <v>16.091359406332383</v>
      </c>
      <c r="V11" s="136">
        <f t="shared" si="6"/>
        <v>16.091359406332383</v>
      </c>
      <c r="W11" s="136">
        <f t="shared" si="6"/>
        <v>16.091359406332383</v>
      </c>
      <c r="X11" s="136">
        <f t="shared" si="6"/>
        <v>16.091359406332383</v>
      </c>
      <c r="Y11" s="136">
        <f t="shared" si="6"/>
        <v>16.091359406332383</v>
      </c>
      <c r="Z11" s="136">
        <f t="shared" si="6"/>
        <v>16.091359406332383</v>
      </c>
      <c r="AA11" s="136">
        <f t="shared" si="6"/>
        <v>16.091359406332383</v>
      </c>
      <c r="AB11" s="136">
        <f>AA11*(1+$AN$15)</f>
        <v>16.413186594459031</v>
      </c>
      <c r="AC11" s="136">
        <f>AB11</f>
        <v>16.413186594459031</v>
      </c>
      <c r="AD11" s="136">
        <f t="shared" ref="AD11:AN11" si="7">AC11</f>
        <v>16.413186594459031</v>
      </c>
      <c r="AE11" s="136">
        <f t="shared" si="7"/>
        <v>16.413186594459031</v>
      </c>
      <c r="AF11" s="136">
        <f t="shared" si="7"/>
        <v>16.413186594459031</v>
      </c>
      <c r="AG11" s="136">
        <f t="shared" si="7"/>
        <v>16.413186594459031</v>
      </c>
      <c r="AH11" s="136">
        <f t="shared" si="7"/>
        <v>16.413186594459031</v>
      </c>
      <c r="AI11" s="136">
        <f t="shared" si="7"/>
        <v>16.413186594459031</v>
      </c>
      <c r="AJ11" s="136">
        <f t="shared" si="7"/>
        <v>16.413186594459031</v>
      </c>
      <c r="AK11" s="136">
        <f t="shared" si="7"/>
        <v>16.413186594459031</v>
      </c>
      <c r="AL11" s="136">
        <f t="shared" si="7"/>
        <v>16.413186594459031</v>
      </c>
      <c r="AM11" s="136">
        <f t="shared" si="7"/>
        <v>16.413186594459031</v>
      </c>
      <c r="AN11" s="136">
        <f t="shared" si="7"/>
        <v>16.413186594459031</v>
      </c>
      <c r="AO11" s="136">
        <f>AN11*(1+$BA$15)</f>
        <v>16.741450326348211</v>
      </c>
      <c r="AP11" s="136">
        <f>AO11</f>
        <v>16.741450326348211</v>
      </c>
      <c r="AQ11" s="136">
        <f t="shared" ref="AQ11:BA11" si="8">AP11</f>
        <v>16.741450326348211</v>
      </c>
      <c r="AR11" s="136">
        <f t="shared" si="8"/>
        <v>16.741450326348211</v>
      </c>
      <c r="AS11" s="136">
        <f t="shared" si="8"/>
        <v>16.741450326348211</v>
      </c>
      <c r="AT11" s="136">
        <f t="shared" si="8"/>
        <v>16.741450326348211</v>
      </c>
      <c r="AU11" s="136">
        <f t="shared" si="8"/>
        <v>16.741450326348211</v>
      </c>
      <c r="AV11" s="136">
        <f t="shared" si="8"/>
        <v>16.741450326348211</v>
      </c>
      <c r="AW11" s="136">
        <f t="shared" si="8"/>
        <v>16.741450326348211</v>
      </c>
      <c r="AX11" s="136">
        <f t="shared" si="8"/>
        <v>16.741450326348211</v>
      </c>
      <c r="AY11" s="136">
        <f t="shared" si="8"/>
        <v>16.741450326348211</v>
      </c>
      <c r="AZ11" s="136">
        <f t="shared" si="8"/>
        <v>16.741450326348211</v>
      </c>
      <c r="BA11" s="136">
        <f t="shared" si="8"/>
        <v>16.741450326348211</v>
      </c>
      <c r="BB11" s="136">
        <f>BA11*(1+$BN$15)</f>
        <v>17.076279332875174</v>
      </c>
      <c r="BC11" s="136">
        <f>BB11</f>
        <v>17.076279332875174</v>
      </c>
      <c r="BD11" s="136">
        <f t="shared" ref="BD11:BN11" si="9">BC11</f>
        <v>17.076279332875174</v>
      </c>
      <c r="BE11" s="136">
        <f t="shared" si="9"/>
        <v>17.076279332875174</v>
      </c>
      <c r="BF11" s="136">
        <f t="shared" si="9"/>
        <v>17.076279332875174</v>
      </c>
      <c r="BG11" s="136">
        <f t="shared" si="9"/>
        <v>17.076279332875174</v>
      </c>
      <c r="BH11" s="136">
        <f t="shared" si="9"/>
        <v>17.076279332875174</v>
      </c>
      <c r="BI11" s="136">
        <f t="shared" si="9"/>
        <v>17.076279332875174</v>
      </c>
      <c r="BJ11" s="136">
        <f t="shared" si="9"/>
        <v>17.076279332875174</v>
      </c>
      <c r="BK11" s="136">
        <f t="shared" si="9"/>
        <v>17.076279332875174</v>
      </c>
      <c r="BL11" s="136">
        <f t="shared" si="9"/>
        <v>17.076279332875174</v>
      </c>
      <c r="BM11" s="136">
        <f t="shared" si="9"/>
        <v>17.076279332875174</v>
      </c>
      <c r="BN11" s="136">
        <f t="shared" si="9"/>
        <v>17.076279332875174</v>
      </c>
    </row>
    <row r="12" spans="2:66" x14ac:dyDescent="0.2">
      <c r="B12" t="s">
        <v>7</v>
      </c>
      <c r="C12" t="s">
        <v>10</v>
      </c>
      <c r="G12" s="136">
        <f t="shared" ref="G12:L12" si="10">H12</f>
        <v>21.781658462659831</v>
      </c>
      <c r="H12" s="136">
        <f t="shared" si="10"/>
        <v>21.781658462659831</v>
      </c>
      <c r="I12" s="136">
        <f t="shared" si="10"/>
        <v>21.781658462659831</v>
      </c>
      <c r="J12" s="136">
        <f t="shared" si="10"/>
        <v>21.781658462659831</v>
      </c>
      <c r="K12" s="136">
        <f t="shared" si="10"/>
        <v>21.781658462659831</v>
      </c>
      <c r="L12" s="136">
        <f t="shared" si="10"/>
        <v>21.781658462659831</v>
      </c>
      <c r="M12" s="136">
        <f>N12</f>
        <v>21.781658462659831</v>
      </c>
      <c r="N12" s="136">
        <f>'Price Analysis'!G17</f>
        <v>21.781658462659831</v>
      </c>
      <c r="O12" s="136">
        <f t="shared" ref="O12:P12" si="11">N12</f>
        <v>21.781658462659831</v>
      </c>
      <c r="P12" s="136">
        <f t="shared" si="11"/>
        <v>21.781658462659831</v>
      </c>
      <c r="Q12" s="136">
        <f t="shared" ref="Q12:Q14" si="12">P12*(1+$AA$15)</f>
        <v>22.239073290375686</v>
      </c>
      <c r="R12" s="136">
        <f t="shared" ref="R12:AA12" si="13">Q12</f>
        <v>22.239073290375686</v>
      </c>
      <c r="S12" s="136">
        <f t="shared" si="13"/>
        <v>22.239073290375686</v>
      </c>
      <c r="T12" s="136">
        <f t="shared" si="13"/>
        <v>22.239073290375686</v>
      </c>
      <c r="U12" s="136">
        <f t="shared" si="13"/>
        <v>22.239073290375686</v>
      </c>
      <c r="V12" s="136">
        <f t="shared" si="13"/>
        <v>22.239073290375686</v>
      </c>
      <c r="W12" s="136">
        <f t="shared" si="13"/>
        <v>22.239073290375686</v>
      </c>
      <c r="X12" s="136">
        <f t="shared" si="13"/>
        <v>22.239073290375686</v>
      </c>
      <c r="Y12" s="136">
        <f t="shared" si="13"/>
        <v>22.239073290375686</v>
      </c>
      <c r="Z12" s="136">
        <f t="shared" si="13"/>
        <v>22.239073290375686</v>
      </c>
      <c r="AA12" s="136">
        <f t="shared" si="13"/>
        <v>22.239073290375686</v>
      </c>
      <c r="AB12" s="136">
        <f t="shared" ref="AB12:AB14" si="14">AA12*(1+$AN$15)</f>
        <v>22.683854756183198</v>
      </c>
      <c r="AC12" s="136">
        <f t="shared" ref="AC12:AN12" si="15">AB12</f>
        <v>22.683854756183198</v>
      </c>
      <c r="AD12" s="136">
        <f t="shared" si="15"/>
        <v>22.683854756183198</v>
      </c>
      <c r="AE12" s="136">
        <f t="shared" si="15"/>
        <v>22.683854756183198</v>
      </c>
      <c r="AF12" s="136">
        <f t="shared" si="15"/>
        <v>22.683854756183198</v>
      </c>
      <c r="AG12" s="136">
        <f t="shared" si="15"/>
        <v>22.683854756183198</v>
      </c>
      <c r="AH12" s="136">
        <f t="shared" si="15"/>
        <v>22.683854756183198</v>
      </c>
      <c r="AI12" s="136">
        <f t="shared" si="15"/>
        <v>22.683854756183198</v>
      </c>
      <c r="AJ12" s="136">
        <f t="shared" si="15"/>
        <v>22.683854756183198</v>
      </c>
      <c r="AK12" s="136">
        <f t="shared" si="15"/>
        <v>22.683854756183198</v>
      </c>
      <c r="AL12" s="136">
        <f t="shared" si="15"/>
        <v>22.683854756183198</v>
      </c>
      <c r="AM12" s="136">
        <f t="shared" si="15"/>
        <v>22.683854756183198</v>
      </c>
      <c r="AN12" s="136">
        <f t="shared" si="15"/>
        <v>22.683854756183198</v>
      </c>
      <c r="AO12" s="136">
        <f>AN12*(1+$BA$15)</f>
        <v>23.137531851306861</v>
      </c>
      <c r="AP12" s="136">
        <f t="shared" ref="AP12:BA12" si="16">AO12</f>
        <v>23.137531851306861</v>
      </c>
      <c r="AQ12" s="136">
        <f t="shared" si="16"/>
        <v>23.137531851306861</v>
      </c>
      <c r="AR12" s="136">
        <f t="shared" si="16"/>
        <v>23.137531851306861</v>
      </c>
      <c r="AS12" s="136">
        <f t="shared" si="16"/>
        <v>23.137531851306861</v>
      </c>
      <c r="AT12" s="136">
        <f t="shared" si="16"/>
        <v>23.137531851306861</v>
      </c>
      <c r="AU12" s="136">
        <f t="shared" si="16"/>
        <v>23.137531851306861</v>
      </c>
      <c r="AV12" s="136">
        <f t="shared" si="16"/>
        <v>23.137531851306861</v>
      </c>
      <c r="AW12" s="136">
        <f t="shared" si="16"/>
        <v>23.137531851306861</v>
      </c>
      <c r="AX12" s="136">
        <f t="shared" si="16"/>
        <v>23.137531851306861</v>
      </c>
      <c r="AY12" s="136">
        <f t="shared" si="16"/>
        <v>23.137531851306861</v>
      </c>
      <c r="AZ12" s="136">
        <f t="shared" si="16"/>
        <v>23.137531851306861</v>
      </c>
      <c r="BA12" s="136">
        <f t="shared" si="16"/>
        <v>23.137531851306861</v>
      </c>
      <c r="BB12" s="136">
        <f t="shared" ref="BB12:BB14" si="17">BA12*(1+$BN$15)</f>
        <v>23.600282488332997</v>
      </c>
      <c r="BC12" s="136">
        <f t="shared" ref="BC12:BN12" si="18">BB12</f>
        <v>23.600282488332997</v>
      </c>
      <c r="BD12" s="136">
        <f t="shared" si="18"/>
        <v>23.600282488332997</v>
      </c>
      <c r="BE12" s="136">
        <f t="shared" si="18"/>
        <v>23.600282488332997</v>
      </c>
      <c r="BF12" s="136">
        <f t="shared" si="18"/>
        <v>23.600282488332997</v>
      </c>
      <c r="BG12" s="136">
        <f t="shared" si="18"/>
        <v>23.600282488332997</v>
      </c>
      <c r="BH12" s="136">
        <f t="shared" si="18"/>
        <v>23.600282488332997</v>
      </c>
      <c r="BI12" s="136">
        <f t="shared" si="18"/>
        <v>23.600282488332997</v>
      </c>
      <c r="BJ12" s="136">
        <f t="shared" si="18"/>
        <v>23.600282488332997</v>
      </c>
      <c r="BK12" s="136">
        <f t="shared" si="18"/>
        <v>23.600282488332997</v>
      </c>
      <c r="BL12" s="136">
        <f t="shared" si="18"/>
        <v>23.600282488332997</v>
      </c>
      <c r="BM12" s="136">
        <f t="shared" si="18"/>
        <v>23.600282488332997</v>
      </c>
      <c r="BN12" s="136">
        <f t="shared" si="18"/>
        <v>23.600282488332997</v>
      </c>
    </row>
    <row r="13" spans="2:66" x14ac:dyDescent="0.2">
      <c r="B13" t="s">
        <v>8</v>
      </c>
      <c r="C13" t="s">
        <v>10</v>
      </c>
      <c r="G13" s="136">
        <f t="shared" ref="G13:L13" si="19">H13</f>
        <v>20.229268401127385</v>
      </c>
      <c r="H13" s="136">
        <f t="shared" si="19"/>
        <v>20.229268401127385</v>
      </c>
      <c r="I13" s="136">
        <f t="shared" si="19"/>
        <v>20.229268401127385</v>
      </c>
      <c r="J13" s="136">
        <f t="shared" si="19"/>
        <v>20.229268401127385</v>
      </c>
      <c r="K13" s="136">
        <f t="shared" si="19"/>
        <v>20.229268401127385</v>
      </c>
      <c r="L13" s="136">
        <f t="shared" si="19"/>
        <v>20.229268401127385</v>
      </c>
      <c r="M13" s="136">
        <f t="shared" ref="M13" si="20">N13</f>
        <v>20.229268401127385</v>
      </c>
      <c r="N13" s="136">
        <f>'Price Analysis'!G18</f>
        <v>20.229268401127385</v>
      </c>
      <c r="O13" s="136">
        <f t="shared" ref="O13:P13" si="21">N13</f>
        <v>20.229268401127385</v>
      </c>
      <c r="P13" s="136">
        <f t="shared" si="21"/>
        <v>20.229268401127385</v>
      </c>
      <c r="Q13" s="136">
        <f t="shared" si="12"/>
        <v>20.654083037551057</v>
      </c>
      <c r="R13" s="136">
        <f t="shared" ref="R13:AA13" si="22">Q13</f>
        <v>20.654083037551057</v>
      </c>
      <c r="S13" s="136">
        <f t="shared" si="22"/>
        <v>20.654083037551057</v>
      </c>
      <c r="T13" s="136">
        <f t="shared" si="22"/>
        <v>20.654083037551057</v>
      </c>
      <c r="U13" s="136">
        <f t="shared" si="22"/>
        <v>20.654083037551057</v>
      </c>
      <c r="V13" s="136">
        <f t="shared" si="22"/>
        <v>20.654083037551057</v>
      </c>
      <c r="W13" s="136">
        <f t="shared" si="22"/>
        <v>20.654083037551057</v>
      </c>
      <c r="X13" s="136">
        <f t="shared" si="22"/>
        <v>20.654083037551057</v>
      </c>
      <c r="Y13" s="136">
        <f t="shared" si="22"/>
        <v>20.654083037551057</v>
      </c>
      <c r="Z13" s="136">
        <f t="shared" si="22"/>
        <v>20.654083037551057</v>
      </c>
      <c r="AA13" s="136">
        <f t="shared" si="22"/>
        <v>20.654083037551057</v>
      </c>
      <c r="AB13" s="136">
        <f t="shared" si="14"/>
        <v>21.067164698302079</v>
      </c>
      <c r="AC13" s="136">
        <f t="shared" ref="AC13:AN13" si="23">AB13</f>
        <v>21.067164698302079</v>
      </c>
      <c r="AD13" s="136">
        <f t="shared" si="23"/>
        <v>21.067164698302079</v>
      </c>
      <c r="AE13" s="136">
        <f t="shared" si="23"/>
        <v>21.067164698302079</v>
      </c>
      <c r="AF13" s="136">
        <f t="shared" si="23"/>
        <v>21.067164698302079</v>
      </c>
      <c r="AG13" s="136">
        <f t="shared" si="23"/>
        <v>21.067164698302079</v>
      </c>
      <c r="AH13" s="136">
        <f t="shared" si="23"/>
        <v>21.067164698302079</v>
      </c>
      <c r="AI13" s="136">
        <f t="shared" si="23"/>
        <v>21.067164698302079</v>
      </c>
      <c r="AJ13" s="136">
        <f t="shared" si="23"/>
        <v>21.067164698302079</v>
      </c>
      <c r="AK13" s="136">
        <f t="shared" si="23"/>
        <v>21.067164698302079</v>
      </c>
      <c r="AL13" s="136">
        <f t="shared" si="23"/>
        <v>21.067164698302079</v>
      </c>
      <c r="AM13" s="136">
        <f t="shared" si="23"/>
        <v>21.067164698302079</v>
      </c>
      <c r="AN13" s="136">
        <f t="shared" si="23"/>
        <v>21.067164698302079</v>
      </c>
      <c r="AO13" s="136">
        <f t="shared" ref="AO13:AO14" si="24">AN13*(1+$BA$15)</f>
        <v>21.488507992268122</v>
      </c>
      <c r="AP13" s="136">
        <f t="shared" ref="AP13:BA13" si="25">AO13</f>
        <v>21.488507992268122</v>
      </c>
      <c r="AQ13" s="136">
        <f t="shared" si="25"/>
        <v>21.488507992268122</v>
      </c>
      <c r="AR13" s="136">
        <f t="shared" si="25"/>
        <v>21.488507992268122</v>
      </c>
      <c r="AS13" s="136">
        <f t="shared" si="25"/>
        <v>21.488507992268122</v>
      </c>
      <c r="AT13" s="136">
        <f t="shared" si="25"/>
        <v>21.488507992268122</v>
      </c>
      <c r="AU13" s="136">
        <f t="shared" si="25"/>
        <v>21.488507992268122</v>
      </c>
      <c r="AV13" s="136">
        <f t="shared" si="25"/>
        <v>21.488507992268122</v>
      </c>
      <c r="AW13" s="136">
        <f t="shared" si="25"/>
        <v>21.488507992268122</v>
      </c>
      <c r="AX13" s="136">
        <f t="shared" si="25"/>
        <v>21.488507992268122</v>
      </c>
      <c r="AY13" s="136">
        <f t="shared" si="25"/>
        <v>21.488507992268122</v>
      </c>
      <c r="AZ13" s="136">
        <f t="shared" si="25"/>
        <v>21.488507992268122</v>
      </c>
      <c r="BA13" s="136">
        <f t="shared" si="25"/>
        <v>21.488507992268122</v>
      </c>
      <c r="BB13" s="136">
        <f t="shared" si="17"/>
        <v>21.918278152113484</v>
      </c>
      <c r="BC13" s="136">
        <f t="shared" ref="BC13:BN13" si="26">BB13</f>
        <v>21.918278152113484</v>
      </c>
      <c r="BD13" s="136">
        <f t="shared" si="26"/>
        <v>21.918278152113484</v>
      </c>
      <c r="BE13" s="136">
        <f t="shared" si="26"/>
        <v>21.918278152113484</v>
      </c>
      <c r="BF13" s="136">
        <f t="shared" si="26"/>
        <v>21.918278152113484</v>
      </c>
      <c r="BG13" s="136">
        <f t="shared" si="26"/>
        <v>21.918278152113484</v>
      </c>
      <c r="BH13" s="136">
        <f t="shared" si="26"/>
        <v>21.918278152113484</v>
      </c>
      <c r="BI13" s="136">
        <f t="shared" si="26"/>
        <v>21.918278152113484</v>
      </c>
      <c r="BJ13" s="136">
        <f t="shared" si="26"/>
        <v>21.918278152113484</v>
      </c>
      <c r="BK13" s="136">
        <f t="shared" si="26"/>
        <v>21.918278152113484</v>
      </c>
      <c r="BL13" s="136">
        <f t="shared" si="26"/>
        <v>21.918278152113484</v>
      </c>
      <c r="BM13" s="136">
        <f t="shared" si="26"/>
        <v>21.918278152113484</v>
      </c>
      <c r="BN13" s="136">
        <f t="shared" si="26"/>
        <v>21.918278152113484</v>
      </c>
    </row>
    <row r="14" spans="2:66" x14ac:dyDescent="0.2">
      <c r="B14" t="s">
        <v>9</v>
      </c>
      <c r="C14" t="s">
        <v>10</v>
      </c>
      <c r="G14" s="136">
        <f t="shared" ref="G14:L14" si="27">H14</f>
        <v>12.792289606837606</v>
      </c>
      <c r="H14" s="136">
        <f t="shared" si="27"/>
        <v>12.792289606837606</v>
      </c>
      <c r="I14" s="136">
        <f t="shared" si="27"/>
        <v>12.792289606837606</v>
      </c>
      <c r="J14" s="136">
        <f t="shared" si="27"/>
        <v>12.792289606837606</v>
      </c>
      <c r="K14" s="136">
        <f t="shared" si="27"/>
        <v>12.792289606837606</v>
      </c>
      <c r="L14" s="136">
        <f t="shared" si="27"/>
        <v>12.792289606837606</v>
      </c>
      <c r="M14" s="136">
        <f t="shared" ref="M14" si="28">N14</f>
        <v>12.792289606837606</v>
      </c>
      <c r="N14" s="136">
        <f>'Price Analysis'!G19</f>
        <v>12.792289606837606</v>
      </c>
      <c r="O14" s="136">
        <f t="shared" ref="O14:P14" si="29">N14</f>
        <v>12.792289606837606</v>
      </c>
      <c r="P14" s="136">
        <f t="shared" si="29"/>
        <v>12.792289606837606</v>
      </c>
      <c r="Q14" s="136">
        <f t="shared" si="12"/>
        <v>13.060927688581195</v>
      </c>
      <c r="R14" s="136">
        <f t="shared" ref="R14:AA14" si="30">Q14</f>
        <v>13.060927688581195</v>
      </c>
      <c r="S14" s="136">
        <f t="shared" si="30"/>
        <v>13.060927688581195</v>
      </c>
      <c r="T14" s="136">
        <f t="shared" si="30"/>
        <v>13.060927688581195</v>
      </c>
      <c r="U14" s="136">
        <f t="shared" si="30"/>
        <v>13.060927688581195</v>
      </c>
      <c r="V14" s="136">
        <f t="shared" si="30"/>
        <v>13.060927688581195</v>
      </c>
      <c r="W14" s="136">
        <f t="shared" si="30"/>
        <v>13.060927688581195</v>
      </c>
      <c r="X14" s="136">
        <f t="shared" si="30"/>
        <v>13.060927688581195</v>
      </c>
      <c r="Y14" s="136">
        <f t="shared" si="30"/>
        <v>13.060927688581195</v>
      </c>
      <c r="Z14" s="136">
        <f t="shared" si="30"/>
        <v>13.060927688581195</v>
      </c>
      <c r="AA14" s="136">
        <f t="shared" si="30"/>
        <v>13.060927688581195</v>
      </c>
      <c r="AB14" s="136">
        <f t="shared" si="14"/>
        <v>13.322146242352819</v>
      </c>
      <c r="AC14" s="136">
        <f t="shared" ref="AC14:AN14" si="31">AB14</f>
        <v>13.322146242352819</v>
      </c>
      <c r="AD14" s="136">
        <f t="shared" si="31"/>
        <v>13.322146242352819</v>
      </c>
      <c r="AE14" s="136">
        <f t="shared" si="31"/>
        <v>13.322146242352819</v>
      </c>
      <c r="AF14" s="136">
        <f t="shared" si="31"/>
        <v>13.322146242352819</v>
      </c>
      <c r="AG14" s="136">
        <f t="shared" si="31"/>
        <v>13.322146242352819</v>
      </c>
      <c r="AH14" s="136">
        <f t="shared" si="31"/>
        <v>13.322146242352819</v>
      </c>
      <c r="AI14" s="136">
        <f t="shared" si="31"/>
        <v>13.322146242352819</v>
      </c>
      <c r="AJ14" s="136">
        <f t="shared" si="31"/>
        <v>13.322146242352819</v>
      </c>
      <c r="AK14" s="136">
        <f t="shared" si="31"/>
        <v>13.322146242352819</v>
      </c>
      <c r="AL14" s="136">
        <f t="shared" si="31"/>
        <v>13.322146242352819</v>
      </c>
      <c r="AM14" s="136">
        <f t="shared" si="31"/>
        <v>13.322146242352819</v>
      </c>
      <c r="AN14" s="136">
        <f t="shared" si="31"/>
        <v>13.322146242352819</v>
      </c>
      <c r="AO14" s="136">
        <f t="shared" si="24"/>
        <v>13.588589167199876</v>
      </c>
      <c r="AP14" s="136">
        <f t="shared" ref="AP14:BA14" si="32">AO14</f>
        <v>13.588589167199876</v>
      </c>
      <c r="AQ14" s="136">
        <f t="shared" si="32"/>
        <v>13.588589167199876</v>
      </c>
      <c r="AR14" s="136">
        <f t="shared" si="32"/>
        <v>13.588589167199876</v>
      </c>
      <c r="AS14" s="136">
        <f t="shared" si="32"/>
        <v>13.588589167199876</v>
      </c>
      <c r="AT14" s="136">
        <f t="shared" si="32"/>
        <v>13.588589167199876</v>
      </c>
      <c r="AU14" s="136">
        <f t="shared" si="32"/>
        <v>13.588589167199876</v>
      </c>
      <c r="AV14" s="136">
        <f t="shared" si="32"/>
        <v>13.588589167199876</v>
      </c>
      <c r="AW14" s="136">
        <f t="shared" si="32"/>
        <v>13.588589167199876</v>
      </c>
      <c r="AX14" s="136">
        <f t="shared" si="32"/>
        <v>13.588589167199876</v>
      </c>
      <c r="AY14" s="136">
        <f t="shared" si="32"/>
        <v>13.588589167199876</v>
      </c>
      <c r="AZ14" s="136">
        <f t="shared" si="32"/>
        <v>13.588589167199876</v>
      </c>
      <c r="BA14" s="136">
        <f t="shared" si="32"/>
        <v>13.588589167199876</v>
      </c>
      <c r="BB14" s="136">
        <f t="shared" si="17"/>
        <v>13.860360950543873</v>
      </c>
      <c r="BC14" s="136">
        <f t="shared" ref="BC14:BN14" si="33">BB14</f>
        <v>13.860360950543873</v>
      </c>
      <c r="BD14" s="136">
        <f t="shared" si="33"/>
        <v>13.860360950543873</v>
      </c>
      <c r="BE14" s="136">
        <f t="shared" si="33"/>
        <v>13.860360950543873</v>
      </c>
      <c r="BF14" s="136">
        <f t="shared" si="33"/>
        <v>13.860360950543873</v>
      </c>
      <c r="BG14" s="136">
        <f t="shared" si="33"/>
        <v>13.860360950543873</v>
      </c>
      <c r="BH14" s="136">
        <f t="shared" si="33"/>
        <v>13.860360950543873</v>
      </c>
      <c r="BI14" s="136">
        <f t="shared" si="33"/>
        <v>13.860360950543873</v>
      </c>
      <c r="BJ14" s="136">
        <f t="shared" si="33"/>
        <v>13.860360950543873</v>
      </c>
      <c r="BK14" s="136">
        <f t="shared" si="33"/>
        <v>13.860360950543873</v>
      </c>
      <c r="BL14" s="136">
        <f t="shared" si="33"/>
        <v>13.860360950543873</v>
      </c>
      <c r="BM14" s="136">
        <f t="shared" si="33"/>
        <v>13.860360950543873</v>
      </c>
      <c r="BN14" s="136">
        <f t="shared" si="33"/>
        <v>13.860360950543873</v>
      </c>
    </row>
    <row r="15" spans="2:66" x14ac:dyDescent="0.2">
      <c r="B15" t="s">
        <v>19</v>
      </c>
      <c r="C15" t="s">
        <v>13</v>
      </c>
      <c r="N15" s="38"/>
      <c r="O15" s="38">
        <f t="shared" ref="O15:BN15" si="34">O29</f>
        <v>0</v>
      </c>
      <c r="P15" s="38">
        <f t="shared" si="34"/>
        <v>0</v>
      </c>
      <c r="Q15" s="38">
        <f t="shared" si="34"/>
        <v>0</v>
      </c>
      <c r="R15" s="38">
        <f t="shared" si="34"/>
        <v>0</v>
      </c>
      <c r="S15" s="38">
        <f t="shared" si="34"/>
        <v>0</v>
      </c>
      <c r="T15" s="38">
        <f t="shared" si="34"/>
        <v>0</v>
      </c>
      <c r="U15" s="38">
        <f t="shared" si="34"/>
        <v>0</v>
      </c>
      <c r="V15" s="38">
        <f t="shared" si="34"/>
        <v>0</v>
      </c>
      <c r="W15" s="38">
        <f t="shared" si="34"/>
        <v>0</v>
      </c>
      <c r="X15" s="38">
        <f t="shared" si="34"/>
        <v>0</v>
      </c>
      <c r="Y15" s="38">
        <f t="shared" si="34"/>
        <v>0</v>
      </c>
      <c r="Z15" s="38">
        <f t="shared" si="34"/>
        <v>0</v>
      </c>
      <c r="AA15" s="38">
        <f t="shared" si="34"/>
        <v>2.1000000000000001E-2</v>
      </c>
      <c r="AB15" s="38">
        <f t="shared" si="34"/>
        <v>0</v>
      </c>
      <c r="AC15" s="38">
        <f t="shared" si="34"/>
        <v>0</v>
      </c>
      <c r="AD15" s="38">
        <f t="shared" si="34"/>
        <v>0</v>
      </c>
      <c r="AE15" s="38">
        <f t="shared" si="34"/>
        <v>0</v>
      </c>
      <c r="AF15" s="38">
        <f t="shared" si="34"/>
        <v>0</v>
      </c>
      <c r="AG15" s="38">
        <f t="shared" si="34"/>
        <v>0</v>
      </c>
      <c r="AH15" s="38">
        <f t="shared" si="34"/>
        <v>0</v>
      </c>
      <c r="AI15" s="38">
        <f t="shared" si="34"/>
        <v>0</v>
      </c>
      <c r="AJ15" s="38">
        <f t="shared" si="34"/>
        <v>0</v>
      </c>
      <c r="AK15" s="38">
        <f t="shared" si="34"/>
        <v>0</v>
      </c>
      <c r="AL15" s="38">
        <f t="shared" si="34"/>
        <v>0</v>
      </c>
      <c r="AM15" s="38">
        <f t="shared" si="34"/>
        <v>0</v>
      </c>
      <c r="AN15" s="38">
        <f t="shared" si="34"/>
        <v>0.02</v>
      </c>
      <c r="AO15" s="38">
        <f t="shared" si="34"/>
        <v>0</v>
      </c>
      <c r="AP15" s="38">
        <f t="shared" si="34"/>
        <v>0</v>
      </c>
      <c r="AQ15" s="38">
        <f t="shared" si="34"/>
        <v>0</v>
      </c>
      <c r="AR15" s="38">
        <f t="shared" si="34"/>
        <v>0</v>
      </c>
      <c r="AS15" s="38">
        <f t="shared" si="34"/>
        <v>0</v>
      </c>
      <c r="AT15" s="38">
        <f t="shared" si="34"/>
        <v>0</v>
      </c>
      <c r="AU15" s="38">
        <f t="shared" si="34"/>
        <v>0</v>
      </c>
      <c r="AV15" s="38">
        <f t="shared" si="34"/>
        <v>0</v>
      </c>
      <c r="AW15" s="38">
        <f t="shared" si="34"/>
        <v>0</v>
      </c>
      <c r="AX15" s="38">
        <f t="shared" si="34"/>
        <v>0</v>
      </c>
      <c r="AY15" s="38">
        <f t="shared" si="34"/>
        <v>0</v>
      </c>
      <c r="AZ15" s="38">
        <f t="shared" si="34"/>
        <v>0</v>
      </c>
      <c r="BA15" s="38">
        <f t="shared" si="34"/>
        <v>0.02</v>
      </c>
      <c r="BB15" s="38">
        <f t="shared" si="34"/>
        <v>0</v>
      </c>
      <c r="BC15" s="38">
        <f t="shared" si="34"/>
        <v>0</v>
      </c>
      <c r="BD15" s="38">
        <f t="shared" si="34"/>
        <v>0</v>
      </c>
      <c r="BE15" s="38">
        <f t="shared" si="34"/>
        <v>0</v>
      </c>
      <c r="BF15" s="38">
        <f t="shared" si="34"/>
        <v>0</v>
      </c>
      <c r="BG15" s="38">
        <f t="shared" si="34"/>
        <v>0</v>
      </c>
      <c r="BH15" s="38">
        <f t="shared" si="34"/>
        <v>0</v>
      </c>
      <c r="BI15" s="38">
        <f t="shared" si="34"/>
        <v>0</v>
      </c>
      <c r="BJ15" s="38">
        <f t="shared" si="34"/>
        <v>0</v>
      </c>
      <c r="BK15" s="38">
        <f t="shared" si="34"/>
        <v>0</v>
      </c>
      <c r="BL15" s="38">
        <f t="shared" si="34"/>
        <v>0</v>
      </c>
      <c r="BM15" s="38">
        <f t="shared" si="34"/>
        <v>0</v>
      </c>
      <c r="BN15" s="38">
        <f t="shared" si="34"/>
        <v>0.02</v>
      </c>
    </row>
    <row r="17" spans="2:66" x14ac:dyDescent="0.2">
      <c r="B17" s="6" t="s">
        <v>11</v>
      </c>
    </row>
    <row r="18" spans="2:66" x14ac:dyDescent="0.2">
      <c r="B18" t="s">
        <v>6</v>
      </c>
      <c r="C18" t="s">
        <v>12</v>
      </c>
      <c r="G18" s="44">
        <f t="shared" ref="G18:I21" si="35">H18</f>
        <v>614</v>
      </c>
      <c r="H18" s="44">
        <f t="shared" si="35"/>
        <v>614</v>
      </c>
      <c r="I18" s="44">
        <f t="shared" si="35"/>
        <v>614</v>
      </c>
      <c r="J18" s="185">
        <f>ROUNDUP('Price Analysis'!$C$7*Assumptions!J22,0)</f>
        <v>614</v>
      </c>
      <c r="K18" s="185">
        <f>ROUNDUP('Price Analysis'!$C$7*Assumptions!K22,0)</f>
        <v>941</v>
      </c>
      <c r="L18" s="185">
        <f>ROUNDUP('Price Analysis'!$C$7*Assumptions!L22,0)</f>
        <v>1269</v>
      </c>
      <c r="M18" s="185">
        <f>ROUNDUP('Price Analysis'!$C$7*Assumptions!M22,0)</f>
        <v>1596</v>
      </c>
      <c r="N18" s="211">
        <f>SUM(J18:M18)</f>
        <v>4420</v>
      </c>
      <c r="O18" s="185">
        <f>ROUNDDOWN('Price Analysis'!$C$7*Assumptions!O22,0)</f>
        <v>1922</v>
      </c>
      <c r="P18" s="39">
        <f>'Price Analysis'!D7</f>
        <v>2250.0001151161018</v>
      </c>
      <c r="Q18" s="39">
        <f t="shared" ref="Q18:Z18" si="36">P18</f>
        <v>2250.0001151161018</v>
      </c>
      <c r="R18" s="39">
        <f t="shared" si="36"/>
        <v>2250.0001151161018</v>
      </c>
      <c r="S18" s="39">
        <f t="shared" si="36"/>
        <v>2250.0001151161018</v>
      </c>
      <c r="T18" s="39">
        <f t="shared" si="36"/>
        <v>2250.0001151161018</v>
      </c>
      <c r="U18" s="39">
        <f t="shared" si="36"/>
        <v>2250.0001151161018</v>
      </c>
      <c r="V18" s="39">
        <f t="shared" si="36"/>
        <v>2250.0001151161018</v>
      </c>
      <c r="W18" s="39">
        <f t="shared" si="36"/>
        <v>2250.0001151161018</v>
      </c>
      <c r="X18" s="39">
        <f t="shared" si="36"/>
        <v>2250.0001151161018</v>
      </c>
      <c r="Y18" s="39">
        <f t="shared" si="36"/>
        <v>2250.0001151161018</v>
      </c>
      <c r="Z18" s="39">
        <f t="shared" si="36"/>
        <v>2250.0001151161018</v>
      </c>
      <c r="AA18" s="49">
        <f>SUM(O18:Z18)</f>
        <v>26672.001266277115</v>
      </c>
      <c r="AB18" s="39">
        <f t="shared" ref="AB18:AB20" si="37">Z18</f>
        <v>2250.0001151161018</v>
      </c>
      <c r="AC18" s="39">
        <f t="shared" ref="AC18:AC20" si="38">AB18</f>
        <v>2250.0001151161018</v>
      </c>
      <c r="AD18" s="39">
        <f>ROUNDDOWN('Price Analysis'!$C$7*Assumptions!AD22,0)</f>
        <v>2368</v>
      </c>
      <c r="AE18" s="39">
        <f>ROUNDDOWN('Price Analysis'!$C$7*Assumptions!AE22,0)</f>
        <v>2486</v>
      </c>
      <c r="AF18" s="39">
        <f>ROUNDDOWN('Price Analysis'!$C$7*Assumptions!AF22,0)</f>
        <v>2605</v>
      </c>
      <c r="AG18" s="39">
        <f>ROUNDDOWN('Price Analysis'!$C$7*Assumptions!AG22,0)</f>
        <v>2723</v>
      </c>
      <c r="AH18" s="39">
        <f>ROUNDDOWN('Price Analysis'!$C$7*Assumptions!AH22,0)</f>
        <v>2841</v>
      </c>
      <c r="AI18" s="39">
        <f>ROUNDDOWN('Price Analysis'!$C$7*Assumptions!AI22,0)</f>
        <v>2960</v>
      </c>
      <c r="AJ18" s="39">
        <f>ROUNDDOWN('Price Analysis'!$C$7*Assumptions!AJ22,0)</f>
        <v>3078</v>
      </c>
      <c r="AK18" s="39">
        <f>ROUNDDOWN('Price Analysis'!$C$7*Assumptions!AK22,0)</f>
        <v>3196</v>
      </c>
      <c r="AL18" s="39">
        <f>ROUNDDOWN('Price Analysis'!$C$7*Assumptions!AL22,0)</f>
        <v>3315</v>
      </c>
      <c r="AM18" s="39">
        <f>ROUNDDOWN('Price Analysis'!$C$7*Assumptions!AM22,0)</f>
        <v>3433</v>
      </c>
      <c r="AN18" s="49">
        <f>SUM(AB18:AM18)</f>
        <v>33505.000230232203</v>
      </c>
      <c r="AO18" s="43">
        <f>ROUNDDOWN('Price Analysis'!$C$7*Assumptions!AO22,0)</f>
        <v>3552</v>
      </c>
      <c r="AP18" s="39">
        <f>ROUNDDOWN('Price Analysis'!$C$7*Assumptions!AP22,0)</f>
        <v>3670</v>
      </c>
      <c r="AQ18" s="39">
        <f>ROUNDDOWN('Price Analysis'!$C$7*Assumptions!AQ22,0)</f>
        <v>3788</v>
      </c>
      <c r="AR18" s="39">
        <f>ROUNDDOWN('Price Analysis'!$C$7*Assumptions!AR22,0)</f>
        <v>3907</v>
      </c>
      <c r="AS18" s="39">
        <f>ROUNDDOWN('Price Analysis'!$C$7*Assumptions!AS22,0)</f>
        <v>4025</v>
      </c>
      <c r="AT18" s="39">
        <f>ROUNDDOWN('Price Analysis'!$C$7*Assumptions!AT22,0)</f>
        <v>4143</v>
      </c>
      <c r="AU18" s="39">
        <f>ROUNDDOWN('Price Analysis'!$C$7*Assumptions!AU22,0)</f>
        <v>4262</v>
      </c>
      <c r="AV18" s="43">
        <f>'Price Analysis'!$C$7*Assumptions!AV22</f>
        <v>4500.0001674415998</v>
      </c>
      <c r="AW18" s="39">
        <f t="shared" ref="AW18:AZ18" si="39">AV18</f>
        <v>4500.0001674415998</v>
      </c>
      <c r="AX18" s="43">
        <f t="shared" si="39"/>
        <v>4500.0001674415998</v>
      </c>
      <c r="AY18" s="39">
        <f t="shared" si="39"/>
        <v>4500.0001674415998</v>
      </c>
      <c r="AZ18" s="39">
        <f t="shared" si="39"/>
        <v>4500.0001674415998</v>
      </c>
      <c r="BA18" s="165">
        <f>SUM(AO18:AZ18)</f>
        <v>49847.00083720799</v>
      </c>
      <c r="BB18" s="39">
        <f>BN18/12</f>
        <v>4153.9167364339992</v>
      </c>
      <c r="BC18" s="39">
        <f>BB18</f>
        <v>4153.9167364339992</v>
      </c>
      <c r="BD18" s="39">
        <f t="shared" ref="BD18:BM18" si="40">BC18</f>
        <v>4153.9167364339992</v>
      </c>
      <c r="BE18" s="39">
        <f t="shared" si="40"/>
        <v>4153.9167364339992</v>
      </c>
      <c r="BF18" s="39">
        <f t="shared" si="40"/>
        <v>4153.9167364339992</v>
      </c>
      <c r="BG18" s="39">
        <f t="shared" si="40"/>
        <v>4153.9167364339992</v>
      </c>
      <c r="BH18" s="39">
        <f t="shared" si="40"/>
        <v>4153.9167364339992</v>
      </c>
      <c r="BI18" s="39">
        <f t="shared" si="40"/>
        <v>4153.9167364339992</v>
      </c>
      <c r="BJ18" s="39">
        <f t="shared" si="40"/>
        <v>4153.9167364339992</v>
      </c>
      <c r="BK18" s="39">
        <f t="shared" si="40"/>
        <v>4153.9167364339992</v>
      </c>
      <c r="BL18" s="39">
        <f t="shared" si="40"/>
        <v>4153.9167364339992</v>
      </c>
      <c r="BM18" s="39">
        <f t="shared" si="40"/>
        <v>4153.9167364339992</v>
      </c>
      <c r="BN18" s="49">
        <f>BA18*(1+$BN$23)</f>
        <v>49847.00083720799</v>
      </c>
    </row>
    <row r="19" spans="2:66" x14ac:dyDescent="0.2">
      <c r="B19" t="s">
        <v>7</v>
      </c>
      <c r="C19" t="s">
        <v>12</v>
      </c>
      <c r="G19" s="44">
        <f t="shared" si="35"/>
        <v>818</v>
      </c>
      <c r="H19" s="44">
        <f t="shared" si="35"/>
        <v>818</v>
      </c>
      <c r="I19" s="44">
        <f t="shared" si="35"/>
        <v>818</v>
      </c>
      <c r="J19" s="185">
        <f>ROUNDDOWN('Price Analysis'!$C$8*Assumptions!J22,0)</f>
        <v>818</v>
      </c>
      <c r="K19" s="185">
        <f>ROUNDUP('Price Analysis'!$C$8*Assumptions!K22,0)</f>
        <v>1255</v>
      </c>
      <c r="L19" s="185">
        <f>ROUNDUP('Price Analysis'!$C$8*Assumptions!L22,0)</f>
        <v>1691</v>
      </c>
      <c r="M19" s="185">
        <f>ROUNDUP('Price Analysis'!$C$8*Assumptions!M22,0)</f>
        <v>2128</v>
      </c>
      <c r="N19" s="211">
        <f t="shared" ref="N19:N21" si="41">SUM(J19:M19)</f>
        <v>5892</v>
      </c>
      <c r="O19" s="185">
        <f>ROUNDUP('Price Analysis'!$C$8*Assumptions!O22,0)</f>
        <v>2564</v>
      </c>
      <c r="P19" s="39">
        <f>'Price Analysis'!D8</f>
        <v>3000</v>
      </c>
      <c r="Q19" s="39">
        <f t="shared" ref="Q19:Z19" si="42">P19</f>
        <v>3000</v>
      </c>
      <c r="R19" s="39">
        <f t="shared" si="42"/>
        <v>3000</v>
      </c>
      <c r="S19" s="39">
        <f t="shared" si="42"/>
        <v>3000</v>
      </c>
      <c r="T19" s="39">
        <f t="shared" si="42"/>
        <v>3000</v>
      </c>
      <c r="U19" s="39">
        <f t="shared" si="42"/>
        <v>3000</v>
      </c>
      <c r="V19" s="39">
        <f t="shared" si="42"/>
        <v>3000</v>
      </c>
      <c r="W19" s="39">
        <f t="shared" si="42"/>
        <v>3000</v>
      </c>
      <c r="X19" s="39">
        <f t="shared" si="42"/>
        <v>3000</v>
      </c>
      <c r="Y19" s="39">
        <f t="shared" si="42"/>
        <v>3000</v>
      </c>
      <c r="Z19" s="39">
        <f t="shared" si="42"/>
        <v>3000</v>
      </c>
      <c r="AA19" s="49">
        <f>SUM(O19:Z19)</f>
        <v>35564</v>
      </c>
      <c r="AB19" s="39">
        <f t="shared" si="37"/>
        <v>3000</v>
      </c>
      <c r="AC19" s="39">
        <f t="shared" si="38"/>
        <v>3000</v>
      </c>
      <c r="AD19" s="39">
        <f>ROUNDUP('Price Analysis'!$C$8*Assumptions!AD22,0)</f>
        <v>3158</v>
      </c>
      <c r="AE19" s="39">
        <f>ROUNDUP('Price Analysis'!$C$8*Assumptions!AE22,0)</f>
        <v>3316</v>
      </c>
      <c r="AF19" s="39">
        <f>ROUNDUP('Price Analysis'!$C$8*Assumptions!AF22,0)</f>
        <v>3474</v>
      </c>
      <c r="AG19" s="39">
        <f>ROUNDUP('Price Analysis'!$C$8*Assumptions!AG22,0)</f>
        <v>3632</v>
      </c>
      <c r="AH19" s="39">
        <f>ROUNDUP('Price Analysis'!$C$8*Assumptions!AH22,0)</f>
        <v>3790</v>
      </c>
      <c r="AI19" s="39">
        <f>ROUNDUP('Price Analysis'!$C$8*Assumptions!AI22,0)</f>
        <v>3947</v>
      </c>
      <c r="AJ19" s="39">
        <f>ROUNDUP('Price Analysis'!$C$8*Assumptions!AJ22,0)</f>
        <v>4105</v>
      </c>
      <c r="AK19" s="39">
        <f>ROUNDUP('Price Analysis'!$C$8*Assumptions!AK22,0)</f>
        <v>4263</v>
      </c>
      <c r="AL19" s="39">
        <f>ROUNDDOWN('Price Analysis'!$C$8*Assumptions!AL22,0)</f>
        <v>4420</v>
      </c>
      <c r="AM19" s="39">
        <f>ROUNDDOWN('Price Analysis'!$C$8*Assumptions!AM22,0)</f>
        <v>4578</v>
      </c>
      <c r="AN19" s="49">
        <f t="shared" ref="AN19:AN21" si="43">SUM(AB19:AM19)</f>
        <v>44683</v>
      </c>
      <c r="AO19" s="43">
        <f>ROUNDUP('Price Analysis'!$C$8*Assumptions!AO22,0)</f>
        <v>4736</v>
      </c>
      <c r="AP19" s="39">
        <f>ROUNDUP('Price Analysis'!$C$8*Assumptions!AP22,0)</f>
        <v>4894</v>
      </c>
      <c r="AQ19" s="39">
        <f>ROUNDUP('Price Analysis'!$C$8*Assumptions!AQ22,0)</f>
        <v>5052</v>
      </c>
      <c r="AR19" s="39">
        <f>ROUNDUP('Price Analysis'!$C$8*Assumptions!AR22,0)</f>
        <v>5210</v>
      </c>
      <c r="AS19" s="39">
        <f>ROUNDUP('Price Analysis'!$C$8*Assumptions!AS22,0)</f>
        <v>5368</v>
      </c>
      <c r="AT19" s="39">
        <f>ROUNDUP('Price Analysis'!$C$8*Assumptions!AT22,0)</f>
        <v>5526</v>
      </c>
      <c r="AU19" s="39">
        <f>ROUNDUP('Price Analysis'!$C$8*Assumptions!AU22,0)</f>
        <v>5683</v>
      </c>
      <c r="AV19" s="43">
        <f>'Price Analysis'!$C$8*Assumptions!AV22</f>
        <v>5999.9999162792001</v>
      </c>
      <c r="AW19" s="39">
        <f t="shared" ref="AW19:AZ19" si="44">AV19</f>
        <v>5999.9999162792001</v>
      </c>
      <c r="AX19" s="43">
        <f t="shared" si="44"/>
        <v>5999.9999162792001</v>
      </c>
      <c r="AY19" s="39">
        <f t="shared" si="44"/>
        <v>5999.9999162792001</v>
      </c>
      <c r="AZ19" s="39">
        <f t="shared" si="44"/>
        <v>5999.9999162792001</v>
      </c>
      <c r="BA19" s="165">
        <f t="shared" ref="BA19:BA21" si="45">SUM(AO19:AZ19)</f>
        <v>66468.999581395998</v>
      </c>
      <c r="BB19" s="39">
        <f>BN19/12</f>
        <v>5539.0832984496665</v>
      </c>
      <c r="BC19" s="39">
        <f t="shared" ref="BC19:BM19" si="46">BB19</f>
        <v>5539.0832984496665</v>
      </c>
      <c r="BD19" s="39">
        <f t="shared" si="46"/>
        <v>5539.0832984496665</v>
      </c>
      <c r="BE19" s="39">
        <f t="shared" si="46"/>
        <v>5539.0832984496665</v>
      </c>
      <c r="BF19" s="39">
        <f t="shared" si="46"/>
        <v>5539.0832984496665</v>
      </c>
      <c r="BG19" s="39">
        <f t="shared" si="46"/>
        <v>5539.0832984496665</v>
      </c>
      <c r="BH19" s="39">
        <f t="shared" si="46"/>
        <v>5539.0832984496665</v>
      </c>
      <c r="BI19" s="39">
        <f t="shared" si="46"/>
        <v>5539.0832984496665</v>
      </c>
      <c r="BJ19" s="39">
        <f t="shared" si="46"/>
        <v>5539.0832984496665</v>
      </c>
      <c r="BK19" s="39">
        <f t="shared" si="46"/>
        <v>5539.0832984496665</v>
      </c>
      <c r="BL19" s="39">
        <f t="shared" si="46"/>
        <v>5539.0832984496665</v>
      </c>
      <c r="BM19" s="39">
        <f t="shared" si="46"/>
        <v>5539.0832984496665</v>
      </c>
      <c r="BN19" s="49">
        <f>BA19*(1+$BN$23)</f>
        <v>66468.999581395998</v>
      </c>
    </row>
    <row r="20" spans="2:66" x14ac:dyDescent="0.2">
      <c r="B20" t="s">
        <v>8</v>
      </c>
      <c r="C20" t="s">
        <v>12</v>
      </c>
      <c r="G20" s="44">
        <f t="shared" si="35"/>
        <v>409</v>
      </c>
      <c r="H20" s="44">
        <f t="shared" si="35"/>
        <v>409</v>
      </c>
      <c r="I20" s="44">
        <f t="shared" si="35"/>
        <v>409</v>
      </c>
      <c r="J20" s="185">
        <f>ROUNDDOWN('Price Analysis'!$C$9*Assumptions!J22,0)</f>
        <v>409</v>
      </c>
      <c r="K20" s="185">
        <f>ROUNDDOWN('Price Analysis'!$C$9*Assumptions!K22,0)</f>
        <v>627</v>
      </c>
      <c r="L20" s="185">
        <f>ROUNDDOWN('Price Analysis'!$C$9*Assumptions!L22,0)</f>
        <v>845</v>
      </c>
      <c r="M20" s="185">
        <f>ROUNDDOWN('Price Analysis'!$C$9*Assumptions!M22,0)</f>
        <v>1063</v>
      </c>
      <c r="N20" s="211">
        <f t="shared" si="41"/>
        <v>2944</v>
      </c>
      <c r="O20" s="185">
        <f>ROUNDUP('Price Analysis'!$C$9*Assumptions!O22,0)</f>
        <v>1282</v>
      </c>
      <c r="P20" s="39">
        <f>'Price Analysis'!D9</f>
        <v>1500</v>
      </c>
      <c r="Q20" s="39">
        <f t="shared" ref="Q20:Z20" si="47">P20</f>
        <v>1500</v>
      </c>
      <c r="R20" s="39">
        <f t="shared" si="47"/>
        <v>1500</v>
      </c>
      <c r="S20" s="39">
        <f t="shared" si="47"/>
        <v>1500</v>
      </c>
      <c r="T20" s="39">
        <f t="shared" si="47"/>
        <v>1500</v>
      </c>
      <c r="U20" s="39">
        <f t="shared" si="47"/>
        <v>1500</v>
      </c>
      <c r="V20" s="39">
        <f t="shared" si="47"/>
        <v>1500</v>
      </c>
      <c r="W20" s="39">
        <f t="shared" si="47"/>
        <v>1500</v>
      </c>
      <c r="X20" s="39">
        <f t="shared" si="47"/>
        <v>1500</v>
      </c>
      <c r="Y20" s="39">
        <f t="shared" si="47"/>
        <v>1500</v>
      </c>
      <c r="Z20" s="39">
        <f t="shared" si="47"/>
        <v>1500</v>
      </c>
      <c r="AA20" s="49">
        <f>SUM(O20:Z20)</f>
        <v>17782</v>
      </c>
      <c r="AB20" s="39">
        <f t="shared" si="37"/>
        <v>1500</v>
      </c>
      <c r="AC20" s="39">
        <f t="shared" si="38"/>
        <v>1500</v>
      </c>
      <c r="AD20" s="39">
        <f>ROUNDUP('Price Analysis'!$C$9*Assumptions!AD22,0)</f>
        <v>1579</v>
      </c>
      <c r="AE20" s="39">
        <f>ROUNDUP('Price Analysis'!$C$9*Assumptions!AE22,0)</f>
        <v>1658</v>
      </c>
      <c r="AF20" s="39">
        <f>ROUNDUP('Price Analysis'!$C$9*Assumptions!AF22,0)</f>
        <v>1737</v>
      </c>
      <c r="AG20" s="39">
        <f>ROUNDUP('Price Analysis'!$C$9*Assumptions!AG22,0)</f>
        <v>1816</v>
      </c>
      <c r="AH20" s="39">
        <f>ROUNDUP('Price Analysis'!$C$9*Assumptions!AH22,0)</f>
        <v>1895</v>
      </c>
      <c r="AI20" s="39">
        <f>ROUNDUP('Price Analysis'!$C$9*Assumptions!AI22,0)</f>
        <v>1974</v>
      </c>
      <c r="AJ20" s="39">
        <f>ROUNDUP('Price Analysis'!$C$9*Assumptions!AJ22,0)</f>
        <v>2053</v>
      </c>
      <c r="AK20" s="39">
        <f>ROUNDUP('Price Analysis'!$C$9*Assumptions!AK22,0)</f>
        <v>2132</v>
      </c>
      <c r="AL20" s="39">
        <f>ROUNDDOWN('Price Analysis'!$C$9*Assumptions!AL22,0)</f>
        <v>2210</v>
      </c>
      <c r="AM20" s="39">
        <f>ROUNDDOWN('Price Analysis'!$C$9*Assumptions!AM22,0)</f>
        <v>2289</v>
      </c>
      <c r="AN20" s="49">
        <f t="shared" si="43"/>
        <v>22343</v>
      </c>
      <c r="AO20" s="43">
        <f>ROUNDUP('Price Analysis'!$C$9*Assumptions!AO22,0)</f>
        <v>2368</v>
      </c>
      <c r="AP20" s="39">
        <f>ROUNDUP('Price Analysis'!$C$9*Assumptions!AP22,0)</f>
        <v>2447</v>
      </c>
      <c r="AQ20" s="39">
        <f>ROUNDUP('Price Analysis'!$C$9*Assumptions!AQ22,0)</f>
        <v>2526</v>
      </c>
      <c r="AR20" s="39">
        <f>ROUNDDOWN('Price Analysis'!$C$9*Assumptions!AR22,0)</f>
        <v>2604</v>
      </c>
      <c r="AS20" s="39">
        <f>ROUNDDOWN('Price Analysis'!$C$9*Assumptions!AS22,0)</f>
        <v>2683</v>
      </c>
      <c r="AT20" s="39">
        <f>ROUNDDOWN('Price Analysis'!$C$9*Assumptions!AT22,0)</f>
        <v>2762</v>
      </c>
      <c r="AU20" s="39">
        <f>ROUNDDOWN('Price Analysis'!$C$9*Assumptions!AU22,0)</f>
        <v>2841</v>
      </c>
      <c r="AV20" s="43">
        <f>'Price Analysis'!$C$9*Assumptions!AV22</f>
        <v>2999.9999581396</v>
      </c>
      <c r="AW20" s="39">
        <f t="shared" ref="AW20:AZ20" si="48">AV20</f>
        <v>2999.9999581396</v>
      </c>
      <c r="AX20" s="43">
        <f t="shared" si="48"/>
        <v>2999.9999581396</v>
      </c>
      <c r="AY20" s="39">
        <f t="shared" si="48"/>
        <v>2999.9999581396</v>
      </c>
      <c r="AZ20" s="39">
        <f t="shared" si="48"/>
        <v>2999.9999581396</v>
      </c>
      <c r="BA20" s="165">
        <f t="shared" si="45"/>
        <v>33230.999790697999</v>
      </c>
      <c r="BB20" s="39">
        <f>BN20/12</f>
        <v>2769.2499825581667</v>
      </c>
      <c r="BC20" s="39">
        <f t="shared" ref="BC20:BM20" si="49">BB20</f>
        <v>2769.2499825581667</v>
      </c>
      <c r="BD20" s="39">
        <f t="shared" si="49"/>
        <v>2769.2499825581667</v>
      </c>
      <c r="BE20" s="39">
        <f t="shared" si="49"/>
        <v>2769.2499825581667</v>
      </c>
      <c r="BF20" s="39">
        <f t="shared" si="49"/>
        <v>2769.2499825581667</v>
      </c>
      <c r="BG20" s="39">
        <f t="shared" si="49"/>
        <v>2769.2499825581667</v>
      </c>
      <c r="BH20" s="39">
        <f t="shared" si="49"/>
        <v>2769.2499825581667</v>
      </c>
      <c r="BI20" s="39">
        <f t="shared" si="49"/>
        <v>2769.2499825581667</v>
      </c>
      <c r="BJ20" s="39">
        <f t="shared" si="49"/>
        <v>2769.2499825581667</v>
      </c>
      <c r="BK20" s="39">
        <f t="shared" si="49"/>
        <v>2769.2499825581667</v>
      </c>
      <c r="BL20" s="39">
        <f t="shared" si="49"/>
        <v>2769.2499825581667</v>
      </c>
      <c r="BM20" s="39">
        <f t="shared" si="49"/>
        <v>2769.2499825581667</v>
      </c>
      <c r="BN20" s="49">
        <f>BA20*(1+$BN$23)</f>
        <v>33230.999790697999</v>
      </c>
    </row>
    <row r="21" spans="2:66" x14ac:dyDescent="0.2">
      <c r="B21" t="s">
        <v>9</v>
      </c>
      <c r="C21" t="s">
        <v>12</v>
      </c>
      <c r="G21" s="44">
        <f t="shared" si="35"/>
        <v>409</v>
      </c>
      <c r="H21" s="44">
        <f t="shared" si="35"/>
        <v>409</v>
      </c>
      <c r="I21" s="44">
        <f t="shared" si="35"/>
        <v>409</v>
      </c>
      <c r="J21" s="185">
        <f>ROUNDDOWN('Price Analysis'!$C$10*Assumptions!J22,0)</f>
        <v>409</v>
      </c>
      <c r="K21" s="185">
        <f>ROUNDDOWN('Price Analysis'!$C$10*Assumptions!K22,0)</f>
        <v>627</v>
      </c>
      <c r="L21" s="185">
        <f>ROUNDDOWN('Price Analysis'!$C$10*Assumptions!L22,0)</f>
        <v>845</v>
      </c>
      <c r="M21" s="185">
        <f>ROUNDDOWN('Price Analysis'!$C$10*Assumptions!M22,0)</f>
        <v>1063</v>
      </c>
      <c r="N21" s="211">
        <f t="shared" si="41"/>
        <v>2944</v>
      </c>
      <c r="O21" s="185">
        <f>ROUNDUP('Price Analysis'!$C$10*Assumptions!O22,0)</f>
        <v>1282</v>
      </c>
      <c r="P21" s="39">
        <f>'Price Analysis'!D10</f>
        <v>1500</v>
      </c>
      <c r="Q21" s="39">
        <f t="shared" ref="Q21:Z21" si="50">P21</f>
        <v>1500</v>
      </c>
      <c r="R21" s="39">
        <f t="shared" si="50"/>
        <v>1500</v>
      </c>
      <c r="S21" s="39">
        <f t="shared" si="50"/>
        <v>1500</v>
      </c>
      <c r="T21" s="39">
        <f t="shared" si="50"/>
        <v>1500</v>
      </c>
      <c r="U21" s="39">
        <f t="shared" si="50"/>
        <v>1500</v>
      </c>
      <c r="V21" s="39">
        <f t="shared" si="50"/>
        <v>1500</v>
      </c>
      <c r="W21" s="39">
        <f t="shared" si="50"/>
        <v>1500</v>
      </c>
      <c r="X21" s="39">
        <f t="shared" si="50"/>
        <v>1500</v>
      </c>
      <c r="Y21" s="39">
        <f t="shared" si="50"/>
        <v>1500</v>
      </c>
      <c r="Z21" s="39">
        <f t="shared" si="50"/>
        <v>1500</v>
      </c>
      <c r="AA21" s="49">
        <f>SUM(O21:Z21)</f>
        <v>17782</v>
      </c>
      <c r="AB21" s="39">
        <f>Z21</f>
        <v>1500</v>
      </c>
      <c r="AC21" s="39">
        <f>AB21</f>
        <v>1500</v>
      </c>
      <c r="AD21" s="39">
        <f>ROUNDUP('Price Analysis'!$C$10*Assumptions!AD22,0)</f>
        <v>1579</v>
      </c>
      <c r="AE21" s="39">
        <f>ROUNDUP('Price Analysis'!$C$10*Assumptions!AE22,0)</f>
        <v>1658</v>
      </c>
      <c r="AF21" s="39">
        <f>ROUNDDOWN('Price Analysis'!$C$10*Assumptions!AF22,0)</f>
        <v>1736</v>
      </c>
      <c r="AG21" s="39">
        <f>ROUNDDOWN('Price Analysis'!$C$10*Assumptions!AG22,0)</f>
        <v>1815</v>
      </c>
      <c r="AH21" s="39">
        <f>ROUNDDOWN('Price Analysis'!$C$10*Assumptions!AH22,0)</f>
        <v>1894</v>
      </c>
      <c r="AI21" s="39">
        <f>ROUNDDOWN('Price Analysis'!$C$10*Assumptions!AI22,0)</f>
        <v>1973</v>
      </c>
      <c r="AJ21" s="39">
        <f>ROUNDDOWN('Price Analysis'!$C$10*Assumptions!AJ22,0)</f>
        <v>2052</v>
      </c>
      <c r="AK21" s="39">
        <f>ROUNDDOWN('Price Analysis'!$C$10*Assumptions!AK22,0)</f>
        <v>2131</v>
      </c>
      <c r="AL21" s="39">
        <f>ROUNDUP('Price Analysis'!$C$10*Assumptions!AL22,0)</f>
        <v>2211</v>
      </c>
      <c r="AM21" s="39">
        <f>ROUNDUP('Price Analysis'!$C$10*Assumptions!AM22,0)</f>
        <v>2290</v>
      </c>
      <c r="AN21" s="49">
        <f t="shared" si="43"/>
        <v>22339</v>
      </c>
      <c r="AO21" s="43">
        <f>ROUNDUP('Price Analysis'!$C$10*Assumptions!AO22,0)</f>
        <v>2368</v>
      </c>
      <c r="AP21" s="39">
        <f>ROUNDUP('Price Analysis'!$C$10*Assumptions!AP22,0)</f>
        <v>2447</v>
      </c>
      <c r="AQ21" s="39">
        <f>ROUNDUP('Price Analysis'!$C$10*Assumptions!AQ22,0)</f>
        <v>2526</v>
      </c>
      <c r="AR21" s="39">
        <f>ROUNDUP('Price Analysis'!$C$10*Assumptions!AR22,0)</f>
        <v>2605</v>
      </c>
      <c r="AS21" s="39">
        <f>ROUNDUP('Price Analysis'!$C$10*Assumptions!AS22,0)</f>
        <v>2684</v>
      </c>
      <c r="AT21" s="39">
        <f>ROUNDUP('Price Analysis'!$C$10*Assumptions!AT22,0)</f>
        <v>2763</v>
      </c>
      <c r="AU21" s="39">
        <f>ROUNDUP('Price Analysis'!$C$10*Assumptions!AU22,0)</f>
        <v>2842</v>
      </c>
      <c r="AV21" s="43">
        <f>'Price Analysis'!$C$10*Assumptions!AV22</f>
        <v>2999.9999581396</v>
      </c>
      <c r="AW21" s="39">
        <f t="shared" ref="AW21:AZ21" si="51">AV21</f>
        <v>2999.9999581396</v>
      </c>
      <c r="AX21" s="43">
        <f t="shared" si="51"/>
        <v>2999.9999581396</v>
      </c>
      <c r="AY21" s="39">
        <f t="shared" si="51"/>
        <v>2999.9999581396</v>
      </c>
      <c r="AZ21" s="39">
        <f t="shared" si="51"/>
        <v>2999.9999581396</v>
      </c>
      <c r="BA21" s="165">
        <f t="shared" si="45"/>
        <v>33234.999790697999</v>
      </c>
      <c r="BB21" s="39">
        <f>BN21/12</f>
        <v>2769.5833158914998</v>
      </c>
      <c r="BC21" s="39">
        <f t="shared" ref="BC21:BM21" si="52">BB21</f>
        <v>2769.5833158914998</v>
      </c>
      <c r="BD21" s="39">
        <f t="shared" si="52"/>
        <v>2769.5833158914998</v>
      </c>
      <c r="BE21" s="39">
        <f t="shared" si="52"/>
        <v>2769.5833158914998</v>
      </c>
      <c r="BF21" s="39">
        <f t="shared" si="52"/>
        <v>2769.5833158914998</v>
      </c>
      <c r="BG21" s="39">
        <f t="shared" si="52"/>
        <v>2769.5833158914998</v>
      </c>
      <c r="BH21" s="39">
        <f t="shared" si="52"/>
        <v>2769.5833158914998</v>
      </c>
      <c r="BI21" s="39">
        <f t="shared" si="52"/>
        <v>2769.5833158914998</v>
      </c>
      <c r="BJ21" s="39">
        <f t="shared" si="52"/>
        <v>2769.5833158914998</v>
      </c>
      <c r="BK21" s="39">
        <f t="shared" si="52"/>
        <v>2769.5833158914998</v>
      </c>
      <c r="BL21" s="39">
        <f t="shared" si="52"/>
        <v>2769.5833158914998</v>
      </c>
      <c r="BM21" s="39">
        <f t="shared" si="52"/>
        <v>2769.5833158914998</v>
      </c>
      <c r="BN21" s="49">
        <f>BA21*(1+$BN$23)</f>
        <v>33234.999790697999</v>
      </c>
    </row>
    <row r="22" spans="2:66" x14ac:dyDescent="0.2">
      <c r="B22" s="45" t="s">
        <v>52</v>
      </c>
      <c r="C22" s="45" t="s">
        <v>12</v>
      </c>
      <c r="D22" s="45"/>
      <c r="E22" s="45"/>
      <c r="F22" s="45"/>
      <c r="G22" s="47">
        <f>SUM(G18:G21)</f>
        <v>2250</v>
      </c>
      <c r="H22" s="47">
        <f t="shared" ref="H22:I22" si="53">SUM(H18:H21)</f>
        <v>2250</v>
      </c>
      <c r="I22" s="47">
        <f t="shared" si="53"/>
        <v>2250</v>
      </c>
      <c r="J22" s="180">
        <v>2250</v>
      </c>
      <c r="K22" s="208">
        <f>L22-($P$22-$J$22)/COUNT($K$6:$O$6)</f>
        <v>3450.0000230232213</v>
      </c>
      <c r="L22" s="208">
        <f>M22-($P$22-$J$22)/COUNT($K$6:$O$6)</f>
        <v>4650.0000460464416</v>
      </c>
      <c r="M22" s="208">
        <f>O22-($P$22-$J$22)/COUNT($K$6:$O$6)</f>
        <v>5850.0000690696615</v>
      </c>
      <c r="N22" s="47">
        <f>SUM(J22:M22)</f>
        <v>16200.000138139325</v>
      </c>
      <c r="O22" s="208">
        <f>P22-($P$22-$J$22)/COUNT($K$6:$O$6)</f>
        <v>7050.0000920928815</v>
      </c>
      <c r="P22" s="208">
        <f t="shared" ref="P22:AN22" si="54">SUM(P18:P21)</f>
        <v>8250.0001151161014</v>
      </c>
      <c r="Q22" s="208">
        <f t="shared" si="54"/>
        <v>8250.0001151161014</v>
      </c>
      <c r="R22" s="208">
        <f t="shared" si="54"/>
        <v>8250.0001151161014</v>
      </c>
      <c r="S22" s="48">
        <f t="shared" si="54"/>
        <v>8250.0001151161014</v>
      </c>
      <c r="T22" s="48">
        <f t="shared" si="54"/>
        <v>8250.0001151161014</v>
      </c>
      <c r="U22" s="48">
        <f t="shared" si="54"/>
        <v>8250.0001151161014</v>
      </c>
      <c r="V22" s="48">
        <f t="shared" si="54"/>
        <v>8250.0001151161014</v>
      </c>
      <c r="W22" s="48">
        <f t="shared" si="54"/>
        <v>8250.0001151161014</v>
      </c>
      <c r="X22" s="48">
        <f t="shared" si="54"/>
        <v>8250.0001151161014</v>
      </c>
      <c r="Y22" s="48">
        <f t="shared" si="54"/>
        <v>8250.0001151161014</v>
      </c>
      <c r="Z22" s="48">
        <f t="shared" si="54"/>
        <v>8250.0001151161014</v>
      </c>
      <c r="AA22" s="210">
        <f>SUM(AA18:AA21)</f>
        <v>97800.001266277119</v>
      </c>
      <c r="AB22" s="48">
        <f>Z22</f>
        <v>8250.0001151161014</v>
      </c>
      <c r="AC22" s="48">
        <f>Z22</f>
        <v>8250.0001151161014</v>
      </c>
      <c r="AD22" s="208">
        <f>ROUNDDOWN((AC22+($AV$22-$AC$22)/COUNT($AD$6:$AV$6)),0)</f>
        <v>8684</v>
      </c>
      <c r="AE22" s="208">
        <f t="shared" ref="AE22:AM22" si="55">ROUNDDOWN((AD22+($AV$22-$AC$22)/COUNT($AD$6:$AV$6)),0)</f>
        <v>9118</v>
      </c>
      <c r="AF22" s="208">
        <f t="shared" si="55"/>
        <v>9552</v>
      </c>
      <c r="AG22" s="208">
        <f t="shared" si="55"/>
        <v>9986</v>
      </c>
      <c r="AH22" s="208">
        <f t="shared" si="55"/>
        <v>10420</v>
      </c>
      <c r="AI22" s="208">
        <f t="shared" si="55"/>
        <v>10854</v>
      </c>
      <c r="AJ22" s="208">
        <f t="shared" si="55"/>
        <v>11288</v>
      </c>
      <c r="AK22" s="208">
        <f t="shared" si="55"/>
        <v>11722</v>
      </c>
      <c r="AL22" s="208">
        <f t="shared" si="55"/>
        <v>12156</v>
      </c>
      <c r="AM22" s="208">
        <f t="shared" si="55"/>
        <v>12590</v>
      </c>
      <c r="AN22" s="47">
        <f t="shared" si="54"/>
        <v>122870.0002302322</v>
      </c>
      <c r="AO22" s="208">
        <f>ROUNDDOWN((AM22+($AV$22-$AC$22)/COUNT($AD$6:$AV$6)),0)</f>
        <v>13024</v>
      </c>
      <c r="AP22" s="208">
        <f>ROUNDDOWN((AO22+($AV$22-$AC$22)/COUNT($AD$6:$AV$6)),0)</f>
        <v>13458</v>
      </c>
      <c r="AQ22" s="208">
        <f t="shared" ref="AQ22:AU22" si="56">ROUNDDOWN((AP22+($AV$22-$AC$22)/COUNT($AD$6:$AV$6)),0)</f>
        <v>13892</v>
      </c>
      <c r="AR22" s="208">
        <f t="shared" si="56"/>
        <v>14326</v>
      </c>
      <c r="AS22" s="208">
        <f t="shared" si="56"/>
        <v>14760</v>
      </c>
      <c r="AT22" s="208">
        <f t="shared" si="56"/>
        <v>15194</v>
      </c>
      <c r="AU22" s="208">
        <f t="shared" si="56"/>
        <v>15628</v>
      </c>
      <c r="AV22" s="191">
        <v>16500</v>
      </c>
      <c r="AW22" s="48">
        <f t="shared" ref="AW22:BN22" si="57">SUM(AW18:AW21)</f>
        <v>16500</v>
      </c>
      <c r="AX22" s="48">
        <f t="shared" si="57"/>
        <v>16500</v>
      </c>
      <c r="AY22" s="48">
        <f t="shared" si="57"/>
        <v>16500</v>
      </c>
      <c r="AZ22" s="48">
        <f t="shared" si="57"/>
        <v>16500</v>
      </c>
      <c r="BA22" s="210">
        <f t="shared" si="57"/>
        <v>182782</v>
      </c>
      <c r="BB22" s="48">
        <f t="shared" si="57"/>
        <v>15231.833333333332</v>
      </c>
      <c r="BC22" s="48">
        <f t="shared" si="57"/>
        <v>15231.833333333332</v>
      </c>
      <c r="BD22" s="48">
        <f t="shared" si="57"/>
        <v>15231.833333333332</v>
      </c>
      <c r="BE22" s="48">
        <f t="shared" si="57"/>
        <v>15231.833333333332</v>
      </c>
      <c r="BF22" s="48">
        <f t="shared" si="57"/>
        <v>15231.833333333332</v>
      </c>
      <c r="BG22" s="48">
        <f t="shared" si="57"/>
        <v>15231.833333333332</v>
      </c>
      <c r="BH22" s="48">
        <f t="shared" si="57"/>
        <v>15231.833333333332</v>
      </c>
      <c r="BI22" s="48">
        <f t="shared" si="57"/>
        <v>15231.833333333332</v>
      </c>
      <c r="BJ22" s="48">
        <f t="shared" si="57"/>
        <v>15231.833333333332</v>
      </c>
      <c r="BK22" s="48">
        <f t="shared" si="57"/>
        <v>15231.833333333332</v>
      </c>
      <c r="BL22" s="48">
        <f t="shared" si="57"/>
        <v>15231.833333333332</v>
      </c>
      <c r="BM22" s="48">
        <f t="shared" si="57"/>
        <v>15231.833333333332</v>
      </c>
      <c r="BN22" s="47">
        <f t="shared" si="57"/>
        <v>182782</v>
      </c>
    </row>
    <row r="23" spans="2:66" x14ac:dyDescent="0.2">
      <c r="N23" s="37"/>
      <c r="O23" s="4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</row>
    <row r="24" spans="2:66" x14ac:dyDescent="0.2">
      <c r="N24" s="39"/>
      <c r="Z24" s="39"/>
      <c r="AA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</row>
    <row r="25" spans="2:66" s="83" customFormat="1" x14ac:dyDescent="0.2">
      <c r="B25" s="45" t="s">
        <v>36</v>
      </c>
      <c r="N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</row>
    <row r="26" spans="2:66" ht="6" customHeight="1" x14ac:dyDescent="0.2">
      <c r="N26" s="39"/>
    </row>
    <row r="27" spans="2:66" x14ac:dyDescent="0.2">
      <c r="B27" s="6" t="s">
        <v>102</v>
      </c>
    </row>
    <row r="28" spans="2:66" x14ac:dyDescent="0.2">
      <c r="B28" t="s">
        <v>18</v>
      </c>
      <c r="C28" s="82" t="s">
        <v>100</v>
      </c>
      <c r="G28" s="39">
        <f t="shared" ref="G28:L28" si="58">H28</f>
        <v>17500</v>
      </c>
      <c r="H28" s="39">
        <f t="shared" si="58"/>
        <v>17500</v>
      </c>
      <c r="I28" s="39">
        <f t="shared" si="58"/>
        <v>17500</v>
      </c>
      <c r="J28" s="39">
        <f t="shared" si="58"/>
        <v>17500</v>
      </c>
      <c r="K28" s="39">
        <f t="shared" si="58"/>
        <v>17500</v>
      </c>
      <c r="L28" s="39">
        <f t="shared" si="58"/>
        <v>17500</v>
      </c>
      <c r="M28" s="39">
        <f>N28</f>
        <v>17500</v>
      </c>
      <c r="N28" s="36">
        <v>17500</v>
      </c>
      <c r="O28" s="39">
        <f>N28</f>
        <v>17500</v>
      </c>
      <c r="P28" s="39">
        <f>O28</f>
        <v>17500</v>
      </c>
      <c r="Q28" s="39">
        <f t="shared" ref="Q28:Y28" si="59">R28</f>
        <v>17867.5</v>
      </c>
      <c r="R28" s="39">
        <f t="shared" si="59"/>
        <v>17867.5</v>
      </c>
      <c r="S28" s="39">
        <f t="shared" si="59"/>
        <v>17867.5</v>
      </c>
      <c r="T28" s="39">
        <f t="shared" si="59"/>
        <v>17867.5</v>
      </c>
      <c r="U28" s="39">
        <f t="shared" si="59"/>
        <v>17867.5</v>
      </c>
      <c r="V28" s="39">
        <f t="shared" si="59"/>
        <v>17867.5</v>
      </c>
      <c r="W28" s="39">
        <f t="shared" si="59"/>
        <v>17867.5</v>
      </c>
      <c r="X28" s="39">
        <f t="shared" si="59"/>
        <v>17867.5</v>
      </c>
      <c r="Y28" s="39">
        <f t="shared" si="59"/>
        <v>17867.5</v>
      </c>
      <c r="Z28" s="39">
        <f>AA28</f>
        <v>17867.5</v>
      </c>
      <c r="AA28" s="39">
        <f>N28*(1+AA15)</f>
        <v>17867.5</v>
      </c>
      <c r="AB28" s="39">
        <f>AA28*(1+AN29)</f>
        <v>18224.849999999999</v>
      </c>
      <c r="AC28" s="39">
        <f>AB28</f>
        <v>18224.849999999999</v>
      </c>
      <c r="AD28" s="39">
        <f t="shared" ref="AD28:AN28" si="60">AC28</f>
        <v>18224.849999999999</v>
      </c>
      <c r="AE28" s="39">
        <f t="shared" si="60"/>
        <v>18224.849999999999</v>
      </c>
      <c r="AF28" s="39">
        <f t="shared" si="60"/>
        <v>18224.849999999999</v>
      </c>
      <c r="AG28" s="39">
        <f t="shared" si="60"/>
        <v>18224.849999999999</v>
      </c>
      <c r="AH28" s="39">
        <f t="shared" si="60"/>
        <v>18224.849999999999</v>
      </c>
      <c r="AI28" s="39">
        <f t="shared" si="60"/>
        <v>18224.849999999999</v>
      </c>
      <c r="AJ28" s="39">
        <f t="shared" si="60"/>
        <v>18224.849999999999</v>
      </c>
      <c r="AK28" s="39">
        <f t="shared" si="60"/>
        <v>18224.849999999999</v>
      </c>
      <c r="AL28" s="39">
        <f t="shared" si="60"/>
        <v>18224.849999999999</v>
      </c>
      <c r="AM28" s="39">
        <f t="shared" si="60"/>
        <v>18224.849999999999</v>
      </c>
      <c r="AN28" s="39">
        <f t="shared" si="60"/>
        <v>18224.849999999999</v>
      </c>
      <c r="AO28" s="39">
        <f>AN28*(1+BA29)</f>
        <v>18589.346999999998</v>
      </c>
      <c r="AP28" s="39">
        <f t="shared" ref="AP28:BA28" si="61">AO28*(1+BB29)</f>
        <v>18589.346999999998</v>
      </c>
      <c r="AQ28" s="39">
        <f t="shared" si="61"/>
        <v>18589.346999999998</v>
      </c>
      <c r="AR28" s="39">
        <f t="shared" si="61"/>
        <v>18589.346999999998</v>
      </c>
      <c r="AS28" s="39">
        <f t="shared" si="61"/>
        <v>18589.346999999998</v>
      </c>
      <c r="AT28" s="39">
        <f t="shared" si="61"/>
        <v>18589.346999999998</v>
      </c>
      <c r="AU28" s="39">
        <f t="shared" si="61"/>
        <v>18589.346999999998</v>
      </c>
      <c r="AV28" s="39">
        <f t="shared" si="61"/>
        <v>18589.346999999998</v>
      </c>
      <c r="AW28" s="39">
        <f t="shared" si="61"/>
        <v>18589.346999999998</v>
      </c>
      <c r="AX28" s="39">
        <f t="shared" si="61"/>
        <v>18589.346999999998</v>
      </c>
      <c r="AY28" s="39">
        <f t="shared" si="61"/>
        <v>18589.346999999998</v>
      </c>
      <c r="AZ28" s="39">
        <f t="shared" si="61"/>
        <v>18589.346999999998</v>
      </c>
      <c r="BA28" s="39">
        <f t="shared" si="61"/>
        <v>18589.346999999998</v>
      </c>
      <c r="BB28" s="39">
        <f>BA28*(1+BN29)</f>
        <v>18961.13394</v>
      </c>
      <c r="BC28" s="39">
        <f>BB28</f>
        <v>18961.13394</v>
      </c>
      <c r="BD28" s="39">
        <f t="shared" ref="BD28:BN28" si="62">BC28</f>
        <v>18961.13394</v>
      </c>
      <c r="BE28" s="39">
        <f t="shared" si="62"/>
        <v>18961.13394</v>
      </c>
      <c r="BF28" s="39">
        <f t="shared" si="62"/>
        <v>18961.13394</v>
      </c>
      <c r="BG28" s="39">
        <f t="shared" si="62"/>
        <v>18961.13394</v>
      </c>
      <c r="BH28" s="39">
        <f t="shared" si="62"/>
        <v>18961.13394</v>
      </c>
      <c r="BI28" s="39">
        <f t="shared" si="62"/>
        <v>18961.13394</v>
      </c>
      <c r="BJ28" s="39">
        <f t="shared" si="62"/>
        <v>18961.13394</v>
      </c>
      <c r="BK28" s="39">
        <f t="shared" si="62"/>
        <v>18961.13394</v>
      </c>
      <c r="BL28" s="39">
        <f t="shared" si="62"/>
        <v>18961.13394</v>
      </c>
      <c r="BM28" s="39">
        <f t="shared" si="62"/>
        <v>18961.13394</v>
      </c>
      <c r="BN28" s="39">
        <f t="shared" si="62"/>
        <v>18961.13394</v>
      </c>
    </row>
    <row r="29" spans="2:66" x14ac:dyDescent="0.2">
      <c r="B29" t="s">
        <v>19</v>
      </c>
      <c r="C29" t="s">
        <v>13</v>
      </c>
      <c r="N29" s="38"/>
      <c r="O29" s="38">
        <f>Scenarios!O13</f>
        <v>0</v>
      </c>
      <c r="P29" s="38">
        <f>Scenarios!P13</f>
        <v>0</v>
      </c>
      <c r="Q29" s="38">
        <f>Scenarios!Q13</f>
        <v>0</v>
      </c>
      <c r="R29" s="38">
        <f>Scenarios!R13</f>
        <v>0</v>
      </c>
      <c r="S29" s="38">
        <f>Scenarios!S13</f>
        <v>0</v>
      </c>
      <c r="T29" s="38">
        <f>Scenarios!T13</f>
        <v>0</v>
      </c>
      <c r="U29" s="38">
        <f>Scenarios!U13</f>
        <v>0</v>
      </c>
      <c r="V29" s="38">
        <f>Scenarios!V13</f>
        <v>0</v>
      </c>
      <c r="W29" s="38">
        <f>Scenarios!W13</f>
        <v>0</v>
      </c>
      <c r="X29" s="38">
        <f>Scenarios!X13</f>
        <v>0</v>
      </c>
      <c r="Y29" s="38">
        <f>Scenarios!Y13</f>
        <v>0</v>
      </c>
      <c r="Z29" s="38">
        <f>Scenarios!Z13</f>
        <v>0</v>
      </c>
      <c r="AA29" s="38">
        <f>Scenarios!AA13</f>
        <v>2.1000000000000001E-2</v>
      </c>
      <c r="AB29" s="38">
        <f>Scenarios!AB13</f>
        <v>0</v>
      </c>
      <c r="AC29" s="38">
        <f>Scenarios!AC13</f>
        <v>0</v>
      </c>
      <c r="AD29" s="38">
        <f>Scenarios!AD13</f>
        <v>0</v>
      </c>
      <c r="AE29" s="38">
        <f>Scenarios!AE13</f>
        <v>0</v>
      </c>
      <c r="AF29" s="38">
        <f>Scenarios!AF13</f>
        <v>0</v>
      </c>
      <c r="AG29" s="38">
        <f>Scenarios!AG13</f>
        <v>0</v>
      </c>
      <c r="AH29" s="38">
        <f>Scenarios!AH13</f>
        <v>0</v>
      </c>
      <c r="AI29" s="38">
        <f>Scenarios!AI13</f>
        <v>0</v>
      </c>
      <c r="AJ29" s="38">
        <f>Scenarios!AJ13</f>
        <v>0</v>
      </c>
      <c r="AK29" s="38">
        <f>Scenarios!AK13</f>
        <v>0</v>
      </c>
      <c r="AL29" s="38">
        <f>Scenarios!AL13</f>
        <v>0</v>
      </c>
      <c r="AM29" s="38">
        <f>Scenarios!AM13</f>
        <v>0</v>
      </c>
      <c r="AN29" s="38">
        <f>Scenarios!AN13</f>
        <v>0.02</v>
      </c>
      <c r="AO29" s="38">
        <f>Scenarios!AO13</f>
        <v>0</v>
      </c>
      <c r="AP29" s="38">
        <f>Scenarios!AP13</f>
        <v>0</v>
      </c>
      <c r="AQ29" s="38">
        <f>Scenarios!AQ13</f>
        <v>0</v>
      </c>
      <c r="AR29" s="38">
        <f>Scenarios!AR13</f>
        <v>0</v>
      </c>
      <c r="AS29" s="38">
        <f>Scenarios!AS13</f>
        <v>0</v>
      </c>
      <c r="AT29" s="38">
        <f>Scenarios!AT13</f>
        <v>0</v>
      </c>
      <c r="AU29" s="38">
        <f>Scenarios!AU13</f>
        <v>0</v>
      </c>
      <c r="AV29" s="38">
        <f>Scenarios!AV13</f>
        <v>0</v>
      </c>
      <c r="AW29" s="38">
        <f>Scenarios!AW13</f>
        <v>0</v>
      </c>
      <c r="AX29" s="38">
        <f>Scenarios!AX13</f>
        <v>0</v>
      </c>
      <c r="AY29" s="38">
        <f>Scenarios!AY13</f>
        <v>0</v>
      </c>
      <c r="AZ29" s="38">
        <f>Scenarios!AZ13</f>
        <v>0</v>
      </c>
      <c r="BA29" s="38">
        <f>Scenarios!BA13</f>
        <v>0.02</v>
      </c>
      <c r="BB29" s="38">
        <f>Scenarios!BB13</f>
        <v>0</v>
      </c>
      <c r="BC29" s="38">
        <f>Scenarios!BC13</f>
        <v>0</v>
      </c>
      <c r="BD29" s="38">
        <f>Scenarios!BD13</f>
        <v>0</v>
      </c>
      <c r="BE29" s="38">
        <f>Scenarios!BE13</f>
        <v>0</v>
      </c>
      <c r="BF29" s="38">
        <f>Scenarios!BF13</f>
        <v>0</v>
      </c>
      <c r="BG29" s="38">
        <f>Scenarios!BG13</f>
        <v>0</v>
      </c>
      <c r="BH29" s="38">
        <f>Scenarios!BH13</f>
        <v>0</v>
      </c>
      <c r="BI29" s="38">
        <f>Scenarios!BI13</f>
        <v>0</v>
      </c>
      <c r="BJ29" s="38">
        <f>Scenarios!BJ13</f>
        <v>0</v>
      </c>
      <c r="BK29" s="38">
        <f>Scenarios!BK13</f>
        <v>0</v>
      </c>
      <c r="BL29" s="38">
        <f>Scenarios!BL13</f>
        <v>0</v>
      </c>
      <c r="BM29" s="38">
        <f>Scenarios!BM13</f>
        <v>0</v>
      </c>
      <c r="BN29" s="38">
        <f>Scenarios!BN13</f>
        <v>0.02</v>
      </c>
    </row>
    <row r="30" spans="2:66" x14ac:dyDescent="0.2">
      <c r="B30" t="s">
        <v>347</v>
      </c>
      <c r="C30" t="s">
        <v>348</v>
      </c>
      <c r="G30" s="39">
        <f t="shared" ref="G30:L30" si="63">H30</f>
        <v>12</v>
      </c>
      <c r="H30" s="39">
        <f t="shared" si="63"/>
        <v>12</v>
      </c>
      <c r="I30" s="39">
        <f t="shared" si="63"/>
        <v>12</v>
      </c>
      <c r="J30" s="39">
        <f t="shared" si="63"/>
        <v>12</v>
      </c>
      <c r="K30" s="39">
        <f t="shared" si="63"/>
        <v>12</v>
      </c>
      <c r="L30" s="39">
        <f t="shared" si="63"/>
        <v>12</v>
      </c>
      <c r="M30" s="39">
        <f>N30</f>
        <v>12</v>
      </c>
      <c r="N30" s="36">
        <v>12</v>
      </c>
      <c r="O30" s="39">
        <f>N30</f>
        <v>12</v>
      </c>
      <c r="P30" s="39">
        <f t="shared" ref="P30:BN30" si="64">O30</f>
        <v>12</v>
      </c>
      <c r="Q30" s="39">
        <f t="shared" si="64"/>
        <v>12</v>
      </c>
      <c r="R30" s="39">
        <f t="shared" si="64"/>
        <v>12</v>
      </c>
      <c r="S30" s="39">
        <f t="shared" si="64"/>
        <v>12</v>
      </c>
      <c r="T30" s="39">
        <f t="shared" si="64"/>
        <v>12</v>
      </c>
      <c r="U30" s="39">
        <f t="shared" si="64"/>
        <v>12</v>
      </c>
      <c r="V30" s="39">
        <f t="shared" si="64"/>
        <v>12</v>
      </c>
      <c r="W30" s="39">
        <f t="shared" si="64"/>
        <v>12</v>
      </c>
      <c r="X30" s="39">
        <f t="shared" si="64"/>
        <v>12</v>
      </c>
      <c r="Y30" s="39">
        <f t="shared" si="64"/>
        <v>12</v>
      </c>
      <c r="Z30" s="39">
        <f t="shared" si="64"/>
        <v>12</v>
      </c>
      <c r="AA30" s="39">
        <f t="shared" si="64"/>
        <v>12</v>
      </c>
      <c r="AB30" s="39">
        <f t="shared" si="64"/>
        <v>12</v>
      </c>
      <c r="AC30" s="39">
        <f t="shared" si="64"/>
        <v>12</v>
      </c>
      <c r="AD30" s="39">
        <f t="shared" si="64"/>
        <v>12</v>
      </c>
      <c r="AE30" s="39">
        <f t="shared" si="64"/>
        <v>12</v>
      </c>
      <c r="AF30" s="39">
        <f t="shared" si="64"/>
        <v>12</v>
      </c>
      <c r="AG30" s="39">
        <f t="shared" si="64"/>
        <v>12</v>
      </c>
      <c r="AH30" s="39">
        <f t="shared" si="64"/>
        <v>12</v>
      </c>
      <c r="AI30" s="39">
        <f t="shared" si="64"/>
        <v>12</v>
      </c>
      <c r="AJ30" s="39">
        <f t="shared" si="64"/>
        <v>12</v>
      </c>
      <c r="AK30" s="39">
        <f t="shared" si="64"/>
        <v>12</v>
      </c>
      <c r="AL30" s="39">
        <f t="shared" si="64"/>
        <v>12</v>
      </c>
      <c r="AM30" s="39">
        <f t="shared" si="64"/>
        <v>12</v>
      </c>
      <c r="AN30" s="39">
        <f t="shared" si="64"/>
        <v>12</v>
      </c>
      <c r="AO30" s="39">
        <f t="shared" si="64"/>
        <v>12</v>
      </c>
      <c r="AP30" s="39">
        <f t="shared" si="64"/>
        <v>12</v>
      </c>
      <c r="AQ30" s="39">
        <f t="shared" si="64"/>
        <v>12</v>
      </c>
      <c r="AR30" s="39">
        <f t="shared" si="64"/>
        <v>12</v>
      </c>
      <c r="AS30" s="39">
        <f t="shared" si="64"/>
        <v>12</v>
      </c>
      <c r="AT30" s="39">
        <f t="shared" si="64"/>
        <v>12</v>
      </c>
      <c r="AU30" s="39">
        <f t="shared" si="64"/>
        <v>12</v>
      </c>
      <c r="AV30" s="39">
        <f t="shared" si="64"/>
        <v>12</v>
      </c>
      <c r="AW30" s="39">
        <f t="shared" si="64"/>
        <v>12</v>
      </c>
      <c r="AX30" s="39">
        <f t="shared" si="64"/>
        <v>12</v>
      </c>
      <c r="AY30" s="39">
        <f t="shared" si="64"/>
        <v>12</v>
      </c>
      <c r="AZ30" s="39">
        <f t="shared" si="64"/>
        <v>12</v>
      </c>
      <c r="BA30" s="39">
        <f t="shared" si="64"/>
        <v>12</v>
      </c>
      <c r="BB30" s="39">
        <f t="shared" si="64"/>
        <v>12</v>
      </c>
      <c r="BC30" s="39">
        <f t="shared" si="64"/>
        <v>12</v>
      </c>
      <c r="BD30" s="39">
        <f t="shared" si="64"/>
        <v>12</v>
      </c>
      <c r="BE30" s="39">
        <f t="shared" si="64"/>
        <v>12</v>
      </c>
      <c r="BF30" s="39">
        <f t="shared" si="64"/>
        <v>12</v>
      </c>
      <c r="BG30" s="39">
        <f t="shared" si="64"/>
        <v>12</v>
      </c>
      <c r="BH30" s="39">
        <f t="shared" si="64"/>
        <v>12</v>
      </c>
      <c r="BI30" s="39">
        <f t="shared" si="64"/>
        <v>12</v>
      </c>
      <c r="BJ30" s="39">
        <f t="shared" si="64"/>
        <v>12</v>
      </c>
      <c r="BK30" s="39">
        <f t="shared" si="64"/>
        <v>12</v>
      </c>
      <c r="BL30" s="39">
        <f t="shared" si="64"/>
        <v>12</v>
      </c>
      <c r="BM30" s="39">
        <f t="shared" si="64"/>
        <v>12</v>
      </c>
      <c r="BN30" s="39">
        <f t="shared" si="64"/>
        <v>12</v>
      </c>
    </row>
    <row r="31" spans="2:66" x14ac:dyDescent="0.2">
      <c r="B31" t="s">
        <v>18</v>
      </c>
      <c r="C31" s="82" t="s">
        <v>103</v>
      </c>
      <c r="G31" s="76">
        <f>(G30*G28)/25000</f>
        <v>8.4</v>
      </c>
      <c r="H31" s="76">
        <f t="shared" ref="H31:BN31" si="65">(H30*H28)/25000</f>
        <v>8.4</v>
      </c>
      <c r="I31" s="76">
        <f t="shared" si="65"/>
        <v>8.4</v>
      </c>
      <c r="J31" s="76">
        <f>(J30*J28)/25000</f>
        <v>8.4</v>
      </c>
      <c r="K31" s="76">
        <f t="shared" si="65"/>
        <v>8.4</v>
      </c>
      <c r="L31" s="76">
        <f t="shared" si="65"/>
        <v>8.4</v>
      </c>
      <c r="M31" s="76">
        <f t="shared" si="65"/>
        <v>8.4</v>
      </c>
      <c r="N31" s="76">
        <f>(N30*N28)/25000</f>
        <v>8.4</v>
      </c>
      <c r="O31" s="76">
        <f t="shared" si="65"/>
        <v>8.4</v>
      </c>
      <c r="P31" s="76">
        <f t="shared" si="65"/>
        <v>8.4</v>
      </c>
      <c r="Q31" s="76">
        <f t="shared" si="65"/>
        <v>8.5763999999999996</v>
      </c>
      <c r="R31" s="76">
        <f t="shared" si="65"/>
        <v>8.5763999999999996</v>
      </c>
      <c r="S31" s="76">
        <f t="shared" si="65"/>
        <v>8.5763999999999996</v>
      </c>
      <c r="T31" s="76">
        <f t="shared" si="65"/>
        <v>8.5763999999999996</v>
      </c>
      <c r="U31" s="76">
        <f t="shared" si="65"/>
        <v>8.5763999999999996</v>
      </c>
      <c r="V31" s="76">
        <f t="shared" si="65"/>
        <v>8.5763999999999996</v>
      </c>
      <c r="W31" s="76">
        <f t="shared" si="65"/>
        <v>8.5763999999999996</v>
      </c>
      <c r="X31" s="76">
        <f t="shared" si="65"/>
        <v>8.5763999999999996</v>
      </c>
      <c r="Y31" s="76">
        <f t="shared" si="65"/>
        <v>8.5763999999999996</v>
      </c>
      <c r="Z31" s="76">
        <f t="shared" si="65"/>
        <v>8.5763999999999996</v>
      </c>
      <c r="AA31" s="76">
        <f t="shared" si="65"/>
        <v>8.5763999999999996</v>
      </c>
      <c r="AB31" s="76">
        <f t="shared" si="65"/>
        <v>8.7479279999999999</v>
      </c>
      <c r="AC31" s="76">
        <f t="shared" si="65"/>
        <v>8.7479279999999999</v>
      </c>
      <c r="AD31" s="76">
        <f t="shared" si="65"/>
        <v>8.7479279999999999</v>
      </c>
      <c r="AE31" s="76">
        <f t="shared" si="65"/>
        <v>8.7479279999999999</v>
      </c>
      <c r="AF31" s="76">
        <f t="shared" si="65"/>
        <v>8.7479279999999999</v>
      </c>
      <c r="AG31" s="76">
        <f t="shared" si="65"/>
        <v>8.7479279999999999</v>
      </c>
      <c r="AH31" s="76">
        <f t="shared" si="65"/>
        <v>8.7479279999999999</v>
      </c>
      <c r="AI31" s="76">
        <f t="shared" si="65"/>
        <v>8.7479279999999999</v>
      </c>
      <c r="AJ31" s="76">
        <f t="shared" si="65"/>
        <v>8.7479279999999999</v>
      </c>
      <c r="AK31" s="76">
        <f t="shared" si="65"/>
        <v>8.7479279999999999</v>
      </c>
      <c r="AL31" s="76">
        <f t="shared" si="65"/>
        <v>8.7479279999999999</v>
      </c>
      <c r="AM31" s="76">
        <f t="shared" si="65"/>
        <v>8.7479279999999999</v>
      </c>
      <c r="AN31" s="76">
        <f t="shared" si="65"/>
        <v>8.7479279999999999</v>
      </c>
      <c r="AO31" s="76">
        <f t="shared" si="65"/>
        <v>8.9228865600000002</v>
      </c>
      <c r="AP31" s="76">
        <f t="shared" si="65"/>
        <v>8.9228865600000002</v>
      </c>
      <c r="AQ31" s="76">
        <f t="shared" si="65"/>
        <v>8.9228865600000002</v>
      </c>
      <c r="AR31" s="76">
        <f t="shared" si="65"/>
        <v>8.9228865600000002</v>
      </c>
      <c r="AS31" s="76">
        <f t="shared" si="65"/>
        <v>8.9228865600000002</v>
      </c>
      <c r="AT31" s="76">
        <f t="shared" si="65"/>
        <v>8.9228865600000002</v>
      </c>
      <c r="AU31" s="76">
        <f t="shared" si="65"/>
        <v>8.9228865600000002</v>
      </c>
      <c r="AV31" s="76">
        <f t="shared" si="65"/>
        <v>8.9228865600000002</v>
      </c>
      <c r="AW31" s="76">
        <f t="shared" si="65"/>
        <v>8.9228865600000002</v>
      </c>
      <c r="AX31" s="76">
        <f t="shared" si="65"/>
        <v>8.9228865600000002</v>
      </c>
      <c r="AY31" s="76">
        <f t="shared" si="65"/>
        <v>8.9228865600000002</v>
      </c>
      <c r="AZ31" s="76">
        <f t="shared" si="65"/>
        <v>8.9228865600000002</v>
      </c>
      <c r="BA31" s="76">
        <f t="shared" si="65"/>
        <v>8.9228865600000002</v>
      </c>
      <c r="BB31" s="76">
        <f t="shared" si="65"/>
        <v>9.1013442912000002</v>
      </c>
      <c r="BC31" s="76">
        <f t="shared" si="65"/>
        <v>9.1013442912000002</v>
      </c>
      <c r="BD31" s="76">
        <f t="shared" si="65"/>
        <v>9.1013442912000002</v>
      </c>
      <c r="BE31" s="76">
        <f t="shared" si="65"/>
        <v>9.1013442912000002</v>
      </c>
      <c r="BF31" s="76">
        <f t="shared" si="65"/>
        <v>9.1013442912000002</v>
      </c>
      <c r="BG31" s="76">
        <f t="shared" si="65"/>
        <v>9.1013442912000002</v>
      </c>
      <c r="BH31" s="76">
        <f t="shared" si="65"/>
        <v>9.1013442912000002</v>
      </c>
      <c r="BI31" s="76">
        <f t="shared" si="65"/>
        <v>9.1013442912000002</v>
      </c>
      <c r="BJ31" s="76">
        <f t="shared" si="65"/>
        <v>9.1013442912000002</v>
      </c>
      <c r="BK31" s="76">
        <f t="shared" si="65"/>
        <v>9.1013442912000002</v>
      </c>
      <c r="BL31" s="76">
        <f t="shared" si="65"/>
        <v>9.1013442912000002</v>
      </c>
      <c r="BM31" s="76">
        <f t="shared" si="65"/>
        <v>9.1013442912000002</v>
      </c>
      <c r="BN31" s="76">
        <f t="shared" si="65"/>
        <v>9.1013442912000002</v>
      </c>
    </row>
    <row r="32" spans="2:66" x14ac:dyDescent="0.2">
      <c r="B32" t="s">
        <v>18</v>
      </c>
      <c r="C32" t="s">
        <v>10</v>
      </c>
      <c r="G32" s="76">
        <f t="shared" ref="G32:L32" si="66">H32</f>
        <v>7.2596160000000003</v>
      </c>
      <c r="H32" s="76">
        <f t="shared" si="66"/>
        <v>7.2596160000000003</v>
      </c>
      <c r="I32" s="76">
        <f t="shared" si="66"/>
        <v>7.2596160000000003</v>
      </c>
      <c r="J32" s="76">
        <f>K32</f>
        <v>7.2596160000000003</v>
      </c>
      <c r="K32" s="76">
        <f t="shared" si="66"/>
        <v>7.2596160000000003</v>
      </c>
      <c r="L32" s="76">
        <f t="shared" si="66"/>
        <v>7.2596160000000003</v>
      </c>
      <c r="M32" s="76">
        <f>N32</f>
        <v>7.2596160000000003</v>
      </c>
      <c r="N32" s="76">
        <f>N31*N34</f>
        <v>7.2596160000000003</v>
      </c>
      <c r="O32" s="76">
        <f>M32</f>
        <v>7.2596160000000003</v>
      </c>
      <c r="P32" s="76">
        <f>O32</f>
        <v>7.2596160000000003</v>
      </c>
      <c r="Q32" s="76">
        <f t="shared" ref="Q32:Y32" si="67">R32</f>
        <v>7.4120679359999997</v>
      </c>
      <c r="R32" s="76">
        <f t="shared" si="67"/>
        <v>7.4120679359999997</v>
      </c>
      <c r="S32" s="76">
        <f t="shared" si="67"/>
        <v>7.4120679359999997</v>
      </c>
      <c r="T32" s="76">
        <f t="shared" si="67"/>
        <v>7.4120679359999997</v>
      </c>
      <c r="U32" s="76">
        <f t="shared" si="67"/>
        <v>7.4120679359999997</v>
      </c>
      <c r="V32" s="76">
        <f t="shared" si="67"/>
        <v>7.4120679359999997</v>
      </c>
      <c r="W32" s="76">
        <f t="shared" si="67"/>
        <v>7.4120679359999997</v>
      </c>
      <c r="X32" s="76">
        <f t="shared" si="67"/>
        <v>7.4120679359999997</v>
      </c>
      <c r="Y32" s="76">
        <f t="shared" si="67"/>
        <v>7.4120679359999997</v>
      </c>
      <c r="Z32" s="76">
        <f>AA32</f>
        <v>7.4120679359999997</v>
      </c>
      <c r="AA32" s="76">
        <f>AA31*AA34</f>
        <v>7.4120679359999997</v>
      </c>
      <c r="AB32" s="76">
        <f t="shared" ref="AB32:AL32" si="68">AC32</f>
        <v>7.5603092947199997</v>
      </c>
      <c r="AC32" s="76">
        <f t="shared" si="68"/>
        <v>7.5603092947199997</v>
      </c>
      <c r="AD32" s="76">
        <f t="shared" si="68"/>
        <v>7.5603092947199997</v>
      </c>
      <c r="AE32" s="76">
        <f t="shared" si="68"/>
        <v>7.5603092947199997</v>
      </c>
      <c r="AF32" s="76">
        <f t="shared" si="68"/>
        <v>7.5603092947199997</v>
      </c>
      <c r="AG32" s="76">
        <f t="shared" si="68"/>
        <v>7.5603092947199997</v>
      </c>
      <c r="AH32" s="76">
        <f t="shared" si="68"/>
        <v>7.5603092947199997</v>
      </c>
      <c r="AI32" s="76">
        <f t="shared" si="68"/>
        <v>7.5603092947199997</v>
      </c>
      <c r="AJ32" s="76">
        <f t="shared" si="68"/>
        <v>7.5603092947199997</v>
      </c>
      <c r="AK32" s="76">
        <f t="shared" si="68"/>
        <v>7.5603092947199997</v>
      </c>
      <c r="AL32" s="76">
        <f t="shared" si="68"/>
        <v>7.5603092947199997</v>
      </c>
      <c r="AM32" s="76">
        <f>AN32</f>
        <v>7.5603092947199997</v>
      </c>
      <c r="AN32" s="76">
        <f>AN31*AN34</f>
        <v>7.5603092947199997</v>
      </c>
      <c r="AO32" s="76">
        <f t="shared" ref="AO32:AY32" si="69">AP32</f>
        <v>7.7115154806144002</v>
      </c>
      <c r="AP32" s="76">
        <f t="shared" si="69"/>
        <v>7.7115154806144002</v>
      </c>
      <c r="AQ32" s="76">
        <f t="shared" si="69"/>
        <v>7.7115154806144002</v>
      </c>
      <c r="AR32" s="76">
        <f t="shared" si="69"/>
        <v>7.7115154806144002</v>
      </c>
      <c r="AS32" s="76">
        <f t="shared" si="69"/>
        <v>7.7115154806144002</v>
      </c>
      <c r="AT32" s="76">
        <f t="shared" si="69"/>
        <v>7.7115154806144002</v>
      </c>
      <c r="AU32" s="76">
        <f t="shared" si="69"/>
        <v>7.7115154806144002</v>
      </c>
      <c r="AV32" s="76">
        <f t="shared" si="69"/>
        <v>7.7115154806144002</v>
      </c>
      <c r="AW32" s="76">
        <f t="shared" si="69"/>
        <v>7.7115154806144002</v>
      </c>
      <c r="AX32" s="76">
        <f t="shared" si="69"/>
        <v>7.7115154806144002</v>
      </c>
      <c r="AY32" s="76">
        <f t="shared" si="69"/>
        <v>7.7115154806144002</v>
      </c>
      <c r="AZ32" s="76">
        <f>BA32</f>
        <v>7.7115154806144002</v>
      </c>
      <c r="BA32" s="76">
        <f>BA31*BA34</f>
        <v>7.7115154806144002</v>
      </c>
      <c r="BB32" s="76">
        <f t="shared" ref="BB32:BL32" si="70">BC32</f>
        <v>7.9181695333439999</v>
      </c>
      <c r="BC32" s="76">
        <f t="shared" si="70"/>
        <v>7.9181695333439999</v>
      </c>
      <c r="BD32" s="76">
        <f t="shared" si="70"/>
        <v>7.9181695333439999</v>
      </c>
      <c r="BE32" s="76">
        <f t="shared" si="70"/>
        <v>7.9181695333439999</v>
      </c>
      <c r="BF32" s="76">
        <f t="shared" si="70"/>
        <v>7.9181695333439999</v>
      </c>
      <c r="BG32" s="76">
        <f t="shared" si="70"/>
        <v>7.9181695333439999</v>
      </c>
      <c r="BH32" s="76">
        <f t="shared" si="70"/>
        <v>7.9181695333439999</v>
      </c>
      <c r="BI32" s="76">
        <f t="shared" si="70"/>
        <v>7.9181695333439999</v>
      </c>
      <c r="BJ32" s="76">
        <f t="shared" si="70"/>
        <v>7.9181695333439999</v>
      </c>
      <c r="BK32" s="76">
        <f t="shared" si="70"/>
        <v>7.9181695333439999</v>
      </c>
      <c r="BL32" s="76">
        <f t="shared" si="70"/>
        <v>7.9181695333439999</v>
      </c>
      <c r="BM32" s="76">
        <f>BN32</f>
        <v>7.9181695333439999</v>
      </c>
      <c r="BN32" s="76">
        <f>BN31*BN34</f>
        <v>7.9181695333439999</v>
      </c>
    </row>
    <row r="33" spans="2:68" x14ac:dyDescent="0.2">
      <c r="B33" t="s">
        <v>25</v>
      </c>
      <c r="C33" s="82" t="s">
        <v>104</v>
      </c>
      <c r="G33" s="39">
        <f>G18</f>
        <v>614</v>
      </c>
      <c r="H33" s="39">
        <f t="shared" ref="H33:BN33" si="71">H18</f>
        <v>614</v>
      </c>
      <c r="I33" s="39">
        <f t="shared" si="71"/>
        <v>614</v>
      </c>
      <c r="J33" s="43">
        <f>ROUNDUP(J18*(1+J60),0)</f>
        <v>669</v>
      </c>
      <c r="K33" s="43">
        <f t="shared" ref="K33:AZ33" si="72">ROUNDUP(K18*(1+K60),0)</f>
        <v>1025</v>
      </c>
      <c r="L33" s="43">
        <f t="shared" si="72"/>
        <v>1382</v>
      </c>
      <c r="M33" s="43">
        <f>ROUNDUP(M18*(1+M60),0)</f>
        <v>1739</v>
      </c>
      <c r="N33" s="43">
        <f>SUM(J33:M33)</f>
        <v>4815</v>
      </c>
      <c r="O33" s="43">
        <f t="shared" si="72"/>
        <v>2094</v>
      </c>
      <c r="P33" s="43">
        <f t="shared" si="72"/>
        <v>2451</v>
      </c>
      <c r="Q33" s="43">
        <f t="shared" si="72"/>
        <v>2451</v>
      </c>
      <c r="R33" s="43">
        <f t="shared" si="72"/>
        <v>2451</v>
      </c>
      <c r="S33" s="43">
        <f t="shared" si="72"/>
        <v>2451</v>
      </c>
      <c r="T33" s="43">
        <f t="shared" si="72"/>
        <v>2451</v>
      </c>
      <c r="U33" s="43">
        <f t="shared" si="72"/>
        <v>2451</v>
      </c>
      <c r="V33" s="43">
        <f>ROUNDUP(V18*(1+V60),0)</f>
        <v>2451</v>
      </c>
      <c r="W33" s="43">
        <f t="shared" si="72"/>
        <v>2451</v>
      </c>
      <c r="X33" s="43">
        <f t="shared" si="72"/>
        <v>2451</v>
      </c>
      <c r="Y33" s="43">
        <f t="shared" si="72"/>
        <v>2451</v>
      </c>
      <c r="Z33" s="43">
        <f t="shared" si="72"/>
        <v>2451</v>
      </c>
      <c r="AA33" s="43">
        <f>SUM(O33:Z33)</f>
        <v>29055</v>
      </c>
      <c r="AB33" s="43">
        <f t="shared" si="72"/>
        <v>2451</v>
      </c>
      <c r="AC33" s="43">
        <f t="shared" si="72"/>
        <v>2451</v>
      </c>
      <c r="AD33" s="43">
        <f t="shared" si="72"/>
        <v>2579</v>
      </c>
      <c r="AE33" s="43">
        <f t="shared" si="72"/>
        <v>2708</v>
      </c>
      <c r="AF33" s="43">
        <f t="shared" si="72"/>
        <v>2837</v>
      </c>
      <c r="AG33" s="43">
        <f t="shared" si="72"/>
        <v>2966</v>
      </c>
      <c r="AH33" s="43">
        <f t="shared" si="72"/>
        <v>3094</v>
      </c>
      <c r="AI33" s="43">
        <f t="shared" si="72"/>
        <v>3224</v>
      </c>
      <c r="AJ33" s="43">
        <f t="shared" si="72"/>
        <v>3352</v>
      </c>
      <c r="AK33" s="43">
        <f t="shared" si="72"/>
        <v>3481</v>
      </c>
      <c r="AL33" s="43">
        <f t="shared" si="72"/>
        <v>3611</v>
      </c>
      <c r="AM33" s="43">
        <f t="shared" si="72"/>
        <v>3739</v>
      </c>
      <c r="AN33" s="43">
        <f>SUM(AB33:AM33)</f>
        <v>36493</v>
      </c>
      <c r="AO33" s="43">
        <f t="shared" si="72"/>
        <v>3869</v>
      </c>
      <c r="AP33" s="43">
        <f t="shared" si="72"/>
        <v>3997</v>
      </c>
      <c r="AQ33" s="43">
        <f t="shared" si="72"/>
        <v>4126</v>
      </c>
      <c r="AR33" s="43">
        <f t="shared" si="72"/>
        <v>4255</v>
      </c>
      <c r="AS33" s="43">
        <f t="shared" si="72"/>
        <v>4384</v>
      </c>
      <c r="AT33" s="43">
        <f t="shared" si="72"/>
        <v>4512</v>
      </c>
      <c r="AU33" s="43">
        <f t="shared" si="72"/>
        <v>4642</v>
      </c>
      <c r="AV33" s="43">
        <f t="shared" si="72"/>
        <v>4901</v>
      </c>
      <c r="AW33" s="43">
        <f t="shared" si="72"/>
        <v>4901</v>
      </c>
      <c r="AX33" s="43">
        <f t="shared" si="72"/>
        <v>4901</v>
      </c>
      <c r="AY33" s="43">
        <f t="shared" si="72"/>
        <v>4901</v>
      </c>
      <c r="AZ33" s="43">
        <f t="shared" si="72"/>
        <v>4901</v>
      </c>
      <c r="BA33" s="43">
        <f>SUM(AO33:AZ33)</f>
        <v>54290</v>
      </c>
      <c r="BB33" s="39">
        <f t="shared" si="71"/>
        <v>4153.9167364339992</v>
      </c>
      <c r="BC33" s="39">
        <f t="shared" si="71"/>
        <v>4153.9167364339992</v>
      </c>
      <c r="BD33" s="39">
        <f t="shared" si="71"/>
        <v>4153.9167364339992</v>
      </c>
      <c r="BE33" s="39">
        <f t="shared" si="71"/>
        <v>4153.9167364339992</v>
      </c>
      <c r="BF33" s="39">
        <f t="shared" si="71"/>
        <v>4153.9167364339992</v>
      </c>
      <c r="BG33" s="39">
        <f t="shared" si="71"/>
        <v>4153.9167364339992</v>
      </c>
      <c r="BH33" s="39">
        <f t="shared" si="71"/>
        <v>4153.9167364339992</v>
      </c>
      <c r="BI33" s="39">
        <f t="shared" si="71"/>
        <v>4153.9167364339992</v>
      </c>
      <c r="BJ33" s="39">
        <f t="shared" si="71"/>
        <v>4153.9167364339992</v>
      </c>
      <c r="BK33" s="39">
        <f t="shared" si="71"/>
        <v>4153.9167364339992</v>
      </c>
      <c r="BL33" s="39">
        <f t="shared" si="71"/>
        <v>4153.9167364339992</v>
      </c>
      <c r="BM33" s="39">
        <f t="shared" si="71"/>
        <v>4153.9167364339992</v>
      </c>
      <c r="BN33" s="39">
        <f t="shared" si="71"/>
        <v>49847.00083720799</v>
      </c>
    </row>
    <row r="34" spans="2:68" x14ac:dyDescent="0.2">
      <c r="B34" t="s">
        <v>110</v>
      </c>
      <c r="C34" t="s">
        <v>41</v>
      </c>
      <c r="G34" s="87"/>
      <c r="H34" s="86"/>
      <c r="I34" s="86"/>
      <c r="J34" s="86"/>
      <c r="K34" s="86"/>
      <c r="L34" s="86"/>
      <c r="M34" s="86"/>
      <c r="N34" s="311">
        <v>0.86424000000000001</v>
      </c>
      <c r="O34" s="86">
        <f>Scenarios!O47</f>
        <v>0</v>
      </c>
      <c r="P34" s="86">
        <f>Scenarios!P47</f>
        <v>0</v>
      </c>
      <c r="Q34" s="86">
        <f>Scenarios!Q47</f>
        <v>0</v>
      </c>
      <c r="R34" s="86">
        <f>Scenarios!R47</f>
        <v>0</v>
      </c>
      <c r="S34" s="86">
        <f>Scenarios!S47</f>
        <v>0</v>
      </c>
      <c r="T34" s="86">
        <f>Scenarios!T47</f>
        <v>0</v>
      </c>
      <c r="U34" s="86">
        <f>Scenarios!U47</f>
        <v>0</v>
      </c>
      <c r="V34" s="86">
        <f>Scenarios!V47</f>
        <v>0</v>
      </c>
      <c r="W34" s="86">
        <f>Scenarios!W47</f>
        <v>0</v>
      </c>
      <c r="X34" s="86">
        <f>Scenarios!X47</f>
        <v>0</v>
      </c>
      <c r="Y34" s="86">
        <f>Scenarios!Y47</f>
        <v>0</v>
      </c>
      <c r="Z34" s="86">
        <f>Scenarios!Z47</f>
        <v>0</v>
      </c>
      <c r="AA34" s="102">
        <f>N34</f>
        <v>0.86424000000000001</v>
      </c>
      <c r="AB34" s="86">
        <f>Scenarios!AB47</f>
        <v>0</v>
      </c>
      <c r="AC34" s="86">
        <f>Scenarios!AC47</f>
        <v>0</v>
      </c>
      <c r="AD34" s="86">
        <f>Scenarios!AD47</f>
        <v>0</v>
      </c>
      <c r="AE34" s="86">
        <f>Scenarios!AE47</f>
        <v>0</v>
      </c>
      <c r="AF34" s="86">
        <f>Scenarios!AF47</f>
        <v>0</v>
      </c>
      <c r="AG34" s="86">
        <f>Scenarios!AG47</f>
        <v>0</v>
      </c>
      <c r="AH34" s="86">
        <f>Scenarios!AH47</f>
        <v>0</v>
      </c>
      <c r="AI34" s="86">
        <f>Scenarios!AI47</f>
        <v>0</v>
      </c>
      <c r="AJ34" s="86">
        <f>Scenarios!AJ47</f>
        <v>0</v>
      </c>
      <c r="AK34" s="86">
        <f>Scenarios!AK47</f>
        <v>0</v>
      </c>
      <c r="AL34" s="86">
        <f>Scenarios!AL47</f>
        <v>0</v>
      </c>
      <c r="AM34" s="86">
        <f>Scenarios!AM47</f>
        <v>0</v>
      </c>
      <c r="AN34" s="102">
        <f>AA34</f>
        <v>0.86424000000000001</v>
      </c>
      <c r="AO34" s="86">
        <f>Scenarios!AO47</f>
        <v>0</v>
      </c>
      <c r="AP34" s="86">
        <f>Scenarios!AP47</f>
        <v>0</v>
      </c>
      <c r="AQ34" s="86">
        <f>Scenarios!AQ47</f>
        <v>0</v>
      </c>
      <c r="AR34" s="86">
        <f>Scenarios!AR47</f>
        <v>0</v>
      </c>
      <c r="AS34" s="86">
        <f>Scenarios!AS47</f>
        <v>0</v>
      </c>
      <c r="AT34" s="86">
        <f>Scenarios!AT47</f>
        <v>0</v>
      </c>
      <c r="AU34" s="86">
        <f>Scenarios!AU47</f>
        <v>0</v>
      </c>
      <c r="AV34" s="86">
        <f>Scenarios!AV47</f>
        <v>0</v>
      </c>
      <c r="AW34" s="86">
        <f>Scenarios!AW47</f>
        <v>0</v>
      </c>
      <c r="AX34" s="86">
        <f>Scenarios!AX47</f>
        <v>0</v>
      </c>
      <c r="AY34" s="86">
        <f>Scenarios!AY47</f>
        <v>0</v>
      </c>
      <c r="AZ34" s="86">
        <f>Scenarios!AZ47</f>
        <v>0</v>
      </c>
      <c r="BA34" s="102">
        <f>AN34</f>
        <v>0.86424000000000001</v>
      </c>
      <c r="BB34" s="86">
        <f>Scenarios!BB47</f>
        <v>0</v>
      </c>
      <c r="BC34" s="86">
        <f>Scenarios!BC47</f>
        <v>0</v>
      </c>
      <c r="BD34" s="86">
        <f>Scenarios!BD47</f>
        <v>0</v>
      </c>
      <c r="BE34" s="86">
        <f>Scenarios!BE47</f>
        <v>0</v>
      </c>
      <c r="BF34" s="86">
        <f>Scenarios!BF47</f>
        <v>0</v>
      </c>
      <c r="BG34" s="86">
        <f>Scenarios!BG47</f>
        <v>0</v>
      </c>
      <c r="BH34" s="86">
        <f>Scenarios!BH47</f>
        <v>0</v>
      </c>
      <c r="BI34" s="86">
        <f>Scenarios!BI47</f>
        <v>0</v>
      </c>
      <c r="BJ34" s="86">
        <f>Scenarios!BJ47</f>
        <v>0</v>
      </c>
      <c r="BK34" s="86">
        <f>Scenarios!BK47</f>
        <v>0</v>
      </c>
      <c r="BL34" s="86">
        <f>Scenarios!BL47</f>
        <v>0</v>
      </c>
      <c r="BM34" s="86">
        <f>Scenarios!BM47</f>
        <v>0</v>
      </c>
      <c r="BN34" s="86">
        <f>Scenarios!BN47</f>
        <v>0.87</v>
      </c>
    </row>
    <row r="35" spans="2:68" x14ac:dyDescent="0.2">
      <c r="B35" s="6"/>
      <c r="N35" s="39"/>
    </row>
    <row r="36" spans="2:68" x14ac:dyDescent="0.2">
      <c r="B36" s="6" t="s">
        <v>105</v>
      </c>
    </row>
    <row r="37" spans="2:68" x14ac:dyDescent="0.2">
      <c r="B37" t="s">
        <v>18</v>
      </c>
      <c r="C37" s="82" t="s">
        <v>100</v>
      </c>
      <c r="G37" s="39">
        <f t="shared" ref="G37:L37" si="73">H37</f>
        <v>30750</v>
      </c>
      <c r="H37" s="39">
        <f t="shared" si="73"/>
        <v>30750</v>
      </c>
      <c r="I37" s="39">
        <f t="shared" si="73"/>
        <v>30750</v>
      </c>
      <c r="J37" s="39">
        <f t="shared" si="73"/>
        <v>30750</v>
      </c>
      <c r="K37" s="39">
        <f t="shared" si="73"/>
        <v>30750</v>
      </c>
      <c r="L37" s="39">
        <f t="shared" si="73"/>
        <v>30750</v>
      </c>
      <c r="M37" s="39">
        <f>N37</f>
        <v>30750</v>
      </c>
      <c r="N37" s="36">
        <v>30750</v>
      </c>
      <c r="O37" s="39">
        <f>N37</f>
        <v>30750</v>
      </c>
      <c r="P37" s="39">
        <f>O37</f>
        <v>30750</v>
      </c>
      <c r="Q37" s="39">
        <f>P37*(1+AA38)</f>
        <v>31395.749999999996</v>
      </c>
      <c r="R37" s="39">
        <f t="shared" ref="R37:AA37" si="74">Q37</f>
        <v>31395.749999999996</v>
      </c>
      <c r="S37" s="39">
        <f t="shared" si="74"/>
        <v>31395.749999999996</v>
      </c>
      <c r="T37" s="39">
        <f t="shared" si="74"/>
        <v>31395.749999999996</v>
      </c>
      <c r="U37" s="39">
        <f t="shared" si="74"/>
        <v>31395.749999999996</v>
      </c>
      <c r="V37" s="39">
        <f t="shared" si="74"/>
        <v>31395.749999999996</v>
      </c>
      <c r="W37" s="39">
        <f t="shared" si="74"/>
        <v>31395.749999999996</v>
      </c>
      <c r="X37" s="39">
        <f t="shared" si="74"/>
        <v>31395.749999999996</v>
      </c>
      <c r="Y37" s="39">
        <f t="shared" si="74"/>
        <v>31395.749999999996</v>
      </c>
      <c r="Z37" s="39">
        <f t="shared" si="74"/>
        <v>31395.749999999996</v>
      </c>
      <c r="AA37" s="39">
        <f t="shared" si="74"/>
        <v>31395.749999999996</v>
      </c>
      <c r="AB37" s="39">
        <f>AA37*(1+AN38)</f>
        <v>32023.664999999997</v>
      </c>
      <c r="AC37" s="39">
        <f>AB37</f>
        <v>32023.664999999997</v>
      </c>
      <c r="AD37" s="39">
        <f t="shared" ref="AD37:AN37" si="75">AC37</f>
        <v>32023.664999999997</v>
      </c>
      <c r="AE37" s="39">
        <f t="shared" si="75"/>
        <v>32023.664999999997</v>
      </c>
      <c r="AF37" s="39">
        <f t="shared" si="75"/>
        <v>32023.664999999997</v>
      </c>
      <c r="AG37" s="39">
        <f t="shared" si="75"/>
        <v>32023.664999999997</v>
      </c>
      <c r="AH37" s="39">
        <f t="shared" si="75"/>
        <v>32023.664999999997</v>
      </c>
      <c r="AI37" s="39">
        <f t="shared" si="75"/>
        <v>32023.664999999997</v>
      </c>
      <c r="AJ37" s="39">
        <f t="shared" si="75"/>
        <v>32023.664999999997</v>
      </c>
      <c r="AK37" s="39">
        <f t="shared" si="75"/>
        <v>32023.664999999997</v>
      </c>
      <c r="AL37" s="39">
        <f t="shared" si="75"/>
        <v>32023.664999999997</v>
      </c>
      <c r="AM37" s="39">
        <f t="shared" si="75"/>
        <v>32023.664999999997</v>
      </c>
      <c r="AN37" s="39">
        <f t="shared" si="75"/>
        <v>32023.664999999997</v>
      </c>
      <c r="AO37" s="39">
        <f t="shared" ref="AO37:BB37" si="76">AN37*(1+BA38)</f>
        <v>32664.138299999999</v>
      </c>
      <c r="AP37" s="39">
        <f t="shared" si="76"/>
        <v>32664.138299999999</v>
      </c>
      <c r="AQ37" s="39">
        <f t="shared" si="76"/>
        <v>32664.138299999999</v>
      </c>
      <c r="AR37" s="39">
        <f t="shared" si="76"/>
        <v>32664.138299999999</v>
      </c>
      <c r="AS37" s="39">
        <f t="shared" si="76"/>
        <v>32664.138299999999</v>
      </c>
      <c r="AT37" s="39">
        <f t="shared" si="76"/>
        <v>32664.138299999999</v>
      </c>
      <c r="AU37" s="39">
        <f t="shared" si="76"/>
        <v>32664.138299999999</v>
      </c>
      <c r="AV37" s="39">
        <f t="shared" si="76"/>
        <v>32664.138299999999</v>
      </c>
      <c r="AW37" s="39">
        <f t="shared" si="76"/>
        <v>32664.138299999999</v>
      </c>
      <c r="AX37" s="39">
        <f t="shared" si="76"/>
        <v>32664.138299999999</v>
      </c>
      <c r="AY37" s="39">
        <f t="shared" si="76"/>
        <v>32664.138299999999</v>
      </c>
      <c r="AZ37" s="39">
        <f t="shared" si="76"/>
        <v>32664.138299999999</v>
      </c>
      <c r="BA37" s="39">
        <f t="shared" si="76"/>
        <v>32664.138299999999</v>
      </c>
      <c r="BB37" s="39">
        <f t="shared" si="76"/>
        <v>33317.421066000003</v>
      </c>
      <c r="BC37" s="39">
        <f>BB37</f>
        <v>33317.421066000003</v>
      </c>
      <c r="BD37" s="39">
        <f t="shared" ref="BD37:BN37" si="77">BC37</f>
        <v>33317.421066000003</v>
      </c>
      <c r="BE37" s="39">
        <f t="shared" si="77"/>
        <v>33317.421066000003</v>
      </c>
      <c r="BF37" s="39">
        <f t="shared" si="77"/>
        <v>33317.421066000003</v>
      </c>
      <c r="BG37" s="39">
        <f t="shared" si="77"/>
        <v>33317.421066000003</v>
      </c>
      <c r="BH37" s="39">
        <f t="shared" si="77"/>
        <v>33317.421066000003</v>
      </c>
      <c r="BI37" s="39">
        <f t="shared" si="77"/>
        <v>33317.421066000003</v>
      </c>
      <c r="BJ37" s="39">
        <f t="shared" si="77"/>
        <v>33317.421066000003</v>
      </c>
      <c r="BK37" s="39">
        <f t="shared" si="77"/>
        <v>33317.421066000003</v>
      </c>
      <c r="BL37" s="39">
        <f t="shared" si="77"/>
        <v>33317.421066000003</v>
      </c>
      <c r="BM37" s="39">
        <f t="shared" si="77"/>
        <v>33317.421066000003</v>
      </c>
      <c r="BN37" s="39">
        <f t="shared" si="77"/>
        <v>33317.421066000003</v>
      </c>
    </row>
    <row r="38" spans="2:68" x14ac:dyDescent="0.2">
      <c r="B38" t="s">
        <v>19</v>
      </c>
      <c r="C38" t="s">
        <v>13</v>
      </c>
      <c r="N38" s="38">
        <f>N29</f>
        <v>0</v>
      </c>
      <c r="O38" s="38">
        <f t="shared" ref="O38:BN38" si="78">O29</f>
        <v>0</v>
      </c>
      <c r="P38" s="38">
        <f t="shared" si="78"/>
        <v>0</v>
      </c>
      <c r="Q38" s="38">
        <f t="shared" si="78"/>
        <v>0</v>
      </c>
      <c r="R38" s="38">
        <f t="shared" si="78"/>
        <v>0</v>
      </c>
      <c r="S38" s="38">
        <f t="shared" si="78"/>
        <v>0</v>
      </c>
      <c r="T38" s="38">
        <f t="shared" si="78"/>
        <v>0</v>
      </c>
      <c r="U38" s="38">
        <f t="shared" si="78"/>
        <v>0</v>
      </c>
      <c r="V38" s="38">
        <f t="shared" si="78"/>
        <v>0</v>
      </c>
      <c r="W38" s="38">
        <f t="shared" si="78"/>
        <v>0</v>
      </c>
      <c r="X38" s="38">
        <f t="shared" si="78"/>
        <v>0</v>
      </c>
      <c r="Y38" s="38">
        <f t="shared" si="78"/>
        <v>0</v>
      </c>
      <c r="Z38" s="38">
        <f t="shared" si="78"/>
        <v>0</v>
      </c>
      <c r="AA38" s="38">
        <f t="shared" si="78"/>
        <v>2.1000000000000001E-2</v>
      </c>
      <c r="AB38" s="38">
        <f t="shared" si="78"/>
        <v>0</v>
      </c>
      <c r="AC38" s="38">
        <f t="shared" si="78"/>
        <v>0</v>
      </c>
      <c r="AD38" s="38">
        <f t="shared" si="78"/>
        <v>0</v>
      </c>
      <c r="AE38" s="38">
        <f t="shared" si="78"/>
        <v>0</v>
      </c>
      <c r="AF38" s="38">
        <f t="shared" si="78"/>
        <v>0</v>
      </c>
      <c r="AG38" s="38">
        <f t="shared" si="78"/>
        <v>0</v>
      </c>
      <c r="AH38" s="38">
        <f t="shared" si="78"/>
        <v>0</v>
      </c>
      <c r="AI38" s="38">
        <f t="shared" si="78"/>
        <v>0</v>
      </c>
      <c r="AJ38" s="38">
        <f t="shared" si="78"/>
        <v>0</v>
      </c>
      <c r="AK38" s="38">
        <f t="shared" si="78"/>
        <v>0</v>
      </c>
      <c r="AL38" s="38">
        <f t="shared" si="78"/>
        <v>0</v>
      </c>
      <c r="AM38" s="38">
        <f t="shared" si="78"/>
        <v>0</v>
      </c>
      <c r="AN38" s="38">
        <f t="shared" si="78"/>
        <v>0.02</v>
      </c>
      <c r="AO38" s="38">
        <f t="shared" si="78"/>
        <v>0</v>
      </c>
      <c r="AP38" s="38">
        <f t="shared" si="78"/>
        <v>0</v>
      </c>
      <c r="AQ38" s="38">
        <f t="shared" si="78"/>
        <v>0</v>
      </c>
      <c r="AR38" s="38">
        <f t="shared" si="78"/>
        <v>0</v>
      </c>
      <c r="AS38" s="38">
        <f t="shared" si="78"/>
        <v>0</v>
      </c>
      <c r="AT38" s="38">
        <f t="shared" si="78"/>
        <v>0</v>
      </c>
      <c r="AU38" s="38">
        <f t="shared" si="78"/>
        <v>0</v>
      </c>
      <c r="AV38" s="38">
        <f t="shared" si="78"/>
        <v>0</v>
      </c>
      <c r="AW38" s="38">
        <f t="shared" si="78"/>
        <v>0</v>
      </c>
      <c r="AX38" s="38">
        <f t="shared" si="78"/>
        <v>0</v>
      </c>
      <c r="AY38" s="38">
        <f t="shared" si="78"/>
        <v>0</v>
      </c>
      <c r="AZ38" s="38">
        <f t="shared" si="78"/>
        <v>0</v>
      </c>
      <c r="BA38" s="38">
        <f t="shared" si="78"/>
        <v>0.02</v>
      </c>
      <c r="BB38" s="38">
        <f t="shared" si="78"/>
        <v>0</v>
      </c>
      <c r="BC38" s="38">
        <f t="shared" si="78"/>
        <v>0</v>
      </c>
      <c r="BD38" s="38">
        <f t="shared" si="78"/>
        <v>0</v>
      </c>
      <c r="BE38" s="38">
        <f t="shared" si="78"/>
        <v>0</v>
      </c>
      <c r="BF38" s="38">
        <f t="shared" si="78"/>
        <v>0</v>
      </c>
      <c r="BG38" s="38">
        <f t="shared" si="78"/>
        <v>0</v>
      </c>
      <c r="BH38" s="38">
        <f t="shared" si="78"/>
        <v>0</v>
      </c>
      <c r="BI38" s="38">
        <f t="shared" si="78"/>
        <v>0</v>
      </c>
      <c r="BJ38" s="38">
        <f t="shared" si="78"/>
        <v>0</v>
      </c>
      <c r="BK38" s="38">
        <f t="shared" si="78"/>
        <v>0</v>
      </c>
      <c r="BL38" s="38">
        <f t="shared" si="78"/>
        <v>0</v>
      </c>
      <c r="BM38" s="38">
        <f t="shared" si="78"/>
        <v>0</v>
      </c>
      <c r="BN38" s="38">
        <f t="shared" si="78"/>
        <v>0.02</v>
      </c>
    </row>
    <row r="39" spans="2:68" x14ac:dyDescent="0.2">
      <c r="B39" t="s">
        <v>347</v>
      </c>
      <c r="C39" t="s">
        <v>348</v>
      </c>
      <c r="G39" s="39">
        <f t="shared" ref="G39:L39" si="79">H39</f>
        <v>12</v>
      </c>
      <c r="H39" s="39">
        <f t="shared" si="79"/>
        <v>12</v>
      </c>
      <c r="I39" s="39">
        <f t="shared" si="79"/>
        <v>12</v>
      </c>
      <c r="J39" s="39">
        <f t="shared" si="79"/>
        <v>12</v>
      </c>
      <c r="K39" s="39">
        <f t="shared" si="79"/>
        <v>12</v>
      </c>
      <c r="L39" s="39">
        <f t="shared" si="79"/>
        <v>12</v>
      </c>
      <c r="M39" s="39">
        <f>N39</f>
        <v>12</v>
      </c>
      <c r="N39" s="36">
        <v>12</v>
      </c>
      <c r="O39" s="39">
        <f>N39</f>
        <v>12</v>
      </c>
      <c r="P39" s="39">
        <f t="shared" ref="P39:BN39" si="80">O39</f>
        <v>12</v>
      </c>
      <c r="Q39" s="39">
        <f t="shared" si="80"/>
        <v>12</v>
      </c>
      <c r="R39" s="39">
        <f t="shared" si="80"/>
        <v>12</v>
      </c>
      <c r="S39" s="39">
        <f t="shared" si="80"/>
        <v>12</v>
      </c>
      <c r="T39" s="39">
        <f t="shared" si="80"/>
        <v>12</v>
      </c>
      <c r="U39" s="39">
        <f t="shared" si="80"/>
        <v>12</v>
      </c>
      <c r="V39" s="39">
        <f t="shared" si="80"/>
        <v>12</v>
      </c>
      <c r="W39" s="39">
        <f t="shared" si="80"/>
        <v>12</v>
      </c>
      <c r="X39" s="39">
        <f t="shared" si="80"/>
        <v>12</v>
      </c>
      <c r="Y39" s="39">
        <f t="shared" si="80"/>
        <v>12</v>
      </c>
      <c r="Z39" s="39">
        <f t="shared" si="80"/>
        <v>12</v>
      </c>
      <c r="AA39" s="39">
        <f t="shared" si="80"/>
        <v>12</v>
      </c>
      <c r="AB39" s="39">
        <f t="shared" si="80"/>
        <v>12</v>
      </c>
      <c r="AC39" s="39">
        <f t="shared" si="80"/>
        <v>12</v>
      </c>
      <c r="AD39" s="39">
        <f t="shared" si="80"/>
        <v>12</v>
      </c>
      <c r="AE39" s="39">
        <f t="shared" si="80"/>
        <v>12</v>
      </c>
      <c r="AF39" s="39">
        <f t="shared" si="80"/>
        <v>12</v>
      </c>
      <c r="AG39" s="39">
        <f t="shared" si="80"/>
        <v>12</v>
      </c>
      <c r="AH39" s="39">
        <f t="shared" si="80"/>
        <v>12</v>
      </c>
      <c r="AI39" s="39">
        <f t="shared" si="80"/>
        <v>12</v>
      </c>
      <c r="AJ39" s="39">
        <f t="shared" si="80"/>
        <v>12</v>
      </c>
      <c r="AK39" s="39">
        <f t="shared" si="80"/>
        <v>12</v>
      </c>
      <c r="AL39" s="39">
        <f t="shared" si="80"/>
        <v>12</v>
      </c>
      <c r="AM39" s="39">
        <f t="shared" si="80"/>
        <v>12</v>
      </c>
      <c r="AN39" s="39">
        <f t="shared" si="80"/>
        <v>12</v>
      </c>
      <c r="AO39" s="39">
        <f t="shared" si="80"/>
        <v>12</v>
      </c>
      <c r="AP39" s="39">
        <f t="shared" si="80"/>
        <v>12</v>
      </c>
      <c r="AQ39" s="39">
        <f t="shared" si="80"/>
        <v>12</v>
      </c>
      <c r="AR39" s="39">
        <f t="shared" si="80"/>
        <v>12</v>
      </c>
      <c r="AS39" s="39">
        <f t="shared" si="80"/>
        <v>12</v>
      </c>
      <c r="AT39" s="39">
        <f t="shared" si="80"/>
        <v>12</v>
      </c>
      <c r="AU39" s="39">
        <f t="shared" si="80"/>
        <v>12</v>
      </c>
      <c r="AV39" s="39">
        <f t="shared" si="80"/>
        <v>12</v>
      </c>
      <c r="AW39" s="39">
        <f t="shared" si="80"/>
        <v>12</v>
      </c>
      <c r="AX39" s="39">
        <f t="shared" si="80"/>
        <v>12</v>
      </c>
      <c r="AY39" s="39">
        <f t="shared" si="80"/>
        <v>12</v>
      </c>
      <c r="AZ39" s="39">
        <f t="shared" si="80"/>
        <v>12</v>
      </c>
      <c r="BA39" s="39">
        <f t="shared" si="80"/>
        <v>12</v>
      </c>
      <c r="BB39" s="39">
        <f t="shared" si="80"/>
        <v>12</v>
      </c>
      <c r="BC39" s="39">
        <f t="shared" si="80"/>
        <v>12</v>
      </c>
      <c r="BD39" s="39">
        <f t="shared" si="80"/>
        <v>12</v>
      </c>
      <c r="BE39" s="39">
        <f t="shared" si="80"/>
        <v>12</v>
      </c>
      <c r="BF39" s="39">
        <f t="shared" si="80"/>
        <v>12</v>
      </c>
      <c r="BG39" s="39">
        <f t="shared" si="80"/>
        <v>12</v>
      </c>
      <c r="BH39" s="39">
        <f t="shared" si="80"/>
        <v>12</v>
      </c>
      <c r="BI39" s="39">
        <f t="shared" si="80"/>
        <v>12</v>
      </c>
      <c r="BJ39" s="39">
        <f t="shared" si="80"/>
        <v>12</v>
      </c>
      <c r="BK39" s="39">
        <f t="shared" si="80"/>
        <v>12</v>
      </c>
      <c r="BL39" s="39">
        <f t="shared" si="80"/>
        <v>12</v>
      </c>
      <c r="BM39" s="39">
        <f t="shared" si="80"/>
        <v>12</v>
      </c>
      <c r="BN39" s="39">
        <f t="shared" si="80"/>
        <v>12</v>
      </c>
    </row>
    <row r="40" spans="2:68" x14ac:dyDescent="0.2">
      <c r="B40" t="s">
        <v>18</v>
      </c>
      <c r="C40" s="82" t="s">
        <v>103</v>
      </c>
      <c r="G40" s="76">
        <f t="shared" ref="G40:AL40" si="81">(G39*G37)/25000</f>
        <v>14.76</v>
      </c>
      <c r="H40" s="76">
        <f t="shared" si="81"/>
        <v>14.76</v>
      </c>
      <c r="I40" s="76">
        <f t="shared" si="81"/>
        <v>14.76</v>
      </c>
      <c r="J40" s="76">
        <f t="shared" si="81"/>
        <v>14.76</v>
      </c>
      <c r="K40" s="76">
        <f t="shared" si="81"/>
        <v>14.76</v>
      </c>
      <c r="L40" s="76">
        <f t="shared" si="81"/>
        <v>14.76</v>
      </c>
      <c r="M40" s="76">
        <f>(M39*M37)/25000</f>
        <v>14.76</v>
      </c>
      <c r="N40" s="76">
        <f t="shared" si="81"/>
        <v>14.76</v>
      </c>
      <c r="O40" s="76">
        <f>N40</f>
        <v>14.76</v>
      </c>
      <c r="P40" s="76">
        <f>O40</f>
        <v>14.76</v>
      </c>
      <c r="Q40" s="76">
        <f t="shared" si="81"/>
        <v>15.069959999999998</v>
      </c>
      <c r="R40" s="76">
        <f t="shared" si="81"/>
        <v>15.069959999999998</v>
      </c>
      <c r="S40" s="76">
        <f t="shared" si="81"/>
        <v>15.069959999999998</v>
      </c>
      <c r="T40" s="76">
        <f t="shared" si="81"/>
        <v>15.069959999999998</v>
      </c>
      <c r="U40" s="76">
        <f t="shared" si="81"/>
        <v>15.069959999999998</v>
      </c>
      <c r="V40" s="76">
        <f t="shared" si="81"/>
        <v>15.069959999999998</v>
      </c>
      <c r="W40" s="76">
        <f t="shared" si="81"/>
        <v>15.069959999999998</v>
      </c>
      <c r="X40" s="76">
        <f t="shared" si="81"/>
        <v>15.069959999999998</v>
      </c>
      <c r="Y40" s="76">
        <f t="shared" si="81"/>
        <v>15.069959999999998</v>
      </c>
      <c r="Z40" s="76">
        <f t="shared" si="81"/>
        <v>15.069959999999998</v>
      </c>
      <c r="AA40" s="76">
        <f t="shared" si="81"/>
        <v>15.069959999999998</v>
      </c>
      <c r="AB40" s="76">
        <f t="shared" si="81"/>
        <v>15.371359199999999</v>
      </c>
      <c r="AC40" s="76">
        <f t="shared" si="81"/>
        <v>15.371359199999999</v>
      </c>
      <c r="AD40" s="76">
        <f t="shared" si="81"/>
        <v>15.371359199999999</v>
      </c>
      <c r="AE40" s="76">
        <f t="shared" si="81"/>
        <v>15.371359199999999</v>
      </c>
      <c r="AF40" s="76">
        <f t="shared" si="81"/>
        <v>15.371359199999999</v>
      </c>
      <c r="AG40" s="76">
        <f t="shared" si="81"/>
        <v>15.371359199999999</v>
      </c>
      <c r="AH40" s="76">
        <f t="shared" si="81"/>
        <v>15.371359199999999</v>
      </c>
      <c r="AI40" s="76">
        <f t="shared" si="81"/>
        <v>15.371359199999999</v>
      </c>
      <c r="AJ40" s="76">
        <f t="shared" si="81"/>
        <v>15.371359199999999</v>
      </c>
      <c r="AK40" s="76">
        <f t="shared" si="81"/>
        <v>15.371359199999999</v>
      </c>
      <c r="AL40" s="76">
        <f t="shared" si="81"/>
        <v>15.371359199999999</v>
      </c>
      <c r="AM40" s="76">
        <f t="shared" ref="AM40:BN40" si="82">(AM39*AM37)/25000</f>
        <v>15.371359199999999</v>
      </c>
      <c r="AN40" s="76">
        <f t="shared" si="82"/>
        <v>15.371359199999999</v>
      </c>
      <c r="AO40" s="76">
        <f t="shared" si="82"/>
        <v>15.678786384</v>
      </c>
      <c r="AP40" s="76">
        <f t="shared" si="82"/>
        <v>15.678786384</v>
      </c>
      <c r="AQ40" s="76">
        <f t="shared" si="82"/>
        <v>15.678786384</v>
      </c>
      <c r="AR40" s="76">
        <f t="shared" si="82"/>
        <v>15.678786384</v>
      </c>
      <c r="AS40" s="76">
        <f t="shared" si="82"/>
        <v>15.678786384</v>
      </c>
      <c r="AT40" s="76">
        <f t="shared" si="82"/>
        <v>15.678786384</v>
      </c>
      <c r="AU40" s="76">
        <f t="shared" si="82"/>
        <v>15.678786384</v>
      </c>
      <c r="AV40" s="76">
        <f t="shared" si="82"/>
        <v>15.678786384</v>
      </c>
      <c r="AW40" s="76">
        <f t="shared" si="82"/>
        <v>15.678786384</v>
      </c>
      <c r="AX40" s="76">
        <f t="shared" si="82"/>
        <v>15.678786384</v>
      </c>
      <c r="AY40" s="76">
        <f t="shared" si="82"/>
        <v>15.678786384</v>
      </c>
      <c r="AZ40" s="76">
        <f t="shared" si="82"/>
        <v>15.678786384</v>
      </c>
      <c r="BA40" s="76">
        <f t="shared" si="82"/>
        <v>15.678786384</v>
      </c>
      <c r="BB40" s="76">
        <f t="shared" si="82"/>
        <v>15.99236211168</v>
      </c>
      <c r="BC40" s="76">
        <f t="shared" si="82"/>
        <v>15.99236211168</v>
      </c>
      <c r="BD40" s="76">
        <f t="shared" si="82"/>
        <v>15.99236211168</v>
      </c>
      <c r="BE40" s="76">
        <f t="shared" si="82"/>
        <v>15.99236211168</v>
      </c>
      <c r="BF40" s="76">
        <f t="shared" si="82"/>
        <v>15.99236211168</v>
      </c>
      <c r="BG40" s="76">
        <f t="shared" si="82"/>
        <v>15.99236211168</v>
      </c>
      <c r="BH40" s="76">
        <f t="shared" si="82"/>
        <v>15.99236211168</v>
      </c>
      <c r="BI40" s="76">
        <f t="shared" si="82"/>
        <v>15.99236211168</v>
      </c>
      <c r="BJ40" s="76">
        <f t="shared" si="82"/>
        <v>15.99236211168</v>
      </c>
      <c r="BK40" s="76">
        <f t="shared" si="82"/>
        <v>15.99236211168</v>
      </c>
      <c r="BL40" s="76">
        <f t="shared" si="82"/>
        <v>15.99236211168</v>
      </c>
      <c r="BM40" s="76">
        <f t="shared" si="82"/>
        <v>15.99236211168</v>
      </c>
      <c r="BN40" s="76">
        <f t="shared" si="82"/>
        <v>15.99236211168</v>
      </c>
    </row>
    <row r="41" spans="2:68" x14ac:dyDescent="0.2">
      <c r="B41" t="s">
        <v>18</v>
      </c>
      <c r="C41" t="s">
        <v>10</v>
      </c>
      <c r="G41" s="76">
        <f t="shared" ref="G41:L41" si="83">H41</f>
        <v>12.7561824</v>
      </c>
      <c r="H41" s="76">
        <f t="shared" si="83"/>
        <v>12.7561824</v>
      </c>
      <c r="I41" s="76">
        <f t="shared" si="83"/>
        <v>12.7561824</v>
      </c>
      <c r="J41" s="76">
        <f>K41</f>
        <v>12.7561824</v>
      </c>
      <c r="K41" s="76">
        <f t="shared" si="83"/>
        <v>12.7561824</v>
      </c>
      <c r="L41" s="76">
        <f t="shared" si="83"/>
        <v>12.7561824</v>
      </c>
      <c r="M41" s="76">
        <f>N41</f>
        <v>12.7561824</v>
      </c>
      <c r="N41" s="76">
        <f>N40*N43</f>
        <v>12.7561824</v>
      </c>
      <c r="O41" s="76">
        <f>N41</f>
        <v>12.7561824</v>
      </c>
      <c r="P41" s="76">
        <f>O41</f>
        <v>12.7561824</v>
      </c>
      <c r="Q41" s="76">
        <f t="shared" ref="Q41:Y41" si="84">R41</f>
        <v>13.024062230399998</v>
      </c>
      <c r="R41" s="76">
        <f t="shared" si="84"/>
        <v>13.024062230399998</v>
      </c>
      <c r="S41" s="76">
        <f t="shared" si="84"/>
        <v>13.024062230399998</v>
      </c>
      <c r="T41" s="76">
        <f t="shared" si="84"/>
        <v>13.024062230399998</v>
      </c>
      <c r="U41" s="76">
        <f t="shared" si="84"/>
        <v>13.024062230399998</v>
      </c>
      <c r="V41" s="76">
        <f t="shared" si="84"/>
        <v>13.024062230399998</v>
      </c>
      <c r="W41" s="76">
        <f t="shared" si="84"/>
        <v>13.024062230399998</v>
      </c>
      <c r="X41" s="76">
        <f t="shared" si="84"/>
        <v>13.024062230399998</v>
      </c>
      <c r="Y41" s="76">
        <f t="shared" si="84"/>
        <v>13.024062230399998</v>
      </c>
      <c r="Z41" s="76">
        <f>AA41</f>
        <v>13.024062230399998</v>
      </c>
      <c r="AA41" s="76">
        <f>AA40*AA43</f>
        <v>13.024062230399998</v>
      </c>
      <c r="AB41" s="76">
        <f t="shared" ref="AB41:AL41" si="85">AC41</f>
        <v>13.284543475007998</v>
      </c>
      <c r="AC41" s="76">
        <f t="shared" si="85"/>
        <v>13.284543475007998</v>
      </c>
      <c r="AD41" s="76">
        <f t="shared" si="85"/>
        <v>13.284543475007998</v>
      </c>
      <c r="AE41" s="76">
        <f t="shared" si="85"/>
        <v>13.284543475007998</v>
      </c>
      <c r="AF41" s="76">
        <f t="shared" si="85"/>
        <v>13.284543475007998</v>
      </c>
      <c r="AG41" s="76">
        <f t="shared" si="85"/>
        <v>13.284543475007998</v>
      </c>
      <c r="AH41" s="76">
        <f t="shared" si="85"/>
        <v>13.284543475007998</v>
      </c>
      <c r="AI41" s="76">
        <f t="shared" si="85"/>
        <v>13.284543475007998</v>
      </c>
      <c r="AJ41" s="76">
        <f t="shared" si="85"/>
        <v>13.284543475007998</v>
      </c>
      <c r="AK41" s="76">
        <f t="shared" si="85"/>
        <v>13.284543475007998</v>
      </c>
      <c r="AL41" s="76">
        <f t="shared" si="85"/>
        <v>13.284543475007998</v>
      </c>
      <c r="AM41" s="76">
        <f>AN41</f>
        <v>13.284543475007998</v>
      </c>
      <c r="AN41" s="76">
        <f>AN40*AN43</f>
        <v>13.284543475007998</v>
      </c>
      <c r="AO41" s="76">
        <f t="shared" ref="AO41:AY41" si="86">AP41</f>
        <v>13.55023434450816</v>
      </c>
      <c r="AP41" s="76">
        <f t="shared" si="86"/>
        <v>13.55023434450816</v>
      </c>
      <c r="AQ41" s="76">
        <f t="shared" si="86"/>
        <v>13.55023434450816</v>
      </c>
      <c r="AR41" s="76">
        <f t="shared" si="86"/>
        <v>13.55023434450816</v>
      </c>
      <c r="AS41" s="76">
        <f t="shared" si="86"/>
        <v>13.55023434450816</v>
      </c>
      <c r="AT41" s="76">
        <f t="shared" si="86"/>
        <v>13.55023434450816</v>
      </c>
      <c r="AU41" s="76">
        <f t="shared" si="86"/>
        <v>13.55023434450816</v>
      </c>
      <c r="AV41" s="76">
        <f t="shared" si="86"/>
        <v>13.55023434450816</v>
      </c>
      <c r="AW41" s="76">
        <f t="shared" si="86"/>
        <v>13.55023434450816</v>
      </c>
      <c r="AX41" s="76">
        <f t="shared" si="86"/>
        <v>13.55023434450816</v>
      </c>
      <c r="AY41" s="76">
        <f t="shared" si="86"/>
        <v>13.55023434450816</v>
      </c>
      <c r="AZ41" s="76">
        <f>BA41</f>
        <v>13.55023434450816</v>
      </c>
      <c r="BA41" s="76">
        <f>BA40*BA43</f>
        <v>13.55023434450816</v>
      </c>
      <c r="BB41" s="76">
        <f t="shared" ref="BB41:BL41" si="87">BC41</f>
        <v>13.913355037161601</v>
      </c>
      <c r="BC41" s="76">
        <f t="shared" si="87"/>
        <v>13.913355037161601</v>
      </c>
      <c r="BD41" s="76">
        <f t="shared" si="87"/>
        <v>13.913355037161601</v>
      </c>
      <c r="BE41" s="76">
        <f t="shared" si="87"/>
        <v>13.913355037161601</v>
      </c>
      <c r="BF41" s="76">
        <f t="shared" si="87"/>
        <v>13.913355037161601</v>
      </c>
      <c r="BG41" s="76">
        <f t="shared" si="87"/>
        <v>13.913355037161601</v>
      </c>
      <c r="BH41" s="76">
        <f t="shared" si="87"/>
        <v>13.913355037161601</v>
      </c>
      <c r="BI41" s="76">
        <f t="shared" si="87"/>
        <v>13.913355037161601</v>
      </c>
      <c r="BJ41" s="76">
        <f t="shared" si="87"/>
        <v>13.913355037161601</v>
      </c>
      <c r="BK41" s="76">
        <f t="shared" si="87"/>
        <v>13.913355037161601</v>
      </c>
      <c r="BL41" s="76">
        <f t="shared" si="87"/>
        <v>13.913355037161601</v>
      </c>
      <c r="BM41" s="76">
        <f>BN41</f>
        <v>13.913355037161601</v>
      </c>
      <c r="BN41" s="76">
        <f>BN40*BN43</f>
        <v>13.913355037161601</v>
      </c>
    </row>
    <row r="42" spans="2:68" x14ac:dyDescent="0.2">
      <c r="B42" t="s">
        <v>25</v>
      </c>
      <c r="C42" s="82" t="s">
        <v>104</v>
      </c>
      <c r="G42" s="39">
        <f>G19</f>
        <v>818</v>
      </c>
      <c r="H42" s="39">
        <f t="shared" ref="H42:BN42" si="88">H19</f>
        <v>818</v>
      </c>
      <c r="I42" s="39">
        <f t="shared" si="88"/>
        <v>818</v>
      </c>
      <c r="J42" s="39">
        <f>ROUNDUP(J19*(1+J61),0)</f>
        <v>891</v>
      </c>
      <c r="K42" s="39">
        <f t="shared" ref="K42:AZ42" si="89">ROUNDUP(K19*(1+K61),0)</f>
        <v>1367</v>
      </c>
      <c r="L42" s="39">
        <f t="shared" si="89"/>
        <v>1842</v>
      </c>
      <c r="M42" s="39">
        <f>ROUNDUP(M19*(1+M61),0)</f>
        <v>2318</v>
      </c>
      <c r="N42" s="39">
        <f>SUM(J42:M42)</f>
        <v>6418</v>
      </c>
      <c r="O42" s="39">
        <f>ROUNDUP(O19*(1+O61),0)</f>
        <v>2793</v>
      </c>
      <c r="P42" s="39">
        <f t="shared" si="89"/>
        <v>3267</v>
      </c>
      <c r="Q42" s="39">
        <f t="shared" si="89"/>
        <v>3267</v>
      </c>
      <c r="R42" s="39">
        <f t="shared" si="89"/>
        <v>3267</v>
      </c>
      <c r="S42" s="39">
        <f t="shared" si="89"/>
        <v>3267</v>
      </c>
      <c r="T42" s="39">
        <f t="shared" si="89"/>
        <v>3267</v>
      </c>
      <c r="U42" s="39">
        <f t="shared" si="89"/>
        <v>3267</v>
      </c>
      <c r="V42" s="39">
        <f t="shared" si="89"/>
        <v>3267</v>
      </c>
      <c r="W42" s="39">
        <f t="shared" si="89"/>
        <v>3267</v>
      </c>
      <c r="X42" s="39">
        <f t="shared" si="89"/>
        <v>3267</v>
      </c>
      <c r="Y42" s="39">
        <f t="shared" si="89"/>
        <v>3267</v>
      </c>
      <c r="Z42" s="39">
        <f t="shared" si="89"/>
        <v>3267</v>
      </c>
      <c r="AA42" s="39">
        <f>SUM(O42:Z42)</f>
        <v>38730</v>
      </c>
      <c r="AB42" s="39">
        <f t="shared" si="89"/>
        <v>3267</v>
      </c>
      <c r="AC42" s="39">
        <f t="shared" si="89"/>
        <v>3267</v>
      </c>
      <c r="AD42" s="39">
        <f t="shared" si="89"/>
        <v>3440</v>
      </c>
      <c r="AE42" s="39">
        <f t="shared" si="89"/>
        <v>3612</v>
      </c>
      <c r="AF42" s="39">
        <f t="shared" si="89"/>
        <v>3784</v>
      </c>
      <c r="AG42" s="39">
        <f t="shared" si="89"/>
        <v>3956</v>
      </c>
      <c r="AH42" s="39">
        <f t="shared" si="89"/>
        <v>4128</v>
      </c>
      <c r="AI42" s="39">
        <f t="shared" si="89"/>
        <v>4299</v>
      </c>
      <c r="AJ42" s="39">
        <f t="shared" si="89"/>
        <v>4471</v>
      </c>
      <c r="AK42" s="39">
        <f t="shared" si="89"/>
        <v>4643</v>
      </c>
      <c r="AL42" s="39">
        <f t="shared" si="89"/>
        <v>4814</v>
      </c>
      <c r="AM42" s="39">
        <f t="shared" si="89"/>
        <v>4986</v>
      </c>
      <c r="AN42" s="39">
        <f>SUM(AB42:AM42)</f>
        <v>48667</v>
      </c>
      <c r="AO42" s="39">
        <f t="shared" si="89"/>
        <v>5158</v>
      </c>
      <c r="AP42" s="39">
        <f t="shared" si="89"/>
        <v>5330</v>
      </c>
      <c r="AQ42" s="39">
        <f t="shared" si="89"/>
        <v>5502</v>
      </c>
      <c r="AR42" s="39">
        <f t="shared" si="89"/>
        <v>5674</v>
      </c>
      <c r="AS42" s="39">
        <f t="shared" si="89"/>
        <v>5846</v>
      </c>
      <c r="AT42" s="39">
        <f t="shared" si="89"/>
        <v>6018</v>
      </c>
      <c r="AU42" s="39">
        <f t="shared" si="89"/>
        <v>6189</v>
      </c>
      <c r="AV42" s="39">
        <f t="shared" si="89"/>
        <v>6534</v>
      </c>
      <c r="AW42" s="39">
        <f t="shared" si="89"/>
        <v>6534</v>
      </c>
      <c r="AX42" s="39">
        <f t="shared" si="89"/>
        <v>6534</v>
      </c>
      <c r="AY42" s="39">
        <f t="shared" si="89"/>
        <v>6534</v>
      </c>
      <c r="AZ42" s="39">
        <f t="shared" si="89"/>
        <v>6534</v>
      </c>
      <c r="BA42" s="39">
        <f>SUM(AO42:AZ42)</f>
        <v>72387</v>
      </c>
      <c r="BB42" s="39">
        <f t="shared" si="88"/>
        <v>5539.0832984496665</v>
      </c>
      <c r="BC42" s="39">
        <f t="shared" si="88"/>
        <v>5539.0832984496665</v>
      </c>
      <c r="BD42" s="39">
        <f t="shared" si="88"/>
        <v>5539.0832984496665</v>
      </c>
      <c r="BE42" s="39">
        <f t="shared" si="88"/>
        <v>5539.0832984496665</v>
      </c>
      <c r="BF42" s="39">
        <f t="shared" si="88"/>
        <v>5539.0832984496665</v>
      </c>
      <c r="BG42" s="39">
        <f t="shared" si="88"/>
        <v>5539.0832984496665</v>
      </c>
      <c r="BH42" s="39">
        <f t="shared" si="88"/>
        <v>5539.0832984496665</v>
      </c>
      <c r="BI42" s="39">
        <f t="shared" si="88"/>
        <v>5539.0832984496665</v>
      </c>
      <c r="BJ42" s="39">
        <f t="shared" si="88"/>
        <v>5539.0832984496665</v>
      </c>
      <c r="BK42" s="39">
        <f t="shared" si="88"/>
        <v>5539.0832984496665</v>
      </c>
      <c r="BL42" s="39">
        <f t="shared" si="88"/>
        <v>5539.0832984496665</v>
      </c>
      <c r="BM42" s="39">
        <f t="shared" si="88"/>
        <v>5539.0832984496665</v>
      </c>
      <c r="BN42" s="39">
        <f t="shared" si="88"/>
        <v>66468.999581395998</v>
      </c>
      <c r="BP42" s="43"/>
    </row>
    <row r="43" spans="2:68" x14ac:dyDescent="0.2">
      <c r="B43" t="s">
        <v>110</v>
      </c>
      <c r="C43" t="s">
        <v>41</v>
      </c>
      <c r="G43" s="87">
        <f>G34</f>
        <v>0</v>
      </c>
      <c r="H43" s="87">
        <f t="shared" ref="H43:BN43" si="90">H34</f>
        <v>0</v>
      </c>
      <c r="I43" s="87">
        <f t="shared" si="90"/>
        <v>0</v>
      </c>
      <c r="J43" s="87">
        <f t="shared" si="90"/>
        <v>0</v>
      </c>
      <c r="K43" s="87">
        <f t="shared" si="90"/>
        <v>0</v>
      </c>
      <c r="L43" s="87">
        <f t="shared" si="90"/>
        <v>0</v>
      </c>
      <c r="M43" s="87">
        <f t="shared" si="90"/>
        <v>0</v>
      </c>
      <c r="N43" s="311">
        <v>0.86424000000000001</v>
      </c>
      <c r="O43" s="102">
        <f t="shared" si="90"/>
        <v>0</v>
      </c>
      <c r="P43" s="102">
        <f t="shared" si="90"/>
        <v>0</v>
      </c>
      <c r="Q43" s="102">
        <f t="shared" si="90"/>
        <v>0</v>
      </c>
      <c r="R43" s="102">
        <f t="shared" si="90"/>
        <v>0</v>
      </c>
      <c r="S43" s="102">
        <f t="shared" si="90"/>
        <v>0</v>
      </c>
      <c r="T43" s="102">
        <f t="shared" si="90"/>
        <v>0</v>
      </c>
      <c r="U43" s="102">
        <f t="shared" si="90"/>
        <v>0</v>
      </c>
      <c r="V43" s="102">
        <f t="shared" si="90"/>
        <v>0</v>
      </c>
      <c r="W43" s="102">
        <f t="shared" si="90"/>
        <v>0</v>
      </c>
      <c r="X43" s="102">
        <f t="shared" si="90"/>
        <v>0</v>
      </c>
      <c r="Y43" s="102">
        <f t="shared" si="90"/>
        <v>0</v>
      </c>
      <c r="Z43" s="102">
        <f t="shared" si="90"/>
        <v>0</v>
      </c>
      <c r="AA43" s="102">
        <f>N43</f>
        <v>0.86424000000000001</v>
      </c>
      <c r="AB43" s="102">
        <f t="shared" si="90"/>
        <v>0</v>
      </c>
      <c r="AC43" s="102">
        <f t="shared" si="90"/>
        <v>0</v>
      </c>
      <c r="AD43" s="102">
        <f t="shared" si="90"/>
        <v>0</v>
      </c>
      <c r="AE43" s="102">
        <f t="shared" si="90"/>
        <v>0</v>
      </c>
      <c r="AF43" s="102">
        <f t="shared" si="90"/>
        <v>0</v>
      </c>
      <c r="AG43" s="102">
        <f t="shared" si="90"/>
        <v>0</v>
      </c>
      <c r="AH43" s="102">
        <f t="shared" si="90"/>
        <v>0</v>
      </c>
      <c r="AI43" s="102">
        <f t="shared" si="90"/>
        <v>0</v>
      </c>
      <c r="AJ43" s="102">
        <f t="shared" si="90"/>
        <v>0</v>
      </c>
      <c r="AK43" s="102">
        <f t="shared" si="90"/>
        <v>0</v>
      </c>
      <c r="AL43" s="102">
        <f t="shared" si="90"/>
        <v>0</v>
      </c>
      <c r="AM43" s="102">
        <f t="shared" si="90"/>
        <v>0</v>
      </c>
      <c r="AN43" s="102">
        <f>AA43</f>
        <v>0.86424000000000001</v>
      </c>
      <c r="AO43" s="102">
        <f t="shared" si="90"/>
        <v>0</v>
      </c>
      <c r="AP43" s="102">
        <f t="shared" si="90"/>
        <v>0</v>
      </c>
      <c r="AQ43" s="102">
        <f t="shared" si="90"/>
        <v>0</v>
      </c>
      <c r="AR43" s="102">
        <f t="shared" si="90"/>
        <v>0</v>
      </c>
      <c r="AS43" s="102">
        <f t="shared" si="90"/>
        <v>0</v>
      </c>
      <c r="AT43" s="102">
        <f t="shared" si="90"/>
        <v>0</v>
      </c>
      <c r="AU43" s="102">
        <f t="shared" si="90"/>
        <v>0</v>
      </c>
      <c r="AV43" s="102">
        <f t="shared" si="90"/>
        <v>0</v>
      </c>
      <c r="AW43" s="102">
        <f t="shared" si="90"/>
        <v>0</v>
      </c>
      <c r="AX43" s="102">
        <f t="shared" si="90"/>
        <v>0</v>
      </c>
      <c r="AY43" s="102">
        <f t="shared" si="90"/>
        <v>0</v>
      </c>
      <c r="AZ43" s="102">
        <f t="shared" si="90"/>
        <v>0</v>
      </c>
      <c r="BA43" s="102">
        <f>AN43</f>
        <v>0.86424000000000001</v>
      </c>
      <c r="BB43" s="102">
        <f t="shared" si="90"/>
        <v>0</v>
      </c>
      <c r="BC43" s="102">
        <f t="shared" si="90"/>
        <v>0</v>
      </c>
      <c r="BD43" s="102">
        <f t="shared" si="90"/>
        <v>0</v>
      </c>
      <c r="BE43" s="102">
        <f t="shared" si="90"/>
        <v>0</v>
      </c>
      <c r="BF43" s="102">
        <f t="shared" si="90"/>
        <v>0</v>
      </c>
      <c r="BG43" s="102">
        <f t="shared" si="90"/>
        <v>0</v>
      </c>
      <c r="BH43" s="102">
        <f t="shared" si="90"/>
        <v>0</v>
      </c>
      <c r="BI43" s="102">
        <f t="shared" si="90"/>
        <v>0</v>
      </c>
      <c r="BJ43" s="102">
        <f t="shared" si="90"/>
        <v>0</v>
      </c>
      <c r="BK43" s="102">
        <f t="shared" si="90"/>
        <v>0</v>
      </c>
      <c r="BL43" s="102">
        <f t="shared" si="90"/>
        <v>0</v>
      </c>
      <c r="BM43" s="102">
        <f t="shared" si="90"/>
        <v>0</v>
      </c>
      <c r="BN43" s="102">
        <f t="shared" si="90"/>
        <v>0.87</v>
      </c>
    </row>
    <row r="45" spans="2:68" x14ac:dyDescent="0.2">
      <c r="B45" s="6" t="s">
        <v>106</v>
      </c>
    </row>
    <row r="46" spans="2:68" x14ac:dyDescent="0.2">
      <c r="B46" t="s">
        <v>18</v>
      </c>
      <c r="C46" s="82" t="s">
        <v>107</v>
      </c>
      <c r="G46" s="39">
        <f t="shared" ref="G46:L46" si="91">H46</f>
        <v>30000</v>
      </c>
      <c r="H46" s="39">
        <f t="shared" si="91"/>
        <v>30000</v>
      </c>
      <c r="I46" s="39">
        <f t="shared" si="91"/>
        <v>30000</v>
      </c>
      <c r="J46" s="39">
        <f t="shared" si="91"/>
        <v>30000</v>
      </c>
      <c r="K46" s="39">
        <f t="shared" si="91"/>
        <v>30000</v>
      </c>
      <c r="L46" s="39">
        <f t="shared" si="91"/>
        <v>30000</v>
      </c>
      <c r="M46" s="39">
        <f>N46</f>
        <v>30000</v>
      </c>
      <c r="N46" s="36">
        <v>30000</v>
      </c>
      <c r="O46" s="39">
        <f>N46</f>
        <v>30000</v>
      </c>
      <c r="P46" s="39">
        <f>O46</f>
        <v>30000</v>
      </c>
      <c r="Q46" s="39">
        <f>P46*(1+AA47)</f>
        <v>30629.999999999996</v>
      </c>
      <c r="R46" s="39">
        <f t="shared" ref="R46:AA46" si="92">Q46</f>
        <v>30629.999999999996</v>
      </c>
      <c r="S46" s="39">
        <f t="shared" si="92"/>
        <v>30629.999999999996</v>
      </c>
      <c r="T46" s="39">
        <f t="shared" si="92"/>
        <v>30629.999999999996</v>
      </c>
      <c r="U46" s="39">
        <f t="shared" si="92"/>
        <v>30629.999999999996</v>
      </c>
      <c r="V46" s="39">
        <f t="shared" si="92"/>
        <v>30629.999999999996</v>
      </c>
      <c r="W46" s="39">
        <f t="shared" si="92"/>
        <v>30629.999999999996</v>
      </c>
      <c r="X46" s="39">
        <f t="shared" si="92"/>
        <v>30629.999999999996</v>
      </c>
      <c r="Y46" s="39">
        <f t="shared" si="92"/>
        <v>30629.999999999996</v>
      </c>
      <c r="Z46" s="39">
        <f t="shared" si="92"/>
        <v>30629.999999999996</v>
      </c>
      <c r="AA46" s="39">
        <f t="shared" si="92"/>
        <v>30629.999999999996</v>
      </c>
      <c r="AB46" s="39">
        <f>AA46*(1+AN47)</f>
        <v>31242.6</v>
      </c>
      <c r="AC46" s="39">
        <f>AB46</f>
        <v>31242.6</v>
      </c>
      <c r="AD46" s="39">
        <f t="shared" ref="AD46:AN46" si="93">AC46</f>
        <v>31242.6</v>
      </c>
      <c r="AE46" s="39">
        <f t="shared" si="93"/>
        <v>31242.6</v>
      </c>
      <c r="AF46" s="39">
        <f t="shared" si="93"/>
        <v>31242.6</v>
      </c>
      <c r="AG46" s="39">
        <f t="shared" si="93"/>
        <v>31242.6</v>
      </c>
      <c r="AH46" s="39">
        <f t="shared" si="93"/>
        <v>31242.6</v>
      </c>
      <c r="AI46" s="39">
        <f t="shared" si="93"/>
        <v>31242.6</v>
      </c>
      <c r="AJ46" s="39">
        <f t="shared" si="93"/>
        <v>31242.6</v>
      </c>
      <c r="AK46" s="39">
        <f t="shared" si="93"/>
        <v>31242.6</v>
      </c>
      <c r="AL46" s="39">
        <f t="shared" si="93"/>
        <v>31242.6</v>
      </c>
      <c r="AM46" s="39">
        <f t="shared" si="93"/>
        <v>31242.6</v>
      </c>
      <c r="AN46" s="39">
        <f t="shared" si="93"/>
        <v>31242.6</v>
      </c>
      <c r="AO46" s="39">
        <f t="shared" ref="AO46:BB46" si="94">AN46*(1+BA47)</f>
        <v>31867.451999999997</v>
      </c>
      <c r="AP46" s="39">
        <f t="shared" si="94"/>
        <v>31867.451999999997</v>
      </c>
      <c r="AQ46" s="39">
        <f t="shared" si="94"/>
        <v>31867.451999999997</v>
      </c>
      <c r="AR46" s="39">
        <f t="shared" si="94"/>
        <v>31867.451999999997</v>
      </c>
      <c r="AS46" s="39">
        <f t="shared" si="94"/>
        <v>31867.451999999997</v>
      </c>
      <c r="AT46" s="39">
        <f t="shared" si="94"/>
        <v>31867.451999999997</v>
      </c>
      <c r="AU46" s="39">
        <f t="shared" si="94"/>
        <v>31867.451999999997</v>
      </c>
      <c r="AV46" s="39">
        <f t="shared" si="94"/>
        <v>31867.451999999997</v>
      </c>
      <c r="AW46" s="39">
        <f t="shared" si="94"/>
        <v>31867.451999999997</v>
      </c>
      <c r="AX46" s="39">
        <f t="shared" si="94"/>
        <v>31867.451999999997</v>
      </c>
      <c r="AY46" s="39">
        <f t="shared" si="94"/>
        <v>31867.451999999997</v>
      </c>
      <c r="AZ46" s="39">
        <f t="shared" si="94"/>
        <v>31867.451999999997</v>
      </c>
      <c r="BA46" s="39">
        <f t="shared" si="94"/>
        <v>31867.451999999997</v>
      </c>
      <c r="BB46" s="39">
        <f t="shared" si="94"/>
        <v>32504.801039999998</v>
      </c>
      <c r="BC46" s="39">
        <f>BB46</f>
        <v>32504.801039999998</v>
      </c>
      <c r="BD46" s="39">
        <f t="shared" ref="BD46:BN46" si="95">BC46</f>
        <v>32504.801039999998</v>
      </c>
      <c r="BE46" s="39">
        <f t="shared" si="95"/>
        <v>32504.801039999998</v>
      </c>
      <c r="BF46" s="39">
        <f t="shared" si="95"/>
        <v>32504.801039999998</v>
      </c>
      <c r="BG46" s="39">
        <f t="shared" si="95"/>
        <v>32504.801039999998</v>
      </c>
      <c r="BH46" s="39">
        <f t="shared" si="95"/>
        <v>32504.801039999998</v>
      </c>
      <c r="BI46" s="39">
        <f t="shared" si="95"/>
        <v>32504.801039999998</v>
      </c>
      <c r="BJ46" s="39">
        <f t="shared" si="95"/>
        <v>32504.801039999998</v>
      </c>
      <c r="BK46" s="39">
        <f t="shared" si="95"/>
        <v>32504.801039999998</v>
      </c>
      <c r="BL46" s="39">
        <f t="shared" si="95"/>
        <v>32504.801039999998</v>
      </c>
      <c r="BM46" s="39">
        <f t="shared" si="95"/>
        <v>32504.801039999998</v>
      </c>
      <c r="BN46" s="39">
        <f t="shared" si="95"/>
        <v>32504.801039999998</v>
      </c>
    </row>
    <row r="47" spans="2:68" x14ac:dyDescent="0.2">
      <c r="B47" t="s">
        <v>19</v>
      </c>
      <c r="C47" t="s">
        <v>13</v>
      </c>
      <c r="N47" s="38">
        <f>N38</f>
        <v>0</v>
      </c>
      <c r="O47" s="38">
        <f t="shared" ref="O47:BN47" si="96">O38</f>
        <v>0</v>
      </c>
      <c r="P47" s="38">
        <f t="shared" si="96"/>
        <v>0</v>
      </c>
      <c r="Q47" s="38">
        <f t="shared" si="96"/>
        <v>0</v>
      </c>
      <c r="R47" s="38">
        <f t="shared" si="96"/>
        <v>0</v>
      </c>
      <c r="S47" s="38">
        <f t="shared" si="96"/>
        <v>0</v>
      </c>
      <c r="T47" s="38">
        <f t="shared" si="96"/>
        <v>0</v>
      </c>
      <c r="U47" s="38">
        <f t="shared" si="96"/>
        <v>0</v>
      </c>
      <c r="V47" s="38">
        <f t="shared" si="96"/>
        <v>0</v>
      </c>
      <c r="W47" s="38">
        <f t="shared" si="96"/>
        <v>0</v>
      </c>
      <c r="X47" s="38">
        <f t="shared" si="96"/>
        <v>0</v>
      </c>
      <c r="Y47" s="38">
        <f t="shared" si="96"/>
        <v>0</v>
      </c>
      <c r="Z47" s="38">
        <f t="shared" si="96"/>
        <v>0</v>
      </c>
      <c r="AA47" s="38">
        <f t="shared" si="96"/>
        <v>2.1000000000000001E-2</v>
      </c>
      <c r="AB47" s="38">
        <f t="shared" si="96"/>
        <v>0</v>
      </c>
      <c r="AC47" s="38">
        <f t="shared" si="96"/>
        <v>0</v>
      </c>
      <c r="AD47" s="38">
        <f t="shared" si="96"/>
        <v>0</v>
      </c>
      <c r="AE47" s="38">
        <f t="shared" si="96"/>
        <v>0</v>
      </c>
      <c r="AF47" s="38">
        <f t="shared" si="96"/>
        <v>0</v>
      </c>
      <c r="AG47" s="38">
        <f t="shared" si="96"/>
        <v>0</v>
      </c>
      <c r="AH47" s="38">
        <f t="shared" si="96"/>
        <v>0</v>
      </c>
      <c r="AI47" s="38">
        <f t="shared" si="96"/>
        <v>0</v>
      </c>
      <c r="AJ47" s="38">
        <f t="shared" si="96"/>
        <v>0</v>
      </c>
      <c r="AK47" s="38">
        <f t="shared" si="96"/>
        <v>0</v>
      </c>
      <c r="AL47" s="38">
        <f t="shared" si="96"/>
        <v>0</v>
      </c>
      <c r="AM47" s="38">
        <f t="shared" si="96"/>
        <v>0</v>
      </c>
      <c r="AN47" s="38">
        <f t="shared" si="96"/>
        <v>0.02</v>
      </c>
      <c r="AO47" s="38">
        <f t="shared" si="96"/>
        <v>0</v>
      </c>
      <c r="AP47" s="38">
        <f t="shared" si="96"/>
        <v>0</v>
      </c>
      <c r="AQ47" s="38">
        <f t="shared" si="96"/>
        <v>0</v>
      </c>
      <c r="AR47" s="38">
        <f t="shared" si="96"/>
        <v>0</v>
      </c>
      <c r="AS47" s="38">
        <f t="shared" si="96"/>
        <v>0</v>
      </c>
      <c r="AT47" s="38">
        <f t="shared" si="96"/>
        <v>0</v>
      </c>
      <c r="AU47" s="38">
        <f t="shared" si="96"/>
        <v>0</v>
      </c>
      <c r="AV47" s="38">
        <f t="shared" si="96"/>
        <v>0</v>
      </c>
      <c r="AW47" s="38">
        <f t="shared" si="96"/>
        <v>0</v>
      </c>
      <c r="AX47" s="38">
        <f t="shared" si="96"/>
        <v>0</v>
      </c>
      <c r="AY47" s="38">
        <f t="shared" si="96"/>
        <v>0</v>
      </c>
      <c r="AZ47" s="38">
        <f t="shared" si="96"/>
        <v>0</v>
      </c>
      <c r="BA47" s="38">
        <f t="shared" si="96"/>
        <v>0.02</v>
      </c>
      <c r="BB47" s="38">
        <f t="shared" si="96"/>
        <v>0</v>
      </c>
      <c r="BC47" s="38">
        <f t="shared" si="96"/>
        <v>0</v>
      </c>
      <c r="BD47" s="38">
        <f t="shared" si="96"/>
        <v>0</v>
      </c>
      <c r="BE47" s="38">
        <f t="shared" si="96"/>
        <v>0</v>
      </c>
      <c r="BF47" s="38">
        <f t="shared" si="96"/>
        <v>0</v>
      </c>
      <c r="BG47" s="38">
        <f t="shared" si="96"/>
        <v>0</v>
      </c>
      <c r="BH47" s="38">
        <f t="shared" si="96"/>
        <v>0</v>
      </c>
      <c r="BI47" s="38">
        <f t="shared" si="96"/>
        <v>0</v>
      </c>
      <c r="BJ47" s="38">
        <f t="shared" si="96"/>
        <v>0</v>
      </c>
      <c r="BK47" s="38">
        <f t="shared" si="96"/>
        <v>0</v>
      </c>
      <c r="BL47" s="38">
        <f t="shared" si="96"/>
        <v>0</v>
      </c>
      <c r="BM47" s="38">
        <f t="shared" si="96"/>
        <v>0</v>
      </c>
      <c r="BN47" s="38">
        <f t="shared" si="96"/>
        <v>0.02</v>
      </c>
    </row>
    <row r="48" spans="2:68" x14ac:dyDescent="0.2">
      <c r="B48" t="s">
        <v>347</v>
      </c>
      <c r="C48" t="s">
        <v>348</v>
      </c>
      <c r="G48" s="39">
        <f t="shared" ref="G48:L48" si="97">H48</f>
        <v>12</v>
      </c>
      <c r="H48" s="39">
        <f t="shared" si="97"/>
        <v>12</v>
      </c>
      <c r="I48" s="39">
        <f t="shared" si="97"/>
        <v>12</v>
      </c>
      <c r="J48" s="39">
        <f t="shared" si="97"/>
        <v>12</v>
      </c>
      <c r="K48" s="39">
        <f t="shared" si="97"/>
        <v>12</v>
      </c>
      <c r="L48" s="39">
        <f t="shared" si="97"/>
        <v>12</v>
      </c>
      <c r="M48" s="39">
        <f>N48</f>
        <v>12</v>
      </c>
      <c r="N48" s="36">
        <v>12</v>
      </c>
      <c r="O48" s="39">
        <f>N48</f>
        <v>12</v>
      </c>
      <c r="P48" s="39">
        <f t="shared" ref="P48:BN48" si="98">O48</f>
        <v>12</v>
      </c>
      <c r="Q48" s="39">
        <f t="shared" si="98"/>
        <v>12</v>
      </c>
      <c r="R48" s="39">
        <f t="shared" si="98"/>
        <v>12</v>
      </c>
      <c r="S48" s="39">
        <f t="shared" si="98"/>
        <v>12</v>
      </c>
      <c r="T48" s="39">
        <f t="shared" si="98"/>
        <v>12</v>
      </c>
      <c r="U48" s="39">
        <f t="shared" si="98"/>
        <v>12</v>
      </c>
      <c r="V48" s="39">
        <f t="shared" si="98"/>
        <v>12</v>
      </c>
      <c r="W48" s="39">
        <f t="shared" si="98"/>
        <v>12</v>
      </c>
      <c r="X48" s="39">
        <f t="shared" si="98"/>
        <v>12</v>
      </c>
      <c r="Y48" s="39">
        <f t="shared" si="98"/>
        <v>12</v>
      </c>
      <c r="Z48" s="39">
        <f t="shared" si="98"/>
        <v>12</v>
      </c>
      <c r="AA48" s="39">
        <f t="shared" si="98"/>
        <v>12</v>
      </c>
      <c r="AB48" s="39">
        <f t="shared" si="98"/>
        <v>12</v>
      </c>
      <c r="AC48" s="39">
        <f t="shared" si="98"/>
        <v>12</v>
      </c>
      <c r="AD48" s="39">
        <f t="shared" si="98"/>
        <v>12</v>
      </c>
      <c r="AE48" s="39">
        <f t="shared" si="98"/>
        <v>12</v>
      </c>
      <c r="AF48" s="39">
        <f t="shared" si="98"/>
        <v>12</v>
      </c>
      <c r="AG48" s="39">
        <f t="shared" si="98"/>
        <v>12</v>
      </c>
      <c r="AH48" s="39">
        <f t="shared" si="98"/>
        <v>12</v>
      </c>
      <c r="AI48" s="39">
        <f t="shared" si="98"/>
        <v>12</v>
      </c>
      <c r="AJ48" s="39">
        <f t="shared" si="98"/>
        <v>12</v>
      </c>
      <c r="AK48" s="39">
        <f t="shared" si="98"/>
        <v>12</v>
      </c>
      <c r="AL48" s="39">
        <f t="shared" si="98"/>
        <v>12</v>
      </c>
      <c r="AM48" s="39">
        <f t="shared" si="98"/>
        <v>12</v>
      </c>
      <c r="AN48" s="39">
        <f t="shared" si="98"/>
        <v>12</v>
      </c>
      <c r="AO48" s="39">
        <f t="shared" si="98"/>
        <v>12</v>
      </c>
      <c r="AP48" s="39">
        <f t="shared" si="98"/>
        <v>12</v>
      </c>
      <c r="AQ48" s="39">
        <f t="shared" si="98"/>
        <v>12</v>
      </c>
      <c r="AR48" s="39">
        <f t="shared" si="98"/>
        <v>12</v>
      </c>
      <c r="AS48" s="39">
        <f t="shared" si="98"/>
        <v>12</v>
      </c>
      <c r="AT48" s="39">
        <f t="shared" si="98"/>
        <v>12</v>
      </c>
      <c r="AU48" s="39">
        <f t="shared" si="98"/>
        <v>12</v>
      </c>
      <c r="AV48" s="39">
        <f t="shared" si="98"/>
        <v>12</v>
      </c>
      <c r="AW48" s="39">
        <f t="shared" si="98"/>
        <v>12</v>
      </c>
      <c r="AX48" s="39">
        <f t="shared" si="98"/>
        <v>12</v>
      </c>
      <c r="AY48" s="39">
        <f t="shared" si="98"/>
        <v>12</v>
      </c>
      <c r="AZ48" s="39">
        <f t="shared" si="98"/>
        <v>12</v>
      </c>
      <c r="BA48" s="39">
        <f t="shared" si="98"/>
        <v>12</v>
      </c>
      <c r="BB48" s="39">
        <f t="shared" si="98"/>
        <v>12</v>
      </c>
      <c r="BC48" s="39">
        <f t="shared" si="98"/>
        <v>12</v>
      </c>
      <c r="BD48" s="39">
        <f t="shared" si="98"/>
        <v>12</v>
      </c>
      <c r="BE48" s="39">
        <f t="shared" si="98"/>
        <v>12</v>
      </c>
      <c r="BF48" s="39">
        <f t="shared" si="98"/>
        <v>12</v>
      </c>
      <c r="BG48" s="39">
        <f t="shared" si="98"/>
        <v>12</v>
      </c>
      <c r="BH48" s="39">
        <f t="shared" si="98"/>
        <v>12</v>
      </c>
      <c r="BI48" s="39">
        <f t="shared" si="98"/>
        <v>12</v>
      </c>
      <c r="BJ48" s="39">
        <f t="shared" si="98"/>
        <v>12</v>
      </c>
      <c r="BK48" s="39">
        <f t="shared" si="98"/>
        <v>12</v>
      </c>
      <c r="BL48" s="39">
        <f t="shared" si="98"/>
        <v>12</v>
      </c>
      <c r="BM48" s="39">
        <f t="shared" si="98"/>
        <v>12</v>
      </c>
      <c r="BN48" s="39">
        <f t="shared" si="98"/>
        <v>12</v>
      </c>
    </row>
    <row r="49" spans="2:66" x14ac:dyDescent="0.2">
      <c r="B49" t="s">
        <v>18</v>
      </c>
      <c r="C49" s="82" t="s">
        <v>108</v>
      </c>
      <c r="G49" s="76">
        <f t="shared" ref="G49:AL49" si="99">(G48*G46)/25000</f>
        <v>14.4</v>
      </c>
      <c r="H49" s="76">
        <f t="shared" si="99"/>
        <v>14.4</v>
      </c>
      <c r="I49" s="76">
        <f t="shared" si="99"/>
        <v>14.4</v>
      </c>
      <c r="J49" s="76">
        <f>(J48*J46)/25000</f>
        <v>14.4</v>
      </c>
      <c r="K49" s="76">
        <f t="shared" si="99"/>
        <v>14.4</v>
      </c>
      <c r="L49" s="76">
        <f t="shared" si="99"/>
        <v>14.4</v>
      </c>
      <c r="M49" s="76">
        <f t="shared" si="99"/>
        <v>14.4</v>
      </c>
      <c r="N49" s="76">
        <f t="shared" si="99"/>
        <v>14.4</v>
      </c>
      <c r="O49" s="76">
        <f>N49</f>
        <v>14.4</v>
      </c>
      <c r="P49" s="76">
        <f>O49</f>
        <v>14.4</v>
      </c>
      <c r="Q49" s="76">
        <f t="shared" si="99"/>
        <v>14.702399999999997</v>
      </c>
      <c r="R49" s="76">
        <f t="shared" si="99"/>
        <v>14.702399999999997</v>
      </c>
      <c r="S49" s="76">
        <f t="shared" si="99"/>
        <v>14.702399999999997</v>
      </c>
      <c r="T49" s="76">
        <f t="shared" si="99"/>
        <v>14.702399999999997</v>
      </c>
      <c r="U49" s="76">
        <f t="shared" si="99"/>
        <v>14.702399999999997</v>
      </c>
      <c r="V49" s="76">
        <f t="shared" si="99"/>
        <v>14.702399999999997</v>
      </c>
      <c r="W49" s="76">
        <f t="shared" si="99"/>
        <v>14.702399999999997</v>
      </c>
      <c r="X49" s="76">
        <f t="shared" si="99"/>
        <v>14.702399999999997</v>
      </c>
      <c r="Y49" s="76">
        <f t="shared" si="99"/>
        <v>14.702399999999997</v>
      </c>
      <c r="Z49" s="76">
        <f t="shared" si="99"/>
        <v>14.702399999999997</v>
      </c>
      <c r="AA49" s="76">
        <f t="shared" si="99"/>
        <v>14.702399999999997</v>
      </c>
      <c r="AB49" s="76">
        <f t="shared" si="99"/>
        <v>14.996447999999997</v>
      </c>
      <c r="AC49" s="76">
        <f t="shared" si="99"/>
        <v>14.996447999999997</v>
      </c>
      <c r="AD49" s="76">
        <f t="shared" si="99"/>
        <v>14.996447999999997</v>
      </c>
      <c r="AE49" s="76">
        <f t="shared" si="99"/>
        <v>14.996447999999997</v>
      </c>
      <c r="AF49" s="76">
        <f t="shared" si="99"/>
        <v>14.996447999999997</v>
      </c>
      <c r="AG49" s="76">
        <f t="shared" si="99"/>
        <v>14.996447999999997</v>
      </c>
      <c r="AH49" s="76">
        <f t="shared" si="99"/>
        <v>14.996447999999997</v>
      </c>
      <c r="AI49" s="76">
        <f t="shared" si="99"/>
        <v>14.996447999999997</v>
      </c>
      <c r="AJ49" s="76">
        <f t="shared" si="99"/>
        <v>14.996447999999997</v>
      </c>
      <c r="AK49" s="76">
        <f t="shared" si="99"/>
        <v>14.996447999999997</v>
      </c>
      <c r="AL49" s="76">
        <f t="shared" si="99"/>
        <v>14.996447999999997</v>
      </c>
      <c r="AM49" s="76">
        <f t="shared" ref="AM49:BN49" si="100">(AM48*AM46)/25000</f>
        <v>14.996447999999997</v>
      </c>
      <c r="AN49" s="76">
        <f t="shared" si="100"/>
        <v>14.996447999999997</v>
      </c>
      <c r="AO49" s="76">
        <f t="shared" si="100"/>
        <v>15.29637696</v>
      </c>
      <c r="AP49" s="76">
        <f t="shared" si="100"/>
        <v>15.29637696</v>
      </c>
      <c r="AQ49" s="76">
        <f t="shared" si="100"/>
        <v>15.29637696</v>
      </c>
      <c r="AR49" s="76">
        <f t="shared" si="100"/>
        <v>15.29637696</v>
      </c>
      <c r="AS49" s="76">
        <f t="shared" si="100"/>
        <v>15.29637696</v>
      </c>
      <c r="AT49" s="76">
        <f t="shared" si="100"/>
        <v>15.29637696</v>
      </c>
      <c r="AU49" s="76">
        <f t="shared" si="100"/>
        <v>15.29637696</v>
      </c>
      <c r="AV49" s="76">
        <f t="shared" si="100"/>
        <v>15.29637696</v>
      </c>
      <c r="AW49" s="76">
        <f t="shared" si="100"/>
        <v>15.29637696</v>
      </c>
      <c r="AX49" s="76">
        <f t="shared" si="100"/>
        <v>15.29637696</v>
      </c>
      <c r="AY49" s="76">
        <f t="shared" si="100"/>
        <v>15.29637696</v>
      </c>
      <c r="AZ49" s="76">
        <f t="shared" si="100"/>
        <v>15.29637696</v>
      </c>
      <c r="BA49" s="76">
        <f t="shared" si="100"/>
        <v>15.29637696</v>
      </c>
      <c r="BB49" s="76">
        <f t="shared" si="100"/>
        <v>15.602304499200001</v>
      </c>
      <c r="BC49" s="76">
        <f t="shared" si="100"/>
        <v>15.602304499200001</v>
      </c>
      <c r="BD49" s="76">
        <f t="shared" si="100"/>
        <v>15.602304499200001</v>
      </c>
      <c r="BE49" s="76">
        <f t="shared" si="100"/>
        <v>15.602304499200001</v>
      </c>
      <c r="BF49" s="76">
        <f t="shared" si="100"/>
        <v>15.602304499200001</v>
      </c>
      <c r="BG49" s="76">
        <f t="shared" si="100"/>
        <v>15.602304499200001</v>
      </c>
      <c r="BH49" s="76">
        <f t="shared" si="100"/>
        <v>15.602304499200001</v>
      </c>
      <c r="BI49" s="76">
        <f t="shared" si="100"/>
        <v>15.602304499200001</v>
      </c>
      <c r="BJ49" s="76">
        <f t="shared" si="100"/>
        <v>15.602304499200001</v>
      </c>
      <c r="BK49" s="76">
        <f t="shared" si="100"/>
        <v>15.602304499200001</v>
      </c>
      <c r="BL49" s="76">
        <f t="shared" si="100"/>
        <v>15.602304499200001</v>
      </c>
      <c r="BM49" s="76">
        <f t="shared" si="100"/>
        <v>15.602304499200001</v>
      </c>
      <c r="BN49" s="76">
        <f t="shared" si="100"/>
        <v>15.602304499200001</v>
      </c>
    </row>
    <row r="50" spans="2:66" x14ac:dyDescent="0.2">
      <c r="B50" t="s">
        <v>18</v>
      </c>
      <c r="C50" t="s">
        <v>10</v>
      </c>
      <c r="G50" s="76">
        <f t="shared" ref="G50:M50" si="101">H50</f>
        <v>11.222644752000001</v>
      </c>
      <c r="H50" s="76">
        <f t="shared" si="101"/>
        <v>11.222644752000001</v>
      </c>
      <c r="I50" s="76">
        <f t="shared" si="101"/>
        <v>11.222644752000001</v>
      </c>
      <c r="J50" s="76">
        <f t="shared" si="101"/>
        <v>11.222644752000001</v>
      </c>
      <c r="K50" s="76">
        <f t="shared" si="101"/>
        <v>11.222644752000001</v>
      </c>
      <c r="L50" s="76">
        <f t="shared" si="101"/>
        <v>11.222644752000001</v>
      </c>
      <c r="M50" s="76">
        <f t="shared" si="101"/>
        <v>11.222644752000001</v>
      </c>
      <c r="N50" s="76">
        <f>N49*N52</f>
        <v>11.222644752000001</v>
      </c>
      <c r="O50" s="76">
        <f>N50</f>
        <v>11.222644752000001</v>
      </c>
      <c r="P50" s="76">
        <f>O50</f>
        <v>11.222644752000001</v>
      </c>
      <c r="Q50" s="76">
        <f t="shared" ref="Q50:Y50" si="102">R50</f>
        <v>11.458320291791997</v>
      </c>
      <c r="R50" s="76">
        <f t="shared" si="102"/>
        <v>11.458320291791997</v>
      </c>
      <c r="S50" s="76">
        <f t="shared" si="102"/>
        <v>11.458320291791997</v>
      </c>
      <c r="T50" s="76">
        <f t="shared" si="102"/>
        <v>11.458320291791997</v>
      </c>
      <c r="U50" s="76">
        <f t="shared" si="102"/>
        <v>11.458320291791997</v>
      </c>
      <c r="V50" s="76">
        <f t="shared" si="102"/>
        <v>11.458320291791997</v>
      </c>
      <c r="W50" s="76">
        <f t="shared" si="102"/>
        <v>11.458320291791997</v>
      </c>
      <c r="X50" s="76">
        <f t="shared" si="102"/>
        <v>11.458320291791997</v>
      </c>
      <c r="Y50" s="76">
        <f t="shared" si="102"/>
        <v>11.458320291791997</v>
      </c>
      <c r="Z50" s="76">
        <f>AA50</f>
        <v>11.458320291791997</v>
      </c>
      <c r="AA50" s="76">
        <f>AA49*AA52</f>
        <v>11.458320291791997</v>
      </c>
      <c r="AB50" s="76">
        <f t="shared" ref="AB50:AL50" si="103">AC50</f>
        <v>11.687486697627838</v>
      </c>
      <c r="AC50" s="76">
        <f t="shared" si="103"/>
        <v>11.687486697627838</v>
      </c>
      <c r="AD50" s="76">
        <f t="shared" si="103"/>
        <v>11.687486697627838</v>
      </c>
      <c r="AE50" s="76">
        <f t="shared" si="103"/>
        <v>11.687486697627838</v>
      </c>
      <c r="AF50" s="76">
        <f t="shared" si="103"/>
        <v>11.687486697627838</v>
      </c>
      <c r="AG50" s="76">
        <f t="shared" si="103"/>
        <v>11.687486697627838</v>
      </c>
      <c r="AH50" s="76">
        <f t="shared" si="103"/>
        <v>11.687486697627838</v>
      </c>
      <c r="AI50" s="76">
        <f t="shared" si="103"/>
        <v>11.687486697627838</v>
      </c>
      <c r="AJ50" s="76">
        <f t="shared" si="103"/>
        <v>11.687486697627838</v>
      </c>
      <c r="AK50" s="76">
        <f t="shared" si="103"/>
        <v>11.687486697627838</v>
      </c>
      <c r="AL50" s="76">
        <f t="shared" si="103"/>
        <v>11.687486697627838</v>
      </c>
      <c r="AM50" s="76">
        <f>AN50</f>
        <v>11.687486697627838</v>
      </c>
      <c r="AN50" s="76">
        <f>AN49*AN52</f>
        <v>11.687486697627838</v>
      </c>
      <c r="AO50" s="76">
        <f t="shared" ref="AO50:AY50" si="104">AP50</f>
        <v>11.921236431580397</v>
      </c>
      <c r="AP50" s="76">
        <f t="shared" si="104"/>
        <v>11.921236431580397</v>
      </c>
      <c r="AQ50" s="76">
        <f t="shared" si="104"/>
        <v>11.921236431580397</v>
      </c>
      <c r="AR50" s="76">
        <f t="shared" si="104"/>
        <v>11.921236431580397</v>
      </c>
      <c r="AS50" s="76">
        <f t="shared" si="104"/>
        <v>11.921236431580397</v>
      </c>
      <c r="AT50" s="76">
        <f t="shared" si="104"/>
        <v>11.921236431580397</v>
      </c>
      <c r="AU50" s="76">
        <f t="shared" si="104"/>
        <v>11.921236431580397</v>
      </c>
      <c r="AV50" s="76">
        <f t="shared" si="104"/>
        <v>11.921236431580397</v>
      </c>
      <c r="AW50" s="76">
        <f t="shared" si="104"/>
        <v>11.921236431580397</v>
      </c>
      <c r="AX50" s="76">
        <f t="shared" si="104"/>
        <v>11.921236431580397</v>
      </c>
      <c r="AY50" s="76">
        <f t="shared" si="104"/>
        <v>11.921236431580397</v>
      </c>
      <c r="AZ50" s="76">
        <f>BA50</f>
        <v>11.921236431580397</v>
      </c>
      <c r="BA50" s="76">
        <f>BA49*BA52</f>
        <v>11.921236431580397</v>
      </c>
      <c r="BB50" s="76">
        <f t="shared" ref="BB50:BL50" si="105">BC50</f>
        <v>13.391926020798337</v>
      </c>
      <c r="BC50" s="76">
        <f t="shared" si="105"/>
        <v>13.391926020798337</v>
      </c>
      <c r="BD50" s="76">
        <f t="shared" si="105"/>
        <v>13.391926020798337</v>
      </c>
      <c r="BE50" s="76">
        <f t="shared" si="105"/>
        <v>13.391926020798337</v>
      </c>
      <c r="BF50" s="76">
        <f t="shared" si="105"/>
        <v>13.391926020798337</v>
      </c>
      <c r="BG50" s="76">
        <f t="shared" si="105"/>
        <v>13.391926020798337</v>
      </c>
      <c r="BH50" s="76">
        <f t="shared" si="105"/>
        <v>13.391926020798337</v>
      </c>
      <c r="BI50" s="76">
        <f t="shared" si="105"/>
        <v>13.391926020798337</v>
      </c>
      <c r="BJ50" s="76">
        <f t="shared" si="105"/>
        <v>13.391926020798337</v>
      </c>
      <c r="BK50" s="76">
        <f t="shared" si="105"/>
        <v>13.391926020798337</v>
      </c>
      <c r="BL50" s="76">
        <f t="shared" si="105"/>
        <v>13.391926020798337</v>
      </c>
      <c r="BM50" s="76">
        <f>BN50</f>
        <v>13.391926020798337</v>
      </c>
      <c r="BN50" s="76">
        <f>BN49*BN52</f>
        <v>13.391926020798337</v>
      </c>
    </row>
    <row r="51" spans="2:66" x14ac:dyDescent="0.2">
      <c r="B51" t="s">
        <v>25</v>
      </c>
      <c r="C51" s="82" t="s">
        <v>104</v>
      </c>
      <c r="G51" s="39">
        <f>G20</f>
        <v>409</v>
      </c>
      <c r="H51" s="39">
        <f t="shared" ref="H51:BN51" si="106">H20</f>
        <v>409</v>
      </c>
      <c r="I51" s="39">
        <f t="shared" si="106"/>
        <v>409</v>
      </c>
      <c r="J51" s="39">
        <f>ROUNDUP(J20*(1+J62),0)</f>
        <v>446</v>
      </c>
      <c r="K51" s="39">
        <f t="shared" ref="K51:AZ51" si="107">ROUNDUP(K20*(1+K62),0)</f>
        <v>683</v>
      </c>
      <c r="L51" s="39">
        <f t="shared" si="107"/>
        <v>921</v>
      </c>
      <c r="M51" s="39">
        <f>ROUNDUP(M20*(1+M62),0)</f>
        <v>1158</v>
      </c>
      <c r="N51" s="39">
        <f>SUM(J51:M51)</f>
        <v>3208</v>
      </c>
      <c r="O51" s="39">
        <f t="shared" si="107"/>
        <v>1397</v>
      </c>
      <c r="P51" s="39">
        <f t="shared" si="107"/>
        <v>1634</v>
      </c>
      <c r="Q51" s="39">
        <f t="shared" si="107"/>
        <v>1634</v>
      </c>
      <c r="R51" s="39">
        <f t="shared" si="107"/>
        <v>1634</v>
      </c>
      <c r="S51" s="39">
        <f t="shared" si="107"/>
        <v>1634</v>
      </c>
      <c r="T51" s="39">
        <f t="shared" si="107"/>
        <v>1634</v>
      </c>
      <c r="U51" s="39">
        <f t="shared" si="107"/>
        <v>1634</v>
      </c>
      <c r="V51" s="39">
        <f t="shared" si="107"/>
        <v>1634</v>
      </c>
      <c r="W51" s="39">
        <f t="shared" si="107"/>
        <v>1634</v>
      </c>
      <c r="X51" s="39">
        <f t="shared" si="107"/>
        <v>1634</v>
      </c>
      <c r="Y51" s="39">
        <f t="shared" si="107"/>
        <v>1634</v>
      </c>
      <c r="Z51" s="39">
        <f t="shared" si="107"/>
        <v>1634</v>
      </c>
      <c r="AA51" s="39">
        <f>SUM(O51:Z51)</f>
        <v>19371</v>
      </c>
      <c r="AB51" s="39">
        <f t="shared" si="107"/>
        <v>1634</v>
      </c>
      <c r="AC51" s="39">
        <f t="shared" si="107"/>
        <v>1634</v>
      </c>
      <c r="AD51" s="39">
        <f t="shared" si="107"/>
        <v>1720</v>
      </c>
      <c r="AE51" s="39">
        <f t="shared" si="107"/>
        <v>1806</v>
      </c>
      <c r="AF51" s="39">
        <f t="shared" si="107"/>
        <v>1892</v>
      </c>
      <c r="AG51" s="39">
        <f t="shared" si="107"/>
        <v>1978</v>
      </c>
      <c r="AH51" s="39">
        <f t="shared" si="107"/>
        <v>2064</v>
      </c>
      <c r="AI51" s="39">
        <f t="shared" si="107"/>
        <v>2150</v>
      </c>
      <c r="AJ51" s="39">
        <f t="shared" si="107"/>
        <v>2236</v>
      </c>
      <c r="AK51" s="39">
        <f t="shared" si="107"/>
        <v>2322</v>
      </c>
      <c r="AL51" s="39">
        <f t="shared" si="107"/>
        <v>2407</v>
      </c>
      <c r="AM51" s="39">
        <f t="shared" si="107"/>
        <v>2493</v>
      </c>
      <c r="AN51" s="39">
        <f>SUM(AB51:AM51)</f>
        <v>24336</v>
      </c>
      <c r="AO51" s="39">
        <f t="shared" si="107"/>
        <v>2579</v>
      </c>
      <c r="AP51" s="39">
        <f t="shared" si="107"/>
        <v>2665</v>
      </c>
      <c r="AQ51" s="39">
        <f t="shared" si="107"/>
        <v>2751</v>
      </c>
      <c r="AR51" s="39">
        <f t="shared" si="107"/>
        <v>2836</v>
      </c>
      <c r="AS51" s="39">
        <f t="shared" si="107"/>
        <v>2922</v>
      </c>
      <c r="AT51" s="39">
        <f t="shared" si="107"/>
        <v>3008</v>
      </c>
      <c r="AU51" s="39">
        <f t="shared" si="107"/>
        <v>3094</v>
      </c>
      <c r="AV51" s="39">
        <f t="shared" si="107"/>
        <v>3267</v>
      </c>
      <c r="AW51" s="39">
        <f t="shared" si="107"/>
        <v>3267</v>
      </c>
      <c r="AX51" s="39">
        <f t="shared" si="107"/>
        <v>3267</v>
      </c>
      <c r="AY51" s="39">
        <f t="shared" si="107"/>
        <v>3267</v>
      </c>
      <c r="AZ51" s="39">
        <f t="shared" si="107"/>
        <v>3267</v>
      </c>
      <c r="BA51" s="39">
        <f>SUM(AO51:AZ51)</f>
        <v>36190</v>
      </c>
      <c r="BB51" s="39">
        <f t="shared" si="106"/>
        <v>2769.2499825581667</v>
      </c>
      <c r="BC51" s="39">
        <f t="shared" si="106"/>
        <v>2769.2499825581667</v>
      </c>
      <c r="BD51" s="39">
        <f t="shared" si="106"/>
        <v>2769.2499825581667</v>
      </c>
      <c r="BE51" s="39">
        <f t="shared" si="106"/>
        <v>2769.2499825581667</v>
      </c>
      <c r="BF51" s="39">
        <f t="shared" si="106"/>
        <v>2769.2499825581667</v>
      </c>
      <c r="BG51" s="39">
        <f t="shared" si="106"/>
        <v>2769.2499825581667</v>
      </c>
      <c r="BH51" s="39">
        <f t="shared" si="106"/>
        <v>2769.2499825581667</v>
      </c>
      <c r="BI51" s="39">
        <f t="shared" si="106"/>
        <v>2769.2499825581667</v>
      </c>
      <c r="BJ51" s="39">
        <f t="shared" si="106"/>
        <v>2769.2499825581667</v>
      </c>
      <c r="BK51" s="39">
        <f t="shared" si="106"/>
        <v>2769.2499825581667</v>
      </c>
      <c r="BL51" s="39">
        <f t="shared" si="106"/>
        <v>2769.2499825581667</v>
      </c>
      <c r="BM51" s="39">
        <f t="shared" si="106"/>
        <v>2769.2499825581667</v>
      </c>
      <c r="BN51" s="39">
        <f t="shared" si="106"/>
        <v>33230.999790697999</v>
      </c>
    </row>
    <row r="52" spans="2:66" x14ac:dyDescent="0.2">
      <c r="B52" t="s">
        <v>113</v>
      </c>
      <c r="C52" t="s">
        <v>41</v>
      </c>
      <c r="G52" s="87"/>
      <c r="H52" s="87"/>
      <c r="I52" s="87"/>
      <c r="J52" s="87"/>
      <c r="K52" s="87"/>
      <c r="L52" s="87"/>
      <c r="M52" s="87"/>
      <c r="N52" s="312">
        <v>0.77935032999999998</v>
      </c>
      <c r="O52" s="102">
        <f>Scenarios!O53</f>
        <v>0</v>
      </c>
      <c r="P52" s="102">
        <f>Scenarios!P53</f>
        <v>0</v>
      </c>
      <c r="Q52" s="102">
        <f>Scenarios!Q53</f>
        <v>0</v>
      </c>
      <c r="R52" s="102">
        <f>Scenarios!R53</f>
        <v>0</v>
      </c>
      <c r="S52" s="102">
        <f>Scenarios!S53</f>
        <v>0</v>
      </c>
      <c r="T52" s="102">
        <f>Scenarios!T53</f>
        <v>0</v>
      </c>
      <c r="U52" s="102">
        <f>Scenarios!U53</f>
        <v>0</v>
      </c>
      <c r="V52" s="102">
        <f>Scenarios!V53</f>
        <v>0</v>
      </c>
      <c r="W52" s="102">
        <f>Scenarios!W53</f>
        <v>0</v>
      </c>
      <c r="X52" s="102">
        <f>Scenarios!X53</f>
        <v>0</v>
      </c>
      <c r="Y52" s="102">
        <f>Scenarios!Y53</f>
        <v>0</v>
      </c>
      <c r="Z52" s="102">
        <f>Scenarios!Z53</f>
        <v>0</v>
      </c>
      <c r="AA52" s="102">
        <f>N52</f>
        <v>0.77935032999999998</v>
      </c>
      <c r="AB52" s="102">
        <f>Scenarios!AB53</f>
        <v>0</v>
      </c>
      <c r="AC52" s="102">
        <f>Scenarios!AC53</f>
        <v>0</v>
      </c>
      <c r="AD52" s="102">
        <f>Scenarios!AD53</f>
        <v>0</v>
      </c>
      <c r="AE52" s="102">
        <f>Scenarios!AE53</f>
        <v>0</v>
      </c>
      <c r="AF52" s="102">
        <f>Scenarios!AF53</f>
        <v>0</v>
      </c>
      <c r="AG52" s="102">
        <f>Scenarios!AG53</f>
        <v>0</v>
      </c>
      <c r="AH52" s="102">
        <f>Scenarios!AH53</f>
        <v>0</v>
      </c>
      <c r="AI52" s="102">
        <f>Scenarios!AI53</f>
        <v>0</v>
      </c>
      <c r="AJ52" s="102">
        <f>Scenarios!AJ53</f>
        <v>0</v>
      </c>
      <c r="AK52" s="102">
        <f>Scenarios!AK53</f>
        <v>0</v>
      </c>
      <c r="AL52" s="102">
        <f>Scenarios!AL53</f>
        <v>0</v>
      </c>
      <c r="AM52" s="102">
        <f>Scenarios!AM53</f>
        <v>0</v>
      </c>
      <c r="AN52" s="102">
        <f>AA52</f>
        <v>0.77935032999999998</v>
      </c>
      <c r="AO52" s="102">
        <f>Scenarios!AO53</f>
        <v>0</v>
      </c>
      <c r="AP52" s="102">
        <f>Scenarios!AP53</f>
        <v>0</v>
      </c>
      <c r="AQ52" s="102">
        <f>Scenarios!AQ53</f>
        <v>0</v>
      </c>
      <c r="AR52" s="102">
        <f>Scenarios!AR53</f>
        <v>0</v>
      </c>
      <c r="AS52" s="102">
        <f>Scenarios!AS53</f>
        <v>0</v>
      </c>
      <c r="AT52" s="102">
        <f>Scenarios!AT53</f>
        <v>0</v>
      </c>
      <c r="AU52" s="102">
        <f>Scenarios!AU53</f>
        <v>0</v>
      </c>
      <c r="AV52" s="102">
        <f>Scenarios!AV53</f>
        <v>0</v>
      </c>
      <c r="AW52" s="102">
        <f>Scenarios!AW53</f>
        <v>0</v>
      </c>
      <c r="AX52" s="102">
        <f>Scenarios!AX53</f>
        <v>0</v>
      </c>
      <c r="AY52" s="102">
        <f>Scenarios!AY53</f>
        <v>0</v>
      </c>
      <c r="AZ52" s="102">
        <f>Scenarios!AZ53</f>
        <v>0</v>
      </c>
      <c r="BA52" s="102">
        <f>AN52</f>
        <v>0.77935032999999998</v>
      </c>
      <c r="BB52" s="102">
        <f>Scenarios!BB53</f>
        <v>0</v>
      </c>
      <c r="BC52" s="102">
        <f>Scenarios!BC53</f>
        <v>0</v>
      </c>
      <c r="BD52" s="102">
        <f>Scenarios!BD53</f>
        <v>0</v>
      </c>
      <c r="BE52" s="102">
        <f>Scenarios!BE53</f>
        <v>0</v>
      </c>
      <c r="BF52" s="102">
        <f>Scenarios!BF53</f>
        <v>0</v>
      </c>
      <c r="BG52" s="102">
        <f>Scenarios!BG53</f>
        <v>0</v>
      </c>
      <c r="BH52" s="102">
        <f>Scenarios!BH53</f>
        <v>0</v>
      </c>
      <c r="BI52" s="102">
        <f>Scenarios!BI53</f>
        <v>0</v>
      </c>
      <c r="BJ52" s="102">
        <f>Scenarios!BJ53</f>
        <v>0</v>
      </c>
      <c r="BK52" s="102">
        <f>Scenarios!BK53</f>
        <v>0</v>
      </c>
      <c r="BL52" s="102">
        <f>Scenarios!BL53</f>
        <v>0</v>
      </c>
      <c r="BM52" s="102">
        <f>Scenarios!BM53</f>
        <v>0</v>
      </c>
      <c r="BN52" s="102">
        <f>Scenarios!BN53</f>
        <v>0.85833000000000004</v>
      </c>
    </row>
    <row r="54" spans="2:66" x14ac:dyDescent="0.2">
      <c r="B54" s="6" t="s">
        <v>109</v>
      </c>
    </row>
    <row r="55" spans="2:66" x14ac:dyDescent="0.2">
      <c r="B55" t="s">
        <v>18</v>
      </c>
      <c r="C55" t="s">
        <v>10</v>
      </c>
      <c r="G55" s="43">
        <f t="shared" ref="G55:L55" si="108">H55</f>
        <v>4.5</v>
      </c>
      <c r="H55" s="43">
        <f t="shared" si="108"/>
        <v>4.5</v>
      </c>
      <c r="I55" s="43">
        <f t="shared" si="108"/>
        <v>4.5</v>
      </c>
      <c r="J55" s="43">
        <f t="shared" si="108"/>
        <v>4.5</v>
      </c>
      <c r="K55" s="43">
        <f t="shared" si="108"/>
        <v>4.5</v>
      </c>
      <c r="L55" s="43">
        <f t="shared" si="108"/>
        <v>4.5</v>
      </c>
      <c r="M55" s="43">
        <f>N55</f>
        <v>4.5</v>
      </c>
      <c r="N55" s="164">
        <v>4.5</v>
      </c>
      <c r="O55" s="43">
        <f>N55</f>
        <v>4.5</v>
      </c>
      <c r="P55" s="43">
        <f>O55</f>
        <v>4.5</v>
      </c>
      <c r="Q55" s="43">
        <f>P55</f>
        <v>4.5</v>
      </c>
      <c r="R55" s="43">
        <f>Q55</f>
        <v>4.5</v>
      </c>
      <c r="S55" s="43">
        <f t="shared" ref="S55:Y55" si="109">T55</f>
        <v>4.5945</v>
      </c>
      <c r="T55" s="43">
        <f t="shared" si="109"/>
        <v>4.5945</v>
      </c>
      <c r="U55" s="43">
        <f t="shared" si="109"/>
        <v>4.5945</v>
      </c>
      <c r="V55" s="43">
        <f t="shared" si="109"/>
        <v>4.5945</v>
      </c>
      <c r="W55" s="43">
        <f t="shared" si="109"/>
        <v>4.5945</v>
      </c>
      <c r="X55" s="43">
        <f t="shared" si="109"/>
        <v>4.5945</v>
      </c>
      <c r="Y55" s="43">
        <f t="shared" si="109"/>
        <v>4.5945</v>
      </c>
      <c r="Z55" s="43">
        <f>AA55</f>
        <v>4.5945</v>
      </c>
      <c r="AA55" s="43">
        <f>N55*(1+AA56)</f>
        <v>4.5945</v>
      </c>
      <c r="AB55" s="43">
        <f>AA55*(1+AN56)</f>
        <v>4.6863900000000003</v>
      </c>
      <c r="AC55" s="43">
        <f>AB55</f>
        <v>4.6863900000000003</v>
      </c>
      <c r="AD55" s="43">
        <f t="shared" ref="AD55:AN55" si="110">AC55</f>
        <v>4.6863900000000003</v>
      </c>
      <c r="AE55" s="43">
        <f t="shared" si="110"/>
        <v>4.6863900000000003</v>
      </c>
      <c r="AF55" s="43">
        <f t="shared" si="110"/>
        <v>4.6863900000000003</v>
      </c>
      <c r="AG55" s="43">
        <f t="shared" si="110"/>
        <v>4.6863900000000003</v>
      </c>
      <c r="AH55" s="43">
        <f t="shared" si="110"/>
        <v>4.6863900000000003</v>
      </c>
      <c r="AI55" s="43">
        <f t="shared" si="110"/>
        <v>4.6863900000000003</v>
      </c>
      <c r="AJ55" s="43">
        <f t="shared" si="110"/>
        <v>4.6863900000000003</v>
      </c>
      <c r="AK55" s="43">
        <f t="shared" si="110"/>
        <v>4.6863900000000003</v>
      </c>
      <c r="AL55" s="43">
        <f t="shared" si="110"/>
        <v>4.6863900000000003</v>
      </c>
      <c r="AM55" s="43">
        <f t="shared" si="110"/>
        <v>4.6863900000000003</v>
      </c>
      <c r="AN55" s="43">
        <f t="shared" si="110"/>
        <v>4.6863900000000003</v>
      </c>
      <c r="AO55" s="43">
        <f t="shared" ref="AO55:BB55" si="111">AN55*(1+BA56)</f>
        <v>4.7801178000000002</v>
      </c>
      <c r="AP55" s="43">
        <f t="shared" si="111"/>
        <v>4.7801178000000002</v>
      </c>
      <c r="AQ55" s="43">
        <f t="shared" si="111"/>
        <v>4.7801178000000002</v>
      </c>
      <c r="AR55" s="43">
        <f t="shared" si="111"/>
        <v>4.7801178000000002</v>
      </c>
      <c r="AS55" s="43">
        <f t="shared" si="111"/>
        <v>4.7801178000000002</v>
      </c>
      <c r="AT55" s="43">
        <f t="shared" si="111"/>
        <v>4.7801178000000002</v>
      </c>
      <c r="AU55" s="43">
        <f t="shared" si="111"/>
        <v>4.7801178000000002</v>
      </c>
      <c r="AV55" s="43">
        <f t="shared" si="111"/>
        <v>4.7801178000000002</v>
      </c>
      <c r="AW55" s="43">
        <f t="shared" si="111"/>
        <v>4.7801178000000002</v>
      </c>
      <c r="AX55" s="43">
        <f t="shared" si="111"/>
        <v>4.7801178000000002</v>
      </c>
      <c r="AY55" s="43">
        <f t="shared" si="111"/>
        <v>4.7801178000000002</v>
      </c>
      <c r="AZ55" s="43">
        <f t="shared" si="111"/>
        <v>4.7801178000000002</v>
      </c>
      <c r="BA55" s="43">
        <f t="shared" si="111"/>
        <v>4.7801178000000002</v>
      </c>
      <c r="BB55" s="43">
        <f t="shared" si="111"/>
        <v>4.8757201559999999</v>
      </c>
      <c r="BC55" s="43">
        <f>BB55</f>
        <v>4.8757201559999999</v>
      </c>
      <c r="BD55" s="43">
        <f t="shared" ref="BD55:BN55" si="112">BC55</f>
        <v>4.8757201559999999</v>
      </c>
      <c r="BE55" s="43">
        <f t="shared" si="112"/>
        <v>4.8757201559999999</v>
      </c>
      <c r="BF55" s="43">
        <f t="shared" si="112"/>
        <v>4.8757201559999999</v>
      </c>
      <c r="BG55" s="43">
        <f t="shared" si="112"/>
        <v>4.8757201559999999</v>
      </c>
      <c r="BH55" s="43">
        <f t="shared" si="112"/>
        <v>4.8757201559999999</v>
      </c>
      <c r="BI55" s="43">
        <f t="shared" si="112"/>
        <v>4.8757201559999999</v>
      </c>
      <c r="BJ55" s="43">
        <f t="shared" si="112"/>
        <v>4.8757201559999999</v>
      </c>
      <c r="BK55" s="43">
        <f t="shared" si="112"/>
        <v>4.8757201559999999</v>
      </c>
      <c r="BL55" s="43">
        <f t="shared" si="112"/>
        <v>4.8757201559999999</v>
      </c>
      <c r="BM55" s="43">
        <f t="shared" si="112"/>
        <v>4.8757201559999999</v>
      </c>
      <c r="BN55" s="43">
        <f t="shared" si="112"/>
        <v>4.8757201559999999</v>
      </c>
    </row>
    <row r="56" spans="2:66" x14ac:dyDescent="0.2">
      <c r="B56" t="s">
        <v>19</v>
      </c>
      <c r="C56" t="s">
        <v>13</v>
      </c>
      <c r="N56" s="38">
        <f>N47</f>
        <v>0</v>
      </c>
      <c r="O56" s="38">
        <f t="shared" ref="O56:BN56" si="113">O47</f>
        <v>0</v>
      </c>
      <c r="P56" s="38">
        <f t="shared" si="113"/>
        <v>0</v>
      </c>
      <c r="Q56" s="38">
        <f t="shared" si="113"/>
        <v>0</v>
      </c>
      <c r="R56" s="38">
        <f t="shared" si="113"/>
        <v>0</v>
      </c>
      <c r="S56" s="38">
        <f t="shared" si="113"/>
        <v>0</v>
      </c>
      <c r="T56" s="38">
        <f t="shared" si="113"/>
        <v>0</v>
      </c>
      <c r="U56" s="38">
        <f t="shared" si="113"/>
        <v>0</v>
      </c>
      <c r="V56" s="38">
        <f t="shared" si="113"/>
        <v>0</v>
      </c>
      <c r="W56" s="38">
        <f t="shared" si="113"/>
        <v>0</v>
      </c>
      <c r="X56" s="38">
        <f t="shared" si="113"/>
        <v>0</v>
      </c>
      <c r="Y56" s="38">
        <f t="shared" si="113"/>
        <v>0</v>
      </c>
      <c r="Z56" s="38">
        <f t="shared" si="113"/>
        <v>0</v>
      </c>
      <c r="AA56" s="38">
        <f t="shared" si="113"/>
        <v>2.1000000000000001E-2</v>
      </c>
      <c r="AB56" s="38">
        <f t="shared" si="113"/>
        <v>0</v>
      </c>
      <c r="AC56" s="38">
        <f t="shared" si="113"/>
        <v>0</v>
      </c>
      <c r="AD56" s="38">
        <f t="shared" si="113"/>
        <v>0</v>
      </c>
      <c r="AE56" s="38">
        <f t="shared" si="113"/>
        <v>0</v>
      </c>
      <c r="AF56" s="38">
        <f t="shared" si="113"/>
        <v>0</v>
      </c>
      <c r="AG56" s="38">
        <f t="shared" si="113"/>
        <v>0</v>
      </c>
      <c r="AH56" s="38">
        <f t="shared" si="113"/>
        <v>0</v>
      </c>
      <c r="AI56" s="38">
        <f t="shared" si="113"/>
        <v>0</v>
      </c>
      <c r="AJ56" s="38">
        <f t="shared" si="113"/>
        <v>0</v>
      </c>
      <c r="AK56" s="38">
        <f t="shared" si="113"/>
        <v>0</v>
      </c>
      <c r="AL56" s="38">
        <f t="shared" si="113"/>
        <v>0</v>
      </c>
      <c r="AM56" s="38">
        <f t="shared" si="113"/>
        <v>0</v>
      </c>
      <c r="AN56" s="38">
        <f t="shared" si="113"/>
        <v>0.02</v>
      </c>
      <c r="AO56" s="38">
        <f t="shared" si="113"/>
        <v>0</v>
      </c>
      <c r="AP56" s="38">
        <f t="shared" si="113"/>
        <v>0</v>
      </c>
      <c r="AQ56" s="38">
        <f t="shared" si="113"/>
        <v>0</v>
      </c>
      <c r="AR56" s="38">
        <f t="shared" si="113"/>
        <v>0</v>
      </c>
      <c r="AS56" s="38">
        <f t="shared" si="113"/>
        <v>0</v>
      </c>
      <c r="AT56" s="38">
        <f t="shared" si="113"/>
        <v>0</v>
      </c>
      <c r="AU56" s="38">
        <f t="shared" si="113"/>
        <v>0</v>
      </c>
      <c r="AV56" s="38">
        <f t="shared" si="113"/>
        <v>0</v>
      </c>
      <c r="AW56" s="38">
        <f t="shared" si="113"/>
        <v>0</v>
      </c>
      <c r="AX56" s="38">
        <f t="shared" si="113"/>
        <v>0</v>
      </c>
      <c r="AY56" s="38">
        <f t="shared" si="113"/>
        <v>0</v>
      </c>
      <c r="AZ56" s="38">
        <f t="shared" si="113"/>
        <v>0</v>
      </c>
      <c r="BA56" s="38">
        <f t="shared" si="113"/>
        <v>0.02</v>
      </c>
      <c r="BB56" s="38">
        <f t="shared" si="113"/>
        <v>0</v>
      </c>
      <c r="BC56" s="38">
        <f t="shared" si="113"/>
        <v>0</v>
      </c>
      <c r="BD56" s="38">
        <f t="shared" si="113"/>
        <v>0</v>
      </c>
      <c r="BE56" s="38">
        <f t="shared" si="113"/>
        <v>0</v>
      </c>
      <c r="BF56" s="38">
        <f t="shared" si="113"/>
        <v>0</v>
      </c>
      <c r="BG56" s="38">
        <f t="shared" si="113"/>
        <v>0</v>
      </c>
      <c r="BH56" s="38">
        <f t="shared" si="113"/>
        <v>0</v>
      </c>
      <c r="BI56" s="38">
        <f t="shared" si="113"/>
        <v>0</v>
      </c>
      <c r="BJ56" s="38">
        <f t="shared" si="113"/>
        <v>0</v>
      </c>
      <c r="BK56" s="38">
        <f t="shared" si="113"/>
        <v>0</v>
      </c>
      <c r="BL56" s="38">
        <f t="shared" si="113"/>
        <v>0</v>
      </c>
      <c r="BM56" s="38">
        <f t="shared" si="113"/>
        <v>0</v>
      </c>
      <c r="BN56" s="38">
        <f t="shared" si="113"/>
        <v>0.02</v>
      </c>
    </row>
    <row r="57" spans="2:66" x14ac:dyDescent="0.2">
      <c r="B57" t="s">
        <v>25</v>
      </c>
      <c r="C57" s="82" t="s">
        <v>104</v>
      </c>
      <c r="G57" s="39">
        <f>G21</f>
        <v>409</v>
      </c>
      <c r="H57" s="39">
        <f t="shared" ref="H57:BN57" si="114">H21</f>
        <v>409</v>
      </c>
      <c r="I57" s="39">
        <f t="shared" si="114"/>
        <v>409</v>
      </c>
      <c r="J57" s="111">
        <f>ROUNDUP(J21*(1+J63),0)</f>
        <v>446</v>
      </c>
      <c r="K57" s="111">
        <f t="shared" ref="K57:AZ57" si="115">ROUNDUP(K21*(1+K63),0)</f>
        <v>683</v>
      </c>
      <c r="L57" s="111">
        <f>ROUNDUP(L21*(1+L63),0)</f>
        <v>921</v>
      </c>
      <c r="M57" s="111">
        <f>ROUNDUP(M21*(1+M63),0)</f>
        <v>1158</v>
      </c>
      <c r="N57" s="111">
        <f>SUM(J57:M57)</f>
        <v>3208</v>
      </c>
      <c r="O57" s="111">
        <f t="shared" si="115"/>
        <v>1397</v>
      </c>
      <c r="P57" s="111">
        <f t="shared" si="115"/>
        <v>1634</v>
      </c>
      <c r="Q57" s="111">
        <f t="shared" si="115"/>
        <v>1634</v>
      </c>
      <c r="R57" s="111">
        <f t="shared" si="115"/>
        <v>1634</v>
      </c>
      <c r="S57" s="111">
        <f t="shared" si="115"/>
        <v>1634</v>
      </c>
      <c r="T57" s="111">
        <f t="shared" si="115"/>
        <v>1634</v>
      </c>
      <c r="U57" s="111">
        <f t="shared" si="115"/>
        <v>1634</v>
      </c>
      <c r="V57" s="111">
        <f t="shared" si="115"/>
        <v>1634</v>
      </c>
      <c r="W57" s="111">
        <f t="shared" si="115"/>
        <v>1634</v>
      </c>
      <c r="X57" s="111">
        <f t="shared" si="115"/>
        <v>1634</v>
      </c>
      <c r="Y57" s="111">
        <f t="shared" si="115"/>
        <v>1634</v>
      </c>
      <c r="Z57" s="111">
        <f t="shared" si="115"/>
        <v>1634</v>
      </c>
      <c r="AA57" s="111">
        <f>SUM(O57:Z57)</f>
        <v>19371</v>
      </c>
      <c r="AB57" s="111">
        <f t="shared" si="115"/>
        <v>1634</v>
      </c>
      <c r="AC57" s="111">
        <f t="shared" si="115"/>
        <v>1634</v>
      </c>
      <c r="AD57" s="111">
        <f t="shared" si="115"/>
        <v>1720</v>
      </c>
      <c r="AE57" s="111">
        <f t="shared" si="115"/>
        <v>1806</v>
      </c>
      <c r="AF57" s="111">
        <f t="shared" si="115"/>
        <v>1891</v>
      </c>
      <c r="AG57" s="111">
        <f t="shared" si="115"/>
        <v>1977</v>
      </c>
      <c r="AH57" s="111">
        <f t="shared" si="115"/>
        <v>2063</v>
      </c>
      <c r="AI57" s="111">
        <f t="shared" si="115"/>
        <v>2149</v>
      </c>
      <c r="AJ57" s="111">
        <f t="shared" si="115"/>
        <v>2235</v>
      </c>
      <c r="AK57" s="111">
        <f t="shared" si="115"/>
        <v>2321</v>
      </c>
      <c r="AL57" s="111">
        <f t="shared" si="115"/>
        <v>2408</v>
      </c>
      <c r="AM57" s="111">
        <f t="shared" si="115"/>
        <v>2494</v>
      </c>
      <c r="AN57" s="111">
        <f>SUM(AB57:AM57)</f>
        <v>24332</v>
      </c>
      <c r="AO57" s="111">
        <f t="shared" si="115"/>
        <v>2579</v>
      </c>
      <c r="AP57" s="111">
        <f t="shared" si="115"/>
        <v>2665</v>
      </c>
      <c r="AQ57" s="111">
        <f t="shared" si="115"/>
        <v>2751</v>
      </c>
      <c r="AR57" s="111">
        <f t="shared" si="115"/>
        <v>2837</v>
      </c>
      <c r="AS57" s="111">
        <f t="shared" si="115"/>
        <v>2923</v>
      </c>
      <c r="AT57" s="111">
        <f t="shared" si="115"/>
        <v>3009</v>
      </c>
      <c r="AU57" s="111">
        <f t="shared" si="115"/>
        <v>3095</v>
      </c>
      <c r="AV57" s="111">
        <f t="shared" si="115"/>
        <v>3267</v>
      </c>
      <c r="AW57" s="111">
        <f t="shared" si="115"/>
        <v>3267</v>
      </c>
      <c r="AX57" s="111">
        <f t="shared" si="115"/>
        <v>3267</v>
      </c>
      <c r="AY57" s="111">
        <f t="shared" si="115"/>
        <v>3267</v>
      </c>
      <c r="AZ57" s="111">
        <f t="shared" si="115"/>
        <v>3267</v>
      </c>
      <c r="BA57" s="111">
        <f>SUM(AO57:AZ57)</f>
        <v>36194</v>
      </c>
      <c r="BB57" s="39">
        <f t="shared" si="114"/>
        <v>2769.5833158914998</v>
      </c>
      <c r="BC57" s="39">
        <f t="shared" si="114"/>
        <v>2769.5833158914998</v>
      </c>
      <c r="BD57" s="39">
        <f t="shared" si="114"/>
        <v>2769.5833158914998</v>
      </c>
      <c r="BE57" s="39">
        <f t="shared" si="114"/>
        <v>2769.5833158914998</v>
      </c>
      <c r="BF57" s="39">
        <f t="shared" si="114"/>
        <v>2769.5833158914998</v>
      </c>
      <c r="BG57" s="39">
        <f t="shared" si="114"/>
        <v>2769.5833158914998</v>
      </c>
      <c r="BH57" s="39">
        <f t="shared" si="114"/>
        <v>2769.5833158914998</v>
      </c>
      <c r="BI57" s="39">
        <f t="shared" si="114"/>
        <v>2769.5833158914998</v>
      </c>
      <c r="BJ57" s="39">
        <f t="shared" si="114"/>
        <v>2769.5833158914998</v>
      </c>
      <c r="BK57" s="39">
        <f t="shared" si="114"/>
        <v>2769.5833158914998</v>
      </c>
      <c r="BL57" s="39">
        <f t="shared" si="114"/>
        <v>2769.5833158914998</v>
      </c>
      <c r="BM57" s="39">
        <f t="shared" si="114"/>
        <v>2769.5833158914998</v>
      </c>
      <c r="BN57" s="39">
        <f t="shared" si="114"/>
        <v>33234.999790697999</v>
      </c>
    </row>
    <row r="58" spans="2:66" x14ac:dyDescent="0.2">
      <c r="C58" s="82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</row>
    <row r="59" spans="2:66" x14ac:dyDescent="0.2">
      <c r="B59" s="6" t="s">
        <v>20</v>
      </c>
    </row>
    <row r="60" spans="2:66" s="2" customFormat="1" x14ac:dyDescent="0.2">
      <c r="B60" s="2" t="s">
        <v>6</v>
      </c>
      <c r="C60" s="2" t="s">
        <v>13</v>
      </c>
      <c r="G60" s="104">
        <f t="shared" ref="G60:L63" si="116">H60</f>
        <v>8.8999999999999996E-2</v>
      </c>
      <c r="H60" s="104">
        <f t="shared" si="116"/>
        <v>8.8999999999999996E-2</v>
      </c>
      <c r="I60" s="104">
        <f t="shared" si="116"/>
        <v>8.8999999999999996E-2</v>
      </c>
      <c r="J60" s="104">
        <f t="shared" si="116"/>
        <v>8.8999999999999996E-2</v>
      </c>
      <c r="K60" s="104">
        <f t="shared" si="116"/>
        <v>8.8999999999999996E-2</v>
      </c>
      <c r="L60" s="104">
        <f t="shared" si="116"/>
        <v>8.8999999999999996E-2</v>
      </c>
      <c r="M60" s="104">
        <f>N60</f>
        <v>8.8999999999999996E-2</v>
      </c>
      <c r="N60" s="85">
        <f>Scenarios!N59</f>
        <v>8.8999999999999996E-2</v>
      </c>
      <c r="O60" s="85">
        <f>N60</f>
        <v>8.8999999999999996E-2</v>
      </c>
      <c r="P60" s="85">
        <f t="shared" ref="P60:Z60" si="117">O60</f>
        <v>8.8999999999999996E-2</v>
      </c>
      <c r="Q60" s="85">
        <f t="shared" si="117"/>
        <v>8.8999999999999996E-2</v>
      </c>
      <c r="R60" s="85">
        <f t="shared" si="117"/>
        <v>8.8999999999999996E-2</v>
      </c>
      <c r="S60" s="85">
        <f t="shared" si="117"/>
        <v>8.8999999999999996E-2</v>
      </c>
      <c r="T60" s="85">
        <f t="shared" si="117"/>
        <v>8.8999999999999996E-2</v>
      </c>
      <c r="U60" s="85">
        <f t="shared" si="117"/>
        <v>8.8999999999999996E-2</v>
      </c>
      <c r="V60" s="85">
        <f t="shared" si="117"/>
        <v>8.8999999999999996E-2</v>
      </c>
      <c r="W60" s="85">
        <f t="shared" si="117"/>
        <v>8.8999999999999996E-2</v>
      </c>
      <c r="X60" s="85">
        <f t="shared" si="117"/>
        <v>8.8999999999999996E-2</v>
      </c>
      <c r="Y60" s="85">
        <f t="shared" si="117"/>
        <v>8.8999999999999996E-2</v>
      </c>
      <c r="Z60" s="85">
        <f t="shared" si="117"/>
        <v>8.8999999999999996E-2</v>
      </c>
      <c r="AA60" s="85">
        <f>Scenarios!AA59</f>
        <v>8.8999999999999996E-2</v>
      </c>
      <c r="AB60" s="85">
        <f>AA60</f>
        <v>8.8999999999999996E-2</v>
      </c>
      <c r="AC60" s="85">
        <f t="shared" ref="AC60:AM60" si="118">AB60</f>
        <v>8.8999999999999996E-2</v>
      </c>
      <c r="AD60" s="85">
        <f t="shared" si="118"/>
        <v>8.8999999999999996E-2</v>
      </c>
      <c r="AE60" s="85">
        <f t="shared" si="118"/>
        <v>8.8999999999999996E-2</v>
      </c>
      <c r="AF60" s="85">
        <f t="shared" si="118"/>
        <v>8.8999999999999996E-2</v>
      </c>
      <c r="AG60" s="85">
        <f t="shared" si="118"/>
        <v>8.8999999999999996E-2</v>
      </c>
      <c r="AH60" s="85">
        <f t="shared" si="118"/>
        <v>8.8999999999999996E-2</v>
      </c>
      <c r="AI60" s="85">
        <f t="shared" si="118"/>
        <v>8.8999999999999996E-2</v>
      </c>
      <c r="AJ60" s="85">
        <f t="shared" si="118"/>
        <v>8.8999999999999996E-2</v>
      </c>
      <c r="AK60" s="85">
        <f t="shared" si="118"/>
        <v>8.8999999999999996E-2</v>
      </c>
      <c r="AL60" s="85">
        <f t="shared" si="118"/>
        <v>8.8999999999999996E-2</v>
      </c>
      <c r="AM60" s="85">
        <f t="shared" si="118"/>
        <v>8.8999999999999996E-2</v>
      </c>
      <c r="AN60" s="85">
        <f>Scenarios!AN59</f>
        <v>8.8999999999999996E-2</v>
      </c>
      <c r="AO60" s="85">
        <f>AN60</f>
        <v>8.8999999999999996E-2</v>
      </c>
      <c r="AP60" s="85">
        <f t="shared" ref="AP60:AZ60" si="119">AO60</f>
        <v>8.8999999999999996E-2</v>
      </c>
      <c r="AQ60" s="85">
        <f t="shared" si="119"/>
        <v>8.8999999999999996E-2</v>
      </c>
      <c r="AR60" s="85">
        <f t="shared" si="119"/>
        <v>8.8999999999999996E-2</v>
      </c>
      <c r="AS60" s="85">
        <f t="shared" si="119"/>
        <v>8.8999999999999996E-2</v>
      </c>
      <c r="AT60" s="85">
        <f t="shared" si="119"/>
        <v>8.8999999999999996E-2</v>
      </c>
      <c r="AU60" s="85">
        <f t="shared" si="119"/>
        <v>8.8999999999999996E-2</v>
      </c>
      <c r="AV60" s="85">
        <f t="shared" si="119"/>
        <v>8.8999999999999996E-2</v>
      </c>
      <c r="AW60" s="85">
        <f t="shared" si="119"/>
        <v>8.8999999999999996E-2</v>
      </c>
      <c r="AX60" s="85">
        <f t="shared" si="119"/>
        <v>8.8999999999999996E-2</v>
      </c>
      <c r="AY60" s="85">
        <f t="shared" si="119"/>
        <v>8.8999999999999996E-2</v>
      </c>
      <c r="AZ60" s="85">
        <f t="shared" si="119"/>
        <v>8.8999999999999996E-2</v>
      </c>
      <c r="BA60" s="85">
        <f>Scenarios!BA59</f>
        <v>8.8999999999999996E-2</v>
      </c>
      <c r="BB60" s="85">
        <f>BA60</f>
        <v>8.8999999999999996E-2</v>
      </c>
      <c r="BC60" s="85">
        <f t="shared" ref="BC60:BM60" si="120">BB60</f>
        <v>8.8999999999999996E-2</v>
      </c>
      <c r="BD60" s="85">
        <f t="shared" si="120"/>
        <v>8.8999999999999996E-2</v>
      </c>
      <c r="BE60" s="85">
        <f t="shared" si="120"/>
        <v>8.8999999999999996E-2</v>
      </c>
      <c r="BF60" s="85">
        <f t="shared" si="120"/>
        <v>8.8999999999999996E-2</v>
      </c>
      <c r="BG60" s="85">
        <f t="shared" si="120"/>
        <v>8.8999999999999996E-2</v>
      </c>
      <c r="BH60" s="85">
        <f t="shared" si="120"/>
        <v>8.8999999999999996E-2</v>
      </c>
      <c r="BI60" s="85">
        <f t="shared" si="120"/>
        <v>8.8999999999999996E-2</v>
      </c>
      <c r="BJ60" s="85">
        <f t="shared" si="120"/>
        <v>8.8999999999999996E-2</v>
      </c>
      <c r="BK60" s="85">
        <f t="shared" si="120"/>
        <v>8.8999999999999996E-2</v>
      </c>
      <c r="BL60" s="85">
        <f t="shared" si="120"/>
        <v>8.8999999999999996E-2</v>
      </c>
      <c r="BM60" s="85">
        <f t="shared" si="120"/>
        <v>8.8999999999999996E-2</v>
      </c>
      <c r="BN60" s="85">
        <f>Scenarios!BN59</f>
        <v>8.8999999999999996E-2</v>
      </c>
    </row>
    <row r="61" spans="2:66" s="2" customFormat="1" x14ac:dyDescent="0.2">
      <c r="B61" s="2" t="s">
        <v>7</v>
      </c>
      <c r="C61" s="2" t="s">
        <v>13</v>
      </c>
      <c r="G61" s="104">
        <f t="shared" si="116"/>
        <v>8.8999999999999996E-2</v>
      </c>
      <c r="H61" s="104">
        <f t="shared" si="116"/>
        <v>8.8999999999999996E-2</v>
      </c>
      <c r="I61" s="104">
        <f t="shared" si="116"/>
        <v>8.8999999999999996E-2</v>
      </c>
      <c r="J61" s="104">
        <f t="shared" si="116"/>
        <v>8.8999999999999996E-2</v>
      </c>
      <c r="K61" s="104">
        <f t="shared" si="116"/>
        <v>8.8999999999999996E-2</v>
      </c>
      <c r="L61" s="104">
        <f t="shared" si="116"/>
        <v>8.8999999999999996E-2</v>
      </c>
      <c r="M61" s="104">
        <f>N61</f>
        <v>8.8999999999999996E-2</v>
      </c>
      <c r="N61" s="85">
        <f>N60</f>
        <v>8.8999999999999996E-2</v>
      </c>
      <c r="O61" s="85">
        <f>N61</f>
        <v>8.8999999999999996E-2</v>
      </c>
      <c r="P61" s="85">
        <f t="shared" ref="P61:Z61" si="121">O61</f>
        <v>8.8999999999999996E-2</v>
      </c>
      <c r="Q61" s="85">
        <f t="shared" si="121"/>
        <v>8.8999999999999996E-2</v>
      </c>
      <c r="R61" s="85">
        <f t="shared" si="121"/>
        <v>8.8999999999999996E-2</v>
      </c>
      <c r="S61" s="85">
        <f t="shared" si="121"/>
        <v>8.8999999999999996E-2</v>
      </c>
      <c r="T61" s="85">
        <f t="shared" si="121"/>
        <v>8.8999999999999996E-2</v>
      </c>
      <c r="U61" s="85">
        <f t="shared" si="121"/>
        <v>8.8999999999999996E-2</v>
      </c>
      <c r="V61" s="85">
        <f t="shared" si="121"/>
        <v>8.8999999999999996E-2</v>
      </c>
      <c r="W61" s="85">
        <f t="shared" si="121"/>
        <v>8.8999999999999996E-2</v>
      </c>
      <c r="X61" s="85">
        <f t="shared" si="121"/>
        <v>8.8999999999999996E-2</v>
      </c>
      <c r="Y61" s="85">
        <f t="shared" si="121"/>
        <v>8.8999999999999996E-2</v>
      </c>
      <c r="Z61" s="85">
        <f t="shared" si="121"/>
        <v>8.8999999999999996E-2</v>
      </c>
      <c r="AA61" s="85">
        <f>AA60</f>
        <v>8.8999999999999996E-2</v>
      </c>
      <c r="AB61" s="85">
        <f t="shared" ref="AB61:AM63" si="122">AA61</f>
        <v>8.8999999999999996E-2</v>
      </c>
      <c r="AC61" s="85">
        <f t="shared" si="122"/>
        <v>8.8999999999999996E-2</v>
      </c>
      <c r="AD61" s="85">
        <f t="shared" si="122"/>
        <v>8.8999999999999996E-2</v>
      </c>
      <c r="AE61" s="85">
        <f t="shared" si="122"/>
        <v>8.8999999999999996E-2</v>
      </c>
      <c r="AF61" s="85">
        <f t="shared" si="122"/>
        <v>8.8999999999999996E-2</v>
      </c>
      <c r="AG61" s="85">
        <f t="shared" si="122"/>
        <v>8.8999999999999996E-2</v>
      </c>
      <c r="AH61" s="85">
        <f t="shared" si="122"/>
        <v>8.8999999999999996E-2</v>
      </c>
      <c r="AI61" s="85">
        <f t="shared" si="122"/>
        <v>8.8999999999999996E-2</v>
      </c>
      <c r="AJ61" s="85">
        <f t="shared" si="122"/>
        <v>8.8999999999999996E-2</v>
      </c>
      <c r="AK61" s="85">
        <f t="shared" si="122"/>
        <v>8.8999999999999996E-2</v>
      </c>
      <c r="AL61" s="85">
        <f t="shared" si="122"/>
        <v>8.8999999999999996E-2</v>
      </c>
      <c r="AM61" s="85">
        <f t="shared" si="122"/>
        <v>8.8999999999999996E-2</v>
      </c>
      <c r="AN61" s="85">
        <f>AN60</f>
        <v>8.8999999999999996E-2</v>
      </c>
      <c r="AO61" s="85">
        <f t="shared" ref="AO61:AZ63" si="123">AN61</f>
        <v>8.8999999999999996E-2</v>
      </c>
      <c r="AP61" s="85">
        <f t="shared" si="123"/>
        <v>8.8999999999999996E-2</v>
      </c>
      <c r="AQ61" s="85">
        <f t="shared" si="123"/>
        <v>8.8999999999999996E-2</v>
      </c>
      <c r="AR61" s="85">
        <f t="shared" si="123"/>
        <v>8.8999999999999996E-2</v>
      </c>
      <c r="AS61" s="85">
        <f t="shared" si="123"/>
        <v>8.8999999999999996E-2</v>
      </c>
      <c r="AT61" s="85">
        <f t="shared" si="123"/>
        <v>8.8999999999999996E-2</v>
      </c>
      <c r="AU61" s="85">
        <f t="shared" si="123"/>
        <v>8.8999999999999996E-2</v>
      </c>
      <c r="AV61" s="85">
        <f t="shared" si="123"/>
        <v>8.8999999999999996E-2</v>
      </c>
      <c r="AW61" s="85">
        <f t="shared" si="123"/>
        <v>8.8999999999999996E-2</v>
      </c>
      <c r="AX61" s="85">
        <f t="shared" si="123"/>
        <v>8.8999999999999996E-2</v>
      </c>
      <c r="AY61" s="85">
        <f t="shared" si="123"/>
        <v>8.8999999999999996E-2</v>
      </c>
      <c r="AZ61" s="85">
        <f t="shared" si="123"/>
        <v>8.8999999999999996E-2</v>
      </c>
      <c r="BA61" s="85">
        <f>BA60</f>
        <v>8.8999999999999996E-2</v>
      </c>
      <c r="BB61" s="85">
        <f t="shared" ref="BB61:BM63" si="124">BA61</f>
        <v>8.8999999999999996E-2</v>
      </c>
      <c r="BC61" s="85">
        <f t="shared" si="124"/>
        <v>8.8999999999999996E-2</v>
      </c>
      <c r="BD61" s="85">
        <f t="shared" si="124"/>
        <v>8.8999999999999996E-2</v>
      </c>
      <c r="BE61" s="85">
        <f t="shared" si="124"/>
        <v>8.8999999999999996E-2</v>
      </c>
      <c r="BF61" s="85">
        <f t="shared" si="124"/>
        <v>8.8999999999999996E-2</v>
      </c>
      <c r="BG61" s="85">
        <f t="shared" si="124"/>
        <v>8.8999999999999996E-2</v>
      </c>
      <c r="BH61" s="85">
        <f t="shared" si="124"/>
        <v>8.8999999999999996E-2</v>
      </c>
      <c r="BI61" s="85">
        <f t="shared" si="124"/>
        <v>8.8999999999999996E-2</v>
      </c>
      <c r="BJ61" s="85">
        <f t="shared" si="124"/>
        <v>8.8999999999999996E-2</v>
      </c>
      <c r="BK61" s="85">
        <f t="shared" si="124"/>
        <v>8.8999999999999996E-2</v>
      </c>
      <c r="BL61" s="85">
        <f t="shared" si="124"/>
        <v>8.8999999999999996E-2</v>
      </c>
      <c r="BM61" s="85">
        <f t="shared" si="124"/>
        <v>8.8999999999999996E-2</v>
      </c>
      <c r="BN61" s="85">
        <f>BN60</f>
        <v>8.8999999999999996E-2</v>
      </c>
    </row>
    <row r="62" spans="2:66" s="2" customFormat="1" x14ac:dyDescent="0.2">
      <c r="B62" s="2" t="s">
        <v>8</v>
      </c>
      <c r="C62" s="2" t="s">
        <v>13</v>
      </c>
      <c r="G62" s="104">
        <f t="shared" si="116"/>
        <v>8.8999999999999996E-2</v>
      </c>
      <c r="H62" s="104">
        <f t="shared" si="116"/>
        <v>8.8999999999999996E-2</v>
      </c>
      <c r="I62" s="104">
        <f t="shared" si="116"/>
        <v>8.8999999999999996E-2</v>
      </c>
      <c r="J62" s="104">
        <f t="shared" si="116"/>
        <v>8.8999999999999996E-2</v>
      </c>
      <c r="K62" s="104">
        <f t="shared" si="116"/>
        <v>8.8999999999999996E-2</v>
      </c>
      <c r="L62" s="104">
        <f t="shared" si="116"/>
        <v>8.8999999999999996E-2</v>
      </c>
      <c r="M62" s="104">
        <f>N62</f>
        <v>8.8999999999999996E-2</v>
      </c>
      <c r="N62" s="85">
        <f>N61</f>
        <v>8.8999999999999996E-2</v>
      </c>
      <c r="O62" s="85">
        <f>N62</f>
        <v>8.8999999999999996E-2</v>
      </c>
      <c r="P62" s="85">
        <f t="shared" ref="P62:Z62" si="125">O62</f>
        <v>8.8999999999999996E-2</v>
      </c>
      <c r="Q62" s="85">
        <f t="shared" si="125"/>
        <v>8.8999999999999996E-2</v>
      </c>
      <c r="R62" s="85">
        <f t="shared" si="125"/>
        <v>8.8999999999999996E-2</v>
      </c>
      <c r="S62" s="85">
        <f t="shared" si="125"/>
        <v>8.8999999999999996E-2</v>
      </c>
      <c r="T62" s="85">
        <f t="shared" si="125"/>
        <v>8.8999999999999996E-2</v>
      </c>
      <c r="U62" s="85">
        <f t="shared" si="125"/>
        <v>8.8999999999999996E-2</v>
      </c>
      <c r="V62" s="85">
        <f t="shared" si="125"/>
        <v>8.8999999999999996E-2</v>
      </c>
      <c r="W62" s="85">
        <f t="shared" si="125"/>
        <v>8.8999999999999996E-2</v>
      </c>
      <c r="X62" s="85">
        <f t="shared" si="125"/>
        <v>8.8999999999999996E-2</v>
      </c>
      <c r="Y62" s="85">
        <f t="shared" si="125"/>
        <v>8.8999999999999996E-2</v>
      </c>
      <c r="Z62" s="85">
        <f t="shared" si="125"/>
        <v>8.8999999999999996E-2</v>
      </c>
      <c r="AA62" s="85">
        <f>AA61</f>
        <v>8.8999999999999996E-2</v>
      </c>
      <c r="AB62" s="85">
        <f t="shared" si="122"/>
        <v>8.8999999999999996E-2</v>
      </c>
      <c r="AC62" s="85">
        <f t="shared" si="122"/>
        <v>8.8999999999999996E-2</v>
      </c>
      <c r="AD62" s="85">
        <f t="shared" si="122"/>
        <v>8.8999999999999996E-2</v>
      </c>
      <c r="AE62" s="85">
        <f t="shared" si="122"/>
        <v>8.8999999999999996E-2</v>
      </c>
      <c r="AF62" s="85">
        <f t="shared" si="122"/>
        <v>8.8999999999999996E-2</v>
      </c>
      <c r="AG62" s="85">
        <f t="shared" si="122"/>
        <v>8.8999999999999996E-2</v>
      </c>
      <c r="AH62" s="85">
        <f t="shared" si="122"/>
        <v>8.8999999999999996E-2</v>
      </c>
      <c r="AI62" s="85">
        <f t="shared" si="122"/>
        <v>8.8999999999999996E-2</v>
      </c>
      <c r="AJ62" s="85">
        <f t="shared" si="122"/>
        <v>8.8999999999999996E-2</v>
      </c>
      <c r="AK62" s="85">
        <f t="shared" si="122"/>
        <v>8.8999999999999996E-2</v>
      </c>
      <c r="AL62" s="85">
        <f t="shared" si="122"/>
        <v>8.8999999999999996E-2</v>
      </c>
      <c r="AM62" s="85">
        <f t="shared" si="122"/>
        <v>8.8999999999999996E-2</v>
      </c>
      <c r="AN62" s="85">
        <f>AN61</f>
        <v>8.8999999999999996E-2</v>
      </c>
      <c r="AO62" s="85">
        <f t="shared" si="123"/>
        <v>8.8999999999999996E-2</v>
      </c>
      <c r="AP62" s="85">
        <f t="shared" si="123"/>
        <v>8.8999999999999996E-2</v>
      </c>
      <c r="AQ62" s="85">
        <f t="shared" si="123"/>
        <v>8.8999999999999996E-2</v>
      </c>
      <c r="AR62" s="85">
        <f t="shared" si="123"/>
        <v>8.8999999999999996E-2</v>
      </c>
      <c r="AS62" s="85">
        <f t="shared" si="123"/>
        <v>8.8999999999999996E-2</v>
      </c>
      <c r="AT62" s="85">
        <f t="shared" si="123"/>
        <v>8.8999999999999996E-2</v>
      </c>
      <c r="AU62" s="85">
        <f t="shared" si="123"/>
        <v>8.8999999999999996E-2</v>
      </c>
      <c r="AV62" s="85">
        <f t="shared" si="123"/>
        <v>8.8999999999999996E-2</v>
      </c>
      <c r="AW62" s="85">
        <f t="shared" si="123"/>
        <v>8.8999999999999996E-2</v>
      </c>
      <c r="AX62" s="85">
        <f t="shared" si="123"/>
        <v>8.8999999999999996E-2</v>
      </c>
      <c r="AY62" s="85">
        <f t="shared" si="123"/>
        <v>8.8999999999999996E-2</v>
      </c>
      <c r="AZ62" s="85">
        <f t="shared" si="123"/>
        <v>8.8999999999999996E-2</v>
      </c>
      <c r="BA62" s="85">
        <f>BA61</f>
        <v>8.8999999999999996E-2</v>
      </c>
      <c r="BB62" s="85">
        <f t="shared" si="124"/>
        <v>8.8999999999999996E-2</v>
      </c>
      <c r="BC62" s="85">
        <f t="shared" si="124"/>
        <v>8.8999999999999996E-2</v>
      </c>
      <c r="BD62" s="85">
        <f t="shared" si="124"/>
        <v>8.8999999999999996E-2</v>
      </c>
      <c r="BE62" s="85">
        <f t="shared" si="124"/>
        <v>8.8999999999999996E-2</v>
      </c>
      <c r="BF62" s="85">
        <f t="shared" si="124"/>
        <v>8.8999999999999996E-2</v>
      </c>
      <c r="BG62" s="85">
        <f t="shared" si="124"/>
        <v>8.8999999999999996E-2</v>
      </c>
      <c r="BH62" s="85">
        <f t="shared" si="124"/>
        <v>8.8999999999999996E-2</v>
      </c>
      <c r="BI62" s="85">
        <f t="shared" si="124"/>
        <v>8.8999999999999996E-2</v>
      </c>
      <c r="BJ62" s="85">
        <f t="shared" si="124"/>
        <v>8.8999999999999996E-2</v>
      </c>
      <c r="BK62" s="85">
        <f t="shared" si="124"/>
        <v>8.8999999999999996E-2</v>
      </c>
      <c r="BL62" s="85">
        <f t="shared" si="124"/>
        <v>8.8999999999999996E-2</v>
      </c>
      <c r="BM62" s="85">
        <f t="shared" si="124"/>
        <v>8.8999999999999996E-2</v>
      </c>
      <c r="BN62" s="85">
        <f>BN61</f>
        <v>8.8999999999999996E-2</v>
      </c>
    </row>
    <row r="63" spans="2:66" s="2" customFormat="1" x14ac:dyDescent="0.2">
      <c r="B63" s="2" t="s">
        <v>9</v>
      </c>
      <c r="C63" s="2" t="s">
        <v>13</v>
      </c>
      <c r="G63" s="104">
        <f t="shared" si="116"/>
        <v>8.8999999999999996E-2</v>
      </c>
      <c r="H63" s="104">
        <f t="shared" si="116"/>
        <v>8.8999999999999996E-2</v>
      </c>
      <c r="I63" s="104">
        <f t="shared" si="116"/>
        <v>8.8999999999999996E-2</v>
      </c>
      <c r="J63" s="104">
        <f t="shared" si="116"/>
        <v>8.8999999999999996E-2</v>
      </c>
      <c r="K63" s="104">
        <f t="shared" si="116"/>
        <v>8.8999999999999996E-2</v>
      </c>
      <c r="L63" s="104">
        <f t="shared" si="116"/>
        <v>8.8999999999999996E-2</v>
      </c>
      <c r="M63" s="104">
        <f>N63</f>
        <v>8.8999999999999996E-2</v>
      </c>
      <c r="N63" s="85">
        <f>N62</f>
        <v>8.8999999999999996E-2</v>
      </c>
      <c r="O63" s="85">
        <f>N63</f>
        <v>8.8999999999999996E-2</v>
      </c>
      <c r="P63" s="85">
        <f t="shared" ref="P63:Z63" si="126">O63</f>
        <v>8.8999999999999996E-2</v>
      </c>
      <c r="Q63" s="85">
        <f t="shared" si="126"/>
        <v>8.8999999999999996E-2</v>
      </c>
      <c r="R63" s="85">
        <f t="shared" si="126"/>
        <v>8.8999999999999996E-2</v>
      </c>
      <c r="S63" s="85">
        <f t="shared" si="126"/>
        <v>8.8999999999999996E-2</v>
      </c>
      <c r="T63" s="85">
        <f t="shared" si="126"/>
        <v>8.8999999999999996E-2</v>
      </c>
      <c r="U63" s="85">
        <f t="shared" si="126"/>
        <v>8.8999999999999996E-2</v>
      </c>
      <c r="V63" s="85">
        <f t="shared" si="126"/>
        <v>8.8999999999999996E-2</v>
      </c>
      <c r="W63" s="85">
        <f t="shared" si="126"/>
        <v>8.8999999999999996E-2</v>
      </c>
      <c r="X63" s="85">
        <f t="shared" si="126"/>
        <v>8.8999999999999996E-2</v>
      </c>
      <c r="Y63" s="85">
        <f t="shared" si="126"/>
        <v>8.8999999999999996E-2</v>
      </c>
      <c r="Z63" s="85">
        <f t="shared" si="126"/>
        <v>8.8999999999999996E-2</v>
      </c>
      <c r="AA63" s="85">
        <f>AA62</f>
        <v>8.8999999999999996E-2</v>
      </c>
      <c r="AB63" s="85">
        <f t="shared" si="122"/>
        <v>8.8999999999999996E-2</v>
      </c>
      <c r="AC63" s="85">
        <f t="shared" si="122"/>
        <v>8.8999999999999996E-2</v>
      </c>
      <c r="AD63" s="85">
        <f t="shared" si="122"/>
        <v>8.8999999999999996E-2</v>
      </c>
      <c r="AE63" s="85">
        <f t="shared" si="122"/>
        <v>8.8999999999999996E-2</v>
      </c>
      <c r="AF63" s="85">
        <f t="shared" si="122"/>
        <v>8.8999999999999996E-2</v>
      </c>
      <c r="AG63" s="85">
        <f t="shared" si="122"/>
        <v>8.8999999999999996E-2</v>
      </c>
      <c r="AH63" s="85">
        <f t="shared" si="122"/>
        <v>8.8999999999999996E-2</v>
      </c>
      <c r="AI63" s="85">
        <f t="shared" si="122"/>
        <v>8.8999999999999996E-2</v>
      </c>
      <c r="AJ63" s="85">
        <f t="shared" si="122"/>
        <v>8.8999999999999996E-2</v>
      </c>
      <c r="AK63" s="85">
        <f t="shared" si="122"/>
        <v>8.8999999999999996E-2</v>
      </c>
      <c r="AL63" s="85">
        <f t="shared" si="122"/>
        <v>8.8999999999999996E-2</v>
      </c>
      <c r="AM63" s="85">
        <f t="shared" si="122"/>
        <v>8.8999999999999996E-2</v>
      </c>
      <c r="AN63" s="85">
        <f>AN62</f>
        <v>8.8999999999999996E-2</v>
      </c>
      <c r="AO63" s="85">
        <f t="shared" si="123"/>
        <v>8.8999999999999996E-2</v>
      </c>
      <c r="AP63" s="85">
        <f t="shared" si="123"/>
        <v>8.8999999999999996E-2</v>
      </c>
      <c r="AQ63" s="85">
        <f t="shared" si="123"/>
        <v>8.8999999999999996E-2</v>
      </c>
      <c r="AR63" s="85">
        <f t="shared" si="123"/>
        <v>8.8999999999999996E-2</v>
      </c>
      <c r="AS63" s="85">
        <f t="shared" si="123"/>
        <v>8.8999999999999996E-2</v>
      </c>
      <c r="AT63" s="85">
        <f t="shared" si="123"/>
        <v>8.8999999999999996E-2</v>
      </c>
      <c r="AU63" s="85">
        <f t="shared" si="123"/>
        <v>8.8999999999999996E-2</v>
      </c>
      <c r="AV63" s="85">
        <f t="shared" si="123"/>
        <v>8.8999999999999996E-2</v>
      </c>
      <c r="AW63" s="85">
        <f t="shared" si="123"/>
        <v>8.8999999999999996E-2</v>
      </c>
      <c r="AX63" s="85">
        <f t="shared" si="123"/>
        <v>8.8999999999999996E-2</v>
      </c>
      <c r="AY63" s="85">
        <f t="shared" si="123"/>
        <v>8.8999999999999996E-2</v>
      </c>
      <c r="AZ63" s="85">
        <f t="shared" si="123"/>
        <v>8.8999999999999996E-2</v>
      </c>
      <c r="BA63" s="85">
        <f>BA62</f>
        <v>8.8999999999999996E-2</v>
      </c>
      <c r="BB63" s="85">
        <f t="shared" si="124"/>
        <v>8.8999999999999996E-2</v>
      </c>
      <c r="BC63" s="85">
        <f t="shared" si="124"/>
        <v>8.8999999999999996E-2</v>
      </c>
      <c r="BD63" s="85">
        <f t="shared" si="124"/>
        <v>8.8999999999999996E-2</v>
      </c>
      <c r="BE63" s="85">
        <f t="shared" si="124"/>
        <v>8.8999999999999996E-2</v>
      </c>
      <c r="BF63" s="85">
        <f t="shared" si="124"/>
        <v>8.8999999999999996E-2</v>
      </c>
      <c r="BG63" s="85">
        <f t="shared" si="124"/>
        <v>8.8999999999999996E-2</v>
      </c>
      <c r="BH63" s="85">
        <f t="shared" si="124"/>
        <v>8.8999999999999996E-2</v>
      </c>
      <c r="BI63" s="85">
        <f t="shared" si="124"/>
        <v>8.8999999999999996E-2</v>
      </c>
      <c r="BJ63" s="85">
        <f t="shared" si="124"/>
        <v>8.8999999999999996E-2</v>
      </c>
      <c r="BK63" s="85">
        <f t="shared" si="124"/>
        <v>8.8999999999999996E-2</v>
      </c>
      <c r="BL63" s="85">
        <f t="shared" si="124"/>
        <v>8.8999999999999996E-2</v>
      </c>
      <c r="BM63" s="85">
        <f t="shared" si="124"/>
        <v>8.8999999999999996E-2</v>
      </c>
      <c r="BN63" s="85">
        <f>BN62</f>
        <v>8.8999999999999996E-2</v>
      </c>
    </row>
    <row r="64" spans="2:66" s="2" customFormat="1" x14ac:dyDescent="0.2">
      <c r="G64" s="104"/>
      <c r="H64" s="104"/>
      <c r="I64" s="104"/>
      <c r="J64" s="104"/>
      <c r="K64" s="104"/>
      <c r="L64" s="104"/>
      <c r="M64" s="104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</row>
    <row r="65" spans="2:74" s="2" customFormat="1" x14ac:dyDescent="0.2">
      <c r="B65" s="105" t="s">
        <v>115</v>
      </c>
      <c r="G65" s="104"/>
      <c r="H65" s="104"/>
      <c r="I65" s="104"/>
      <c r="J65" s="104"/>
      <c r="K65" s="104"/>
      <c r="L65" s="104"/>
      <c r="M65" s="104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</row>
    <row r="66" spans="2:74" s="2" customFormat="1" x14ac:dyDescent="0.2">
      <c r="B66" s="2" t="s">
        <v>31</v>
      </c>
      <c r="C66" t="s">
        <v>10</v>
      </c>
      <c r="G66" s="102">
        <f t="shared" ref="G66:L66" si="127">H66</f>
        <v>4.37</v>
      </c>
      <c r="H66" s="102">
        <f t="shared" si="127"/>
        <v>4.37</v>
      </c>
      <c r="I66" s="102">
        <f t="shared" si="127"/>
        <v>4.37</v>
      </c>
      <c r="J66" s="102">
        <f t="shared" si="127"/>
        <v>4.37</v>
      </c>
      <c r="K66" s="102">
        <f t="shared" si="127"/>
        <v>4.37</v>
      </c>
      <c r="L66" s="102">
        <f t="shared" si="127"/>
        <v>4.37</v>
      </c>
      <c r="M66" s="102">
        <f>N66</f>
        <v>4.37</v>
      </c>
      <c r="N66" s="87">
        <v>4.37</v>
      </c>
      <c r="O66" s="106">
        <f>N66</f>
        <v>4.37</v>
      </c>
      <c r="P66" s="106">
        <f>O66</f>
        <v>4.37</v>
      </c>
      <c r="Q66" s="106">
        <f>P66*(1+AA67)</f>
        <v>4.4617699999999996</v>
      </c>
      <c r="R66" s="106">
        <f t="shared" ref="R66:Y66" si="128">Q66</f>
        <v>4.4617699999999996</v>
      </c>
      <c r="S66" s="106">
        <f t="shared" si="128"/>
        <v>4.4617699999999996</v>
      </c>
      <c r="T66" s="106">
        <f t="shared" si="128"/>
        <v>4.4617699999999996</v>
      </c>
      <c r="U66" s="106">
        <f t="shared" si="128"/>
        <v>4.4617699999999996</v>
      </c>
      <c r="V66" s="106">
        <f t="shared" si="128"/>
        <v>4.4617699999999996</v>
      </c>
      <c r="W66" s="106">
        <f t="shared" si="128"/>
        <v>4.4617699999999996</v>
      </c>
      <c r="X66" s="106">
        <f t="shared" si="128"/>
        <v>4.4617699999999996</v>
      </c>
      <c r="Y66" s="106">
        <f t="shared" si="128"/>
        <v>4.4617699999999996</v>
      </c>
      <c r="Z66" s="106">
        <f>Y66</f>
        <v>4.4617699999999996</v>
      </c>
      <c r="AA66" s="106">
        <f>Z66</f>
        <v>4.4617699999999996</v>
      </c>
      <c r="AB66" s="106">
        <f>AA66*(1+AN67)</f>
        <v>4.5510053999999993</v>
      </c>
      <c r="AC66" s="106">
        <f>AB66</f>
        <v>4.5510053999999993</v>
      </c>
      <c r="AD66" s="106">
        <f t="shared" ref="AD66:AN66" si="129">AC66</f>
        <v>4.5510053999999993</v>
      </c>
      <c r="AE66" s="106">
        <f t="shared" si="129"/>
        <v>4.5510053999999993</v>
      </c>
      <c r="AF66" s="106">
        <f t="shared" si="129"/>
        <v>4.5510053999999993</v>
      </c>
      <c r="AG66" s="106">
        <f t="shared" si="129"/>
        <v>4.5510053999999993</v>
      </c>
      <c r="AH66" s="106">
        <f t="shared" si="129"/>
        <v>4.5510053999999993</v>
      </c>
      <c r="AI66" s="106">
        <f t="shared" si="129"/>
        <v>4.5510053999999993</v>
      </c>
      <c r="AJ66" s="106">
        <f t="shared" si="129"/>
        <v>4.5510053999999993</v>
      </c>
      <c r="AK66" s="106">
        <f t="shared" si="129"/>
        <v>4.5510053999999993</v>
      </c>
      <c r="AL66" s="106">
        <f t="shared" si="129"/>
        <v>4.5510053999999993</v>
      </c>
      <c r="AM66" s="106">
        <f t="shared" si="129"/>
        <v>4.5510053999999993</v>
      </c>
      <c r="AN66" s="106">
        <f t="shared" si="129"/>
        <v>4.5510053999999993</v>
      </c>
      <c r="AO66" s="106">
        <f>AN66*(1+BA67)</f>
        <v>4.6420255079999997</v>
      </c>
      <c r="AP66" s="106">
        <f>AO66</f>
        <v>4.6420255079999997</v>
      </c>
      <c r="AQ66" s="106">
        <f t="shared" ref="AQ66:BA66" si="130">AP66</f>
        <v>4.6420255079999997</v>
      </c>
      <c r="AR66" s="106">
        <f t="shared" si="130"/>
        <v>4.6420255079999997</v>
      </c>
      <c r="AS66" s="106">
        <f t="shared" si="130"/>
        <v>4.6420255079999997</v>
      </c>
      <c r="AT66" s="106">
        <f t="shared" si="130"/>
        <v>4.6420255079999997</v>
      </c>
      <c r="AU66" s="106">
        <f t="shared" si="130"/>
        <v>4.6420255079999997</v>
      </c>
      <c r="AV66" s="106">
        <f t="shared" si="130"/>
        <v>4.6420255079999997</v>
      </c>
      <c r="AW66" s="106">
        <f t="shared" si="130"/>
        <v>4.6420255079999997</v>
      </c>
      <c r="AX66" s="106">
        <f t="shared" si="130"/>
        <v>4.6420255079999997</v>
      </c>
      <c r="AY66" s="106">
        <f t="shared" si="130"/>
        <v>4.6420255079999997</v>
      </c>
      <c r="AZ66" s="106">
        <f t="shared" si="130"/>
        <v>4.6420255079999997</v>
      </c>
      <c r="BA66" s="106">
        <f t="shared" si="130"/>
        <v>4.6420255079999997</v>
      </c>
      <c r="BB66" s="106">
        <f>BA66*(1+BN67)</f>
        <v>4.73486601816</v>
      </c>
      <c r="BC66" s="106">
        <f>BB66</f>
        <v>4.73486601816</v>
      </c>
      <c r="BD66" s="106">
        <f t="shared" ref="BD66:BN66" si="131">BC66</f>
        <v>4.73486601816</v>
      </c>
      <c r="BE66" s="106">
        <f t="shared" si="131"/>
        <v>4.73486601816</v>
      </c>
      <c r="BF66" s="106">
        <f t="shared" si="131"/>
        <v>4.73486601816</v>
      </c>
      <c r="BG66" s="106">
        <f t="shared" si="131"/>
        <v>4.73486601816</v>
      </c>
      <c r="BH66" s="106">
        <f t="shared" si="131"/>
        <v>4.73486601816</v>
      </c>
      <c r="BI66" s="106">
        <f t="shared" si="131"/>
        <v>4.73486601816</v>
      </c>
      <c r="BJ66" s="106">
        <f t="shared" si="131"/>
        <v>4.73486601816</v>
      </c>
      <c r="BK66" s="106">
        <f t="shared" si="131"/>
        <v>4.73486601816</v>
      </c>
      <c r="BL66" s="106">
        <f t="shared" si="131"/>
        <v>4.73486601816</v>
      </c>
      <c r="BM66" s="106">
        <f t="shared" si="131"/>
        <v>4.73486601816</v>
      </c>
      <c r="BN66" s="106">
        <f t="shared" si="131"/>
        <v>4.73486601816</v>
      </c>
      <c r="BO66" s="107"/>
      <c r="BP66" s="107"/>
      <c r="BQ66" s="107"/>
      <c r="BR66" s="107"/>
      <c r="BS66" s="107"/>
      <c r="BT66" s="107"/>
      <c r="BU66" s="107"/>
      <c r="BV66" s="107"/>
    </row>
    <row r="67" spans="2:74" s="2" customFormat="1" x14ac:dyDescent="0.2">
      <c r="B67" s="2" t="s">
        <v>72</v>
      </c>
      <c r="C67" s="2" t="s">
        <v>13</v>
      </c>
      <c r="G67" s="104"/>
      <c r="H67" s="104"/>
      <c r="I67" s="104"/>
      <c r="J67" s="104"/>
      <c r="K67" s="104"/>
      <c r="L67" s="104"/>
      <c r="M67" s="104"/>
      <c r="N67" s="85">
        <f>Scenarios!N13</f>
        <v>3.2000000000000001E-2</v>
      </c>
      <c r="O67" s="85">
        <f>Scenarios!O13</f>
        <v>0</v>
      </c>
      <c r="P67" s="85">
        <f>Scenarios!P13</f>
        <v>0</v>
      </c>
      <c r="Q67" s="85">
        <f>Scenarios!Q13</f>
        <v>0</v>
      </c>
      <c r="R67" s="85">
        <f>Scenarios!R13</f>
        <v>0</v>
      </c>
      <c r="S67" s="85">
        <f>Scenarios!S13</f>
        <v>0</v>
      </c>
      <c r="T67" s="85">
        <f>Scenarios!T13</f>
        <v>0</v>
      </c>
      <c r="U67" s="85">
        <f>Scenarios!U13</f>
        <v>0</v>
      </c>
      <c r="V67" s="85">
        <f>Scenarios!V13</f>
        <v>0</v>
      </c>
      <c r="W67" s="85">
        <f>Scenarios!W13</f>
        <v>0</v>
      </c>
      <c r="X67" s="85">
        <f>Scenarios!X13</f>
        <v>0</v>
      </c>
      <c r="Y67" s="85">
        <f>Scenarios!Y13</f>
        <v>0</v>
      </c>
      <c r="Z67" s="85">
        <f>Scenarios!Z13</f>
        <v>0</v>
      </c>
      <c r="AA67" s="85">
        <f>Scenarios!AA13</f>
        <v>2.1000000000000001E-2</v>
      </c>
      <c r="AB67" s="85">
        <f>Scenarios!AB13</f>
        <v>0</v>
      </c>
      <c r="AC67" s="85">
        <f>Scenarios!AC13</f>
        <v>0</v>
      </c>
      <c r="AD67" s="85">
        <f>Scenarios!AD13</f>
        <v>0</v>
      </c>
      <c r="AE67" s="85">
        <f>Scenarios!AE13</f>
        <v>0</v>
      </c>
      <c r="AF67" s="85">
        <f>Scenarios!AF13</f>
        <v>0</v>
      </c>
      <c r="AG67" s="85">
        <f>Scenarios!AG13</f>
        <v>0</v>
      </c>
      <c r="AH67" s="85">
        <f>Scenarios!AH13</f>
        <v>0</v>
      </c>
      <c r="AI67" s="85">
        <f>Scenarios!AI13</f>
        <v>0</v>
      </c>
      <c r="AJ67" s="85">
        <f>Scenarios!AJ13</f>
        <v>0</v>
      </c>
      <c r="AK67" s="85">
        <f>Scenarios!AK13</f>
        <v>0</v>
      </c>
      <c r="AL67" s="85">
        <f>Scenarios!AL13</f>
        <v>0</v>
      </c>
      <c r="AM67" s="85">
        <f>Scenarios!AM13</f>
        <v>0</v>
      </c>
      <c r="AN67" s="85">
        <f>Scenarios!AN13</f>
        <v>0.02</v>
      </c>
      <c r="AO67" s="85">
        <f>Scenarios!AO13</f>
        <v>0</v>
      </c>
      <c r="AP67" s="85">
        <f>Scenarios!AP13</f>
        <v>0</v>
      </c>
      <c r="AQ67" s="85">
        <f>Scenarios!AQ13</f>
        <v>0</v>
      </c>
      <c r="AR67" s="85">
        <f>Scenarios!AR13</f>
        <v>0</v>
      </c>
      <c r="AS67" s="85">
        <f>Scenarios!AS13</f>
        <v>0</v>
      </c>
      <c r="AT67" s="85">
        <f>Scenarios!AT13</f>
        <v>0</v>
      </c>
      <c r="AU67" s="85">
        <f>Scenarios!AU13</f>
        <v>0</v>
      </c>
      <c r="AV67" s="85">
        <f>Scenarios!AV13</f>
        <v>0</v>
      </c>
      <c r="AW67" s="85">
        <f>Scenarios!AW13</f>
        <v>0</v>
      </c>
      <c r="AX67" s="85">
        <f>Scenarios!AX13</f>
        <v>0</v>
      </c>
      <c r="AY67" s="85">
        <f>Scenarios!AY13</f>
        <v>0</v>
      </c>
      <c r="AZ67" s="85">
        <f>Scenarios!AZ13</f>
        <v>0</v>
      </c>
      <c r="BA67" s="85">
        <f>Scenarios!BA13</f>
        <v>0.02</v>
      </c>
      <c r="BB67" s="85">
        <f>Scenarios!BB13</f>
        <v>0</v>
      </c>
      <c r="BC67" s="85">
        <f>Scenarios!BC13</f>
        <v>0</v>
      </c>
      <c r="BD67" s="85">
        <f>Scenarios!BD13</f>
        <v>0</v>
      </c>
      <c r="BE67" s="85">
        <f>Scenarios!BE13</f>
        <v>0</v>
      </c>
      <c r="BF67" s="85">
        <f>Scenarios!BF13</f>
        <v>0</v>
      </c>
      <c r="BG67" s="85">
        <f>Scenarios!BG13</f>
        <v>0</v>
      </c>
      <c r="BH67" s="85">
        <f>Scenarios!BH13</f>
        <v>0</v>
      </c>
      <c r="BI67" s="85">
        <f>Scenarios!BI13</f>
        <v>0</v>
      </c>
      <c r="BJ67" s="85">
        <f>Scenarios!BJ13</f>
        <v>0</v>
      </c>
      <c r="BK67" s="85">
        <f>Scenarios!BK13</f>
        <v>0</v>
      </c>
      <c r="BL67" s="85">
        <f>Scenarios!BL13</f>
        <v>0</v>
      </c>
      <c r="BM67" s="85">
        <f>Scenarios!BM13</f>
        <v>0</v>
      </c>
      <c r="BN67" s="85">
        <f>Scenarios!BN13</f>
        <v>0.02</v>
      </c>
    </row>
    <row r="68" spans="2:74" s="2" customFormat="1" x14ac:dyDescent="0.2">
      <c r="B68" s="2" t="s">
        <v>116</v>
      </c>
      <c r="C68" s="82" t="s">
        <v>104</v>
      </c>
      <c r="G68" s="108">
        <f>G18</f>
        <v>614</v>
      </c>
      <c r="H68" s="108">
        <f t="shared" ref="H68:BN71" si="132">H18</f>
        <v>614</v>
      </c>
      <c r="I68" s="108">
        <f t="shared" si="132"/>
        <v>614</v>
      </c>
      <c r="J68" s="108">
        <f t="shared" si="132"/>
        <v>614</v>
      </c>
      <c r="K68" s="108">
        <f t="shared" si="132"/>
        <v>941</v>
      </c>
      <c r="L68" s="108">
        <f t="shared" si="132"/>
        <v>1269</v>
      </c>
      <c r="M68" s="108">
        <f>M18</f>
        <v>1596</v>
      </c>
      <c r="N68" s="108">
        <f t="shared" si="132"/>
        <v>4420</v>
      </c>
      <c r="O68" s="108">
        <f t="shared" si="132"/>
        <v>1922</v>
      </c>
      <c r="P68" s="108">
        <f t="shared" si="132"/>
        <v>2250.0001151161018</v>
      </c>
      <c r="Q68" s="108">
        <f t="shared" si="132"/>
        <v>2250.0001151161018</v>
      </c>
      <c r="R68" s="108">
        <f t="shared" si="132"/>
        <v>2250.0001151161018</v>
      </c>
      <c r="S68" s="108">
        <f t="shared" si="132"/>
        <v>2250.0001151161018</v>
      </c>
      <c r="T68" s="108">
        <f t="shared" si="132"/>
        <v>2250.0001151161018</v>
      </c>
      <c r="U68" s="108">
        <f t="shared" si="132"/>
        <v>2250.0001151161018</v>
      </c>
      <c r="V68" s="108">
        <f t="shared" si="132"/>
        <v>2250.0001151161018</v>
      </c>
      <c r="W68" s="108">
        <f t="shared" si="132"/>
        <v>2250.0001151161018</v>
      </c>
      <c r="X68" s="108">
        <f t="shared" si="132"/>
        <v>2250.0001151161018</v>
      </c>
      <c r="Y68" s="108">
        <f t="shared" si="132"/>
        <v>2250.0001151161018</v>
      </c>
      <c r="Z68" s="108">
        <f t="shared" si="132"/>
        <v>2250.0001151161018</v>
      </c>
      <c r="AA68" s="108">
        <f t="shared" si="132"/>
        <v>26672.001266277115</v>
      </c>
      <c r="AB68" s="108">
        <f t="shared" si="132"/>
        <v>2250.0001151161018</v>
      </c>
      <c r="AC68" s="108">
        <f t="shared" si="132"/>
        <v>2250.0001151161018</v>
      </c>
      <c r="AD68" s="108">
        <f t="shared" si="132"/>
        <v>2368</v>
      </c>
      <c r="AE68" s="108">
        <f t="shared" si="132"/>
        <v>2486</v>
      </c>
      <c r="AF68" s="108">
        <f t="shared" si="132"/>
        <v>2605</v>
      </c>
      <c r="AG68" s="108">
        <f t="shared" si="132"/>
        <v>2723</v>
      </c>
      <c r="AH68" s="108">
        <f t="shared" si="132"/>
        <v>2841</v>
      </c>
      <c r="AI68" s="108">
        <f t="shared" si="132"/>
        <v>2960</v>
      </c>
      <c r="AJ68" s="108">
        <f t="shared" si="132"/>
        <v>3078</v>
      </c>
      <c r="AK68" s="108">
        <f t="shared" si="132"/>
        <v>3196</v>
      </c>
      <c r="AL68" s="108">
        <f t="shared" si="132"/>
        <v>3315</v>
      </c>
      <c r="AM68" s="108">
        <f t="shared" si="132"/>
        <v>3433</v>
      </c>
      <c r="AN68" s="108">
        <f t="shared" si="132"/>
        <v>33505.000230232203</v>
      </c>
      <c r="AO68" s="108">
        <f t="shared" si="132"/>
        <v>3552</v>
      </c>
      <c r="AP68" s="108">
        <f t="shared" si="132"/>
        <v>3670</v>
      </c>
      <c r="AQ68" s="108">
        <f t="shared" si="132"/>
        <v>3788</v>
      </c>
      <c r="AR68" s="108">
        <f t="shared" si="132"/>
        <v>3907</v>
      </c>
      <c r="AS68" s="108">
        <f t="shared" si="132"/>
        <v>4025</v>
      </c>
      <c r="AT68" s="108">
        <f t="shared" si="132"/>
        <v>4143</v>
      </c>
      <c r="AU68" s="108">
        <f t="shared" si="132"/>
        <v>4262</v>
      </c>
      <c r="AV68" s="108">
        <f t="shared" si="132"/>
        <v>4500.0001674415998</v>
      </c>
      <c r="AW68" s="108">
        <f t="shared" si="132"/>
        <v>4500.0001674415998</v>
      </c>
      <c r="AX68" s="108">
        <f t="shared" si="132"/>
        <v>4500.0001674415998</v>
      </c>
      <c r="AY68" s="108">
        <f t="shared" si="132"/>
        <v>4500.0001674415998</v>
      </c>
      <c r="AZ68" s="108">
        <f t="shared" si="132"/>
        <v>4500.0001674415998</v>
      </c>
      <c r="BA68" s="108">
        <f t="shared" si="132"/>
        <v>49847.00083720799</v>
      </c>
      <c r="BB68" s="108">
        <f t="shared" si="132"/>
        <v>4153.9167364339992</v>
      </c>
      <c r="BC68" s="108">
        <f t="shared" si="132"/>
        <v>4153.9167364339992</v>
      </c>
      <c r="BD68" s="108">
        <f t="shared" si="132"/>
        <v>4153.9167364339992</v>
      </c>
      <c r="BE68" s="108">
        <f t="shared" si="132"/>
        <v>4153.9167364339992</v>
      </c>
      <c r="BF68" s="108">
        <f t="shared" si="132"/>
        <v>4153.9167364339992</v>
      </c>
      <c r="BG68" s="108">
        <f t="shared" si="132"/>
        <v>4153.9167364339992</v>
      </c>
      <c r="BH68" s="108">
        <f t="shared" si="132"/>
        <v>4153.9167364339992</v>
      </c>
      <c r="BI68" s="108">
        <f t="shared" si="132"/>
        <v>4153.9167364339992</v>
      </c>
      <c r="BJ68" s="108">
        <f t="shared" si="132"/>
        <v>4153.9167364339992</v>
      </c>
      <c r="BK68" s="108">
        <f t="shared" si="132"/>
        <v>4153.9167364339992</v>
      </c>
      <c r="BL68" s="108">
        <f t="shared" si="132"/>
        <v>4153.9167364339992</v>
      </c>
      <c r="BM68" s="108">
        <f t="shared" si="132"/>
        <v>4153.9167364339992</v>
      </c>
      <c r="BN68" s="108">
        <f t="shared" si="132"/>
        <v>49847.00083720799</v>
      </c>
    </row>
    <row r="69" spans="2:74" s="2" customFormat="1" x14ac:dyDescent="0.2">
      <c r="B69" s="2" t="s">
        <v>117</v>
      </c>
      <c r="C69" s="82" t="s">
        <v>104</v>
      </c>
      <c r="G69" s="108">
        <f>G19</f>
        <v>818</v>
      </c>
      <c r="H69" s="108">
        <f t="shared" ref="H69:V69" si="133">H19</f>
        <v>818</v>
      </c>
      <c r="I69" s="108">
        <f t="shared" si="133"/>
        <v>818</v>
      </c>
      <c r="J69" s="108">
        <f t="shared" si="133"/>
        <v>818</v>
      </c>
      <c r="K69" s="108">
        <f t="shared" si="133"/>
        <v>1255</v>
      </c>
      <c r="L69" s="108">
        <f t="shared" si="133"/>
        <v>1691</v>
      </c>
      <c r="M69" s="108">
        <f t="shared" si="133"/>
        <v>2128</v>
      </c>
      <c r="N69" s="108">
        <f t="shared" si="133"/>
        <v>5892</v>
      </c>
      <c r="O69" s="108">
        <f t="shared" si="133"/>
        <v>2564</v>
      </c>
      <c r="P69" s="108">
        <f t="shared" si="133"/>
        <v>3000</v>
      </c>
      <c r="Q69" s="108">
        <f t="shared" si="133"/>
        <v>3000</v>
      </c>
      <c r="R69" s="108">
        <f t="shared" si="133"/>
        <v>3000</v>
      </c>
      <c r="S69" s="108">
        <f t="shared" si="133"/>
        <v>3000</v>
      </c>
      <c r="T69" s="108">
        <f t="shared" si="133"/>
        <v>3000</v>
      </c>
      <c r="U69" s="108">
        <f t="shared" si="133"/>
        <v>3000</v>
      </c>
      <c r="V69" s="108">
        <f t="shared" si="133"/>
        <v>3000</v>
      </c>
      <c r="W69" s="108">
        <f t="shared" si="132"/>
        <v>3000</v>
      </c>
      <c r="X69" s="108">
        <f t="shared" si="132"/>
        <v>3000</v>
      </c>
      <c r="Y69" s="108">
        <f t="shared" si="132"/>
        <v>3000</v>
      </c>
      <c r="Z69" s="108">
        <f t="shared" si="132"/>
        <v>3000</v>
      </c>
      <c r="AA69" s="108">
        <f t="shared" si="132"/>
        <v>35564</v>
      </c>
      <c r="AB69" s="108">
        <f t="shared" si="132"/>
        <v>3000</v>
      </c>
      <c r="AC69" s="108">
        <f t="shared" si="132"/>
        <v>3000</v>
      </c>
      <c r="AD69" s="108">
        <f t="shared" si="132"/>
        <v>3158</v>
      </c>
      <c r="AE69" s="108">
        <f t="shared" si="132"/>
        <v>3316</v>
      </c>
      <c r="AF69" s="108">
        <f t="shared" si="132"/>
        <v>3474</v>
      </c>
      <c r="AG69" s="108">
        <f t="shared" si="132"/>
        <v>3632</v>
      </c>
      <c r="AH69" s="108">
        <f t="shared" si="132"/>
        <v>3790</v>
      </c>
      <c r="AI69" s="108">
        <f t="shared" si="132"/>
        <v>3947</v>
      </c>
      <c r="AJ69" s="108">
        <f t="shared" si="132"/>
        <v>4105</v>
      </c>
      <c r="AK69" s="108">
        <f t="shared" si="132"/>
        <v>4263</v>
      </c>
      <c r="AL69" s="108">
        <f t="shared" si="132"/>
        <v>4420</v>
      </c>
      <c r="AM69" s="108">
        <f t="shared" si="132"/>
        <v>4578</v>
      </c>
      <c r="AN69" s="108">
        <f t="shared" si="132"/>
        <v>44683</v>
      </c>
      <c r="AO69" s="108">
        <f t="shared" si="132"/>
        <v>4736</v>
      </c>
      <c r="AP69" s="108">
        <f t="shared" si="132"/>
        <v>4894</v>
      </c>
      <c r="AQ69" s="108">
        <f t="shared" si="132"/>
        <v>5052</v>
      </c>
      <c r="AR69" s="108">
        <f t="shared" si="132"/>
        <v>5210</v>
      </c>
      <c r="AS69" s="108">
        <f t="shared" si="132"/>
        <v>5368</v>
      </c>
      <c r="AT69" s="108">
        <f t="shared" si="132"/>
        <v>5526</v>
      </c>
      <c r="AU69" s="108">
        <f t="shared" si="132"/>
        <v>5683</v>
      </c>
      <c r="AV69" s="108">
        <f t="shared" si="132"/>
        <v>5999.9999162792001</v>
      </c>
      <c r="AW69" s="108">
        <f t="shared" si="132"/>
        <v>5999.9999162792001</v>
      </c>
      <c r="AX69" s="108">
        <f t="shared" si="132"/>
        <v>5999.9999162792001</v>
      </c>
      <c r="AY69" s="108">
        <f t="shared" si="132"/>
        <v>5999.9999162792001</v>
      </c>
      <c r="AZ69" s="108">
        <f t="shared" si="132"/>
        <v>5999.9999162792001</v>
      </c>
      <c r="BA69" s="108">
        <f t="shared" si="132"/>
        <v>66468.999581395998</v>
      </c>
      <c r="BB69" s="108">
        <f t="shared" si="132"/>
        <v>5539.0832984496665</v>
      </c>
      <c r="BC69" s="108">
        <f t="shared" si="132"/>
        <v>5539.0832984496665</v>
      </c>
      <c r="BD69" s="108">
        <f t="shared" si="132"/>
        <v>5539.0832984496665</v>
      </c>
      <c r="BE69" s="108">
        <f t="shared" si="132"/>
        <v>5539.0832984496665</v>
      </c>
      <c r="BF69" s="108">
        <f t="shared" si="132"/>
        <v>5539.0832984496665</v>
      </c>
      <c r="BG69" s="108">
        <f t="shared" si="132"/>
        <v>5539.0832984496665</v>
      </c>
      <c r="BH69" s="108">
        <f t="shared" si="132"/>
        <v>5539.0832984496665</v>
      </c>
      <c r="BI69" s="108">
        <f t="shared" si="132"/>
        <v>5539.0832984496665</v>
      </c>
      <c r="BJ69" s="108">
        <f t="shared" si="132"/>
        <v>5539.0832984496665</v>
      </c>
      <c r="BK69" s="108">
        <f t="shared" si="132"/>
        <v>5539.0832984496665</v>
      </c>
      <c r="BL69" s="108">
        <f t="shared" si="132"/>
        <v>5539.0832984496665</v>
      </c>
      <c r="BM69" s="108">
        <f t="shared" si="132"/>
        <v>5539.0832984496665</v>
      </c>
      <c r="BN69" s="108">
        <f t="shared" si="132"/>
        <v>66468.999581395998</v>
      </c>
    </row>
    <row r="70" spans="2:74" s="2" customFormat="1" x14ac:dyDescent="0.2">
      <c r="B70" s="2" t="s">
        <v>118</v>
      </c>
      <c r="C70" s="82" t="s">
        <v>104</v>
      </c>
      <c r="G70" s="108">
        <f>G20</f>
        <v>409</v>
      </c>
      <c r="H70" s="108">
        <f t="shared" si="132"/>
        <v>409</v>
      </c>
      <c r="I70" s="108">
        <f t="shared" si="132"/>
        <v>409</v>
      </c>
      <c r="J70" s="108">
        <f t="shared" si="132"/>
        <v>409</v>
      </c>
      <c r="K70" s="108">
        <f t="shared" si="132"/>
        <v>627</v>
      </c>
      <c r="L70" s="108">
        <f t="shared" si="132"/>
        <v>845</v>
      </c>
      <c r="M70" s="108">
        <f t="shared" si="132"/>
        <v>1063</v>
      </c>
      <c r="N70" s="108">
        <f t="shared" si="132"/>
        <v>2944</v>
      </c>
      <c r="O70" s="108">
        <f t="shared" si="132"/>
        <v>1282</v>
      </c>
      <c r="P70" s="108">
        <f t="shared" si="132"/>
        <v>1500</v>
      </c>
      <c r="Q70" s="108">
        <f t="shared" si="132"/>
        <v>1500</v>
      </c>
      <c r="R70" s="108">
        <f t="shared" si="132"/>
        <v>1500</v>
      </c>
      <c r="S70" s="108">
        <f t="shared" si="132"/>
        <v>1500</v>
      </c>
      <c r="T70" s="108">
        <f t="shared" si="132"/>
        <v>1500</v>
      </c>
      <c r="U70" s="108">
        <f t="shared" si="132"/>
        <v>1500</v>
      </c>
      <c r="V70" s="108">
        <f t="shared" si="132"/>
        <v>1500</v>
      </c>
      <c r="W70" s="108">
        <f t="shared" si="132"/>
        <v>1500</v>
      </c>
      <c r="X70" s="108">
        <f t="shared" si="132"/>
        <v>1500</v>
      </c>
      <c r="Y70" s="108">
        <f t="shared" si="132"/>
        <v>1500</v>
      </c>
      <c r="Z70" s="108">
        <f t="shared" si="132"/>
        <v>1500</v>
      </c>
      <c r="AA70" s="108">
        <f t="shared" si="132"/>
        <v>17782</v>
      </c>
      <c r="AB70" s="108">
        <f t="shared" si="132"/>
        <v>1500</v>
      </c>
      <c r="AC70" s="108">
        <f t="shared" si="132"/>
        <v>1500</v>
      </c>
      <c r="AD70" s="108">
        <f t="shared" si="132"/>
        <v>1579</v>
      </c>
      <c r="AE70" s="108">
        <f t="shared" si="132"/>
        <v>1658</v>
      </c>
      <c r="AF70" s="108">
        <f t="shared" si="132"/>
        <v>1737</v>
      </c>
      <c r="AG70" s="108">
        <f t="shared" si="132"/>
        <v>1816</v>
      </c>
      <c r="AH70" s="108">
        <f t="shared" si="132"/>
        <v>1895</v>
      </c>
      <c r="AI70" s="108">
        <f t="shared" si="132"/>
        <v>1974</v>
      </c>
      <c r="AJ70" s="108">
        <f t="shared" si="132"/>
        <v>2053</v>
      </c>
      <c r="AK70" s="108">
        <f t="shared" si="132"/>
        <v>2132</v>
      </c>
      <c r="AL70" s="108">
        <f t="shared" si="132"/>
        <v>2210</v>
      </c>
      <c r="AM70" s="108">
        <f t="shared" si="132"/>
        <v>2289</v>
      </c>
      <c r="AN70" s="108">
        <f t="shared" si="132"/>
        <v>22343</v>
      </c>
      <c r="AO70" s="108">
        <f t="shared" si="132"/>
        <v>2368</v>
      </c>
      <c r="AP70" s="108">
        <f t="shared" si="132"/>
        <v>2447</v>
      </c>
      <c r="AQ70" s="108">
        <f t="shared" si="132"/>
        <v>2526</v>
      </c>
      <c r="AR70" s="108">
        <f t="shared" si="132"/>
        <v>2604</v>
      </c>
      <c r="AS70" s="108">
        <f t="shared" si="132"/>
        <v>2683</v>
      </c>
      <c r="AT70" s="108">
        <f t="shared" si="132"/>
        <v>2762</v>
      </c>
      <c r="AU70" s="108">
        <f t="shared" si="132"/>
        <v>2841</v>
      </c>
      <c r="AV70" s="108">
        <f t="shared" si="132"/>
        <v>2999.9999581396</v>
      </c>
      <c r="AW70" s="108">
        <f t="shared" si="132"/>
        <v>2999.9999581396</v>
      </c>
      <c r="AX70" s="108">
        <f t="shared" si="132"/>
        <v>2999.9999581396</v>
      </c>
      <c r="AY70" s="108">
        <f t="shared" si="132"/>
        <v>2999.9999581396</v>
      </c>
      <c r="AZ70" s="108">
        <f t="shared" si="132"/>
        <v>2999.9999581396</v>
      </c>
      <c r="BA70" s="108">
        <f t="shared" si="132"/>
        <v>33230.999790697999</v>
      </c>
      <c r="BB70" s="108">
        <f t="shared" si="132"/>
        <v>2769.2499825581667</v>
      </c>
      <c r="BC70" s="108">
        <f t="shared" si="132"/>
        <v>2769.2499825581667</v>
      </c>
      <c r="BD70" s="108">
        <f t="shared" si="132"/>
        <v>2769.2499825581667</v>
      </c>
      <c r="BE70" s="108">
        <f t="shared" si="132"/>
        <v>2769.2499825581667</v>
      </c>
      <c r="BF70" s="108">
        <f t="shared" si="132"/>
        <v>2769.2499825581667</v>
      </c>
      <c r="BG70" s="108">
        <f t="shared" si="132"/>
        <v>2769.2499825581667</v>
      </c>
      <c r="BH70" s="108">
        <f t="shared" si="132"/>
        <v>2769.2499825581667</v>
      </c>
      <c r="BI70" s="108">
        <f t="shared" si="132"/>
        <v>2769.2499825581667</v>
      </c>
      <c r="BJ70" s="108">
        <f t="shared" si="132"/>
        <v>2769.2499825581667</v>
      </c>
      <c r="BK70" s="108">
        <f t="shared" si="132"/>
        <v>2769.2499825581667</v>
      </c>
      <c r="BL70" s="108">
        <f t="shared" si="132"/>
        <v>2769.2499825581667</v>
      </c>
      <c r="BM70" s="108">
        <f t="shared" si="132"/>
        <v>2769.2499825581667</v>
      </c>
      <c r="BN70" s="108">
        <f t="shared" si="132"/>
        <v>33230.999790697999</v>
      </c>
    </row>
    <row r="71" spans="2:74" s="2" customFormat="1" x14ac:dyDescent="0.2">
      <c r="B71" s="2" t="s">
        <v>119</v>
      </c>
      <c r="C71" s="82" t="s">
        <v>104</v>
      </c>
      <c r="G71" s="108">
        <f>G21</f>
        <v>409</v>
      </c>
      <c r="H71" s="108">
        <f t="shared" si="132"/>
        <v>409</v>
      </c>
      <c r="I71" s="108">
        <f t="shared" si="132"/>
        <v>409</v>
      </c>
      <c r="J71" s="108">
        <f t="shared" si="132"/>
        <v>409</v>
      </c>
      <c r="K71" s="108">
        <f t="shared" si="132"/>
        <v>627</v>
      </c>
      <c r="L71" s="108">
        <f t="shared" si="132"/>
        <v>845</v>
      </c>
      <c r="M71" s="108">
        <f t="shared" si="132"/>
        <v>1063</v>
      </c>
      <c r="N71" s="108">
        <f t="shared" si="132"/>
        <v>2944</v>
      </c>
      <c r="O71" s="108">
        <f t="shared" si="132"/>
        <v>1282</v>
      </c>
      <c r="P71" s="108">
        <f t="shared" si="132"/>
        <v>1500</v>
      </c>
      <c r="Q71" s="108">
        <f t="shared" si="132"/>
        <v>1500</v>
      </c>
      <c r="R71" s="108">
        <f t="shared" si="132"/>
        <v>1500</v>
      </c>
      <c r="S71" s="108">
        <f t="shared" si="132"/>
        <v>1500</v>
      </c>
      <c r="T71" s="108">
        <f t="shared" si="132"/>
        <v>1500</v>
      </c>
      <c r="U71" s="108">
        <f t="shared" si="132"/>
        <v>1500</v>
      </c>
      <c r="V71" s="108">
        <f t="shared" si="132"/>
        <v>1500</v>
      </c>
      <c r="W71" s="108">
        <f t="shared" si="132"/>
        <v>1500</v>
      </c>
      <c r="X71" s="108">
        <f t="shared" si="132"/>
        <v>1500</v>
      </c>
      <c r="Y71" s="108">
        <f t="shared" si="132"/>
        <v>1500</v>
      </c>
      <c r="Z71" s="108">
        <f t="shared" si="132"/>
        <v>1500</v>
      </c>
      <c r="AA71" s="108">
        <f t="shared" si="132"/>
        <v>17782</v>
      </c>
      <c r="AB71" s="108">
        <f t="shared" si="132"/>
        <v>1500</v>
      </c>
      <c r="AC71" s="108">
        <f t="shared" si="132"/>
        <v>1500</v>
      </c>
      <c r="AD71" s="108">
        <f t="shared" si="132"/>
        <v>1579</v>
      </c>
      <c r="AE71" s="108">
        <f t="shared" si="132"/>
        <v>1658</v>
      </c>
      <c r="AF71" s="108">
        <f t="shared" si="132"/>
        <v>1736</v>
      </c>
      <c r="AG71" s="108">
        <f t="shared" si="132"/>
        <v>1815</v>
      </c>
      <c r="AH71" s="108">
        <f t="shared" si="132"/>
        <v>1894</v>
      </c>
      <c r="AI71" s="108">
        <f t="shared" si="132"/>
        <v>1973</v>
      </c>
      <c r="AJ71" s="108">
        <f t="shared" si="132"/>
        <v>2052</v>
      </c>
      <c r="AK71" s="108">
        <f t="shared" si="132"/>
        <v>2131</v>
      </c>
      <c r="AL71" s="108">
        <f t="shared" si="132"/>
        <v>2211</v>
      </c>
      <c r="AM71" s="108">
        <f t="shared" si="132"/>
        <v>2290</v>
      </c>
      <c r="AN71" s="108">
        <f t="shared" si="132"/>
        <v>22339</v>
      </c>
      <c r="AO71" s="108">
        <f t="shared" si="132"/>
        <v>2368</v>
      </c>
      <c r="AP71" s="108">
        <f t="shared" si="132"/>
        <v>2447</v>
      </c>
      <c r="AQ71" s="108">
        <f t="shared" si="132"/>
        <v>2526</v>
      </c>
      <c r="AR71" s="108">
        <f t="shared" si="132"/>
        <v>2605</v>
      </c>
      <c r="AS71" s="108">
        <f t="shared" si="132"/>
        <v>2684</v>
      </c>
      <c r="AT71" s="108">
        <f t="shared" si="132"/>
        <v>2763</v>
      </c>
      <c r="AU71" s="108">
        <f t="shared" si="132"/>
        <v>2842</v>
      </c>
      <c r="AV71" s="108">
        <f t="shared" si="132"/>
        <v>2999.9999581396</v>
      </c>
      <c r="AW71" s="108">
        <f t="shared" si="132"/>
        <v>2999.9999581396</v>
      </c>
      <c r="AX71" s="108">
        <f t="shared" si="132"/>
        <v>2999.9999581396</v>
      </c>
      <c r="AY71" s="108">
        <f t="shared" si="132"/>
        <v>2999.9999581396</v>
      </c>
      <c r="AZ71" s="108">
        <f t="shared" si="132"/>
        <v>2999.9999581396</v>
      </c>
      <c r="BA71" s="108">
        <f t="shared" si="132"/>
        <v>33234.999790697999</v>
      </c>
      <c r="BB71" s="108">
        <f t="shared" si="132"/>
        <v>2769.5833158914998</v>
      </c>
      <c r="BC71" s="108">
        <f t="shared" si="132"/>
        <v>2769.5833158914998</v>
      </c>
      <c r="BD71" s="108">
        <f t="shared" si="132"/>
        <v>2769.5833158914998</v>
      </c>
      <c r="BE71" s="108">
        <f t="shared" si="132"/>
        <v>2769.5833158914998</v>
      </c>
      <c r="BF71" s="108">
        <f t="shared" si="132"/>
        <v>2769.5833158914998</v>
      </c>
      <c r="BG71" s="108">
        <f t="shared" si="132"/>
        <v>2769.5833158914998</v>
      </c>
      <c r="BH71" s="108">
        <f t="shared" si="132"/>
        <v>2769.5833158914998</v>
      </c>
      <c r="BI71" s="108">
        <f t="shared" si="132"/>
        <v>2769.5833158914998</v>
      </c>
      <c r="BJ71" s="108">
        <f t="shared" si="132"/>
        <v>2769.5833158914998</v>
      </c>
      <c r="BK71" s="108">
        <f t="shared" si="132"/>
        <v>2769.5833158914998</v>
      </c>
      <c r="BL71" s="108">
        <f t="shared" si="132"/>
        <v>2769.5833158914998</v>
      </c>
      <c r="BM71" s="108">
        <f t="shared" si="132"/>
        <v>2769.5833158914998</v>
      </c>
      <c r="BN71" s="108">
        <f t="shared" si="132"/>
        <v>33234.999790697999</v>
      </c>
    </row>
    <row r="73" spans="2:74" ht="19" x14ac:dyDescent="0.25">
      <c r="B73" s="52" t="s">
        <v>101</v>
      </c>
    </row>
    <row r="74" spans="2:74" x14ac:dyDescent="0.2">
      <c r="B74" s="6" t="s">
        <v>21</v>
      </c>
    </row>
    <row r="75" spans="2:74" x14ac:dyDescent="0.2">
      <c r="B75" t="s">
        <v>21</v>
      </c>
      <c r="C75" t="s">
        <v>22</v>
      </c>
      <c r="G75" s="23">
        <v>100</v>
      </c>
      <c r="H75" s="23">
        <v>100</v>
      </c>
      <c r="I75" s="23">
        <v>100</v>
      </c>
      <c r="J75" s="23">
        <v>100</v>
      </c>
      <c r="K75" s="23">
        <v>100</v>
      </c>
      <c r="L75" s="23">
        <v>100</v>
      </c>
      <c r="M75" s="23">
        <v>100</v>
      </c>
      <c r="N75" s="23">
        <v>100</v>
      </c>
      <c r="O75">
        <f>N75</f>
        <v>100</v>
      </c>
      <c r="P75">
        <f>O75</f>
        <v>100</v>
      </c>
      <c r="Q75">
        <f>N75*(1+AA77)</f>
        <v>102.1</v>
      </c>
      <c r="R75">
        <f t="shared" ref="R75:Z75" si="134">Q75</f>
        <v>102.1</v>
      </c>
      <c r="S75">
        <f t="shared" si="134"/>
        <v>102.1</v>
      </c>
      <c r="T75">
        <f t="shared" si="134"/>
        <v>102.1</v>
      </c>
      <c r="U75">
        <f t="shared" si="134"/>
        <v>102.1</v>
      </c>
      <c r="V75">
        <f t="shared" si="134"/>
        <v>102.1</v>
      </c>
      <c r="W75">
        <f t="shared" si="134"/>
        <v>102.1</v>
      </c>
      <c r="X75">
        <f t="shared" si="134"/>
        <v>102.1</v>
      </c>
      <c r="Y75">
        <f t="shared" si="134"/>
        <v>102.1</v>
      </c>
      <c r="Z75">
        <f t="shared" si="134"/>
        <v>102.1</v>
      </c>
      <c r="AA75">
        <f>N75*(1+AA77)</f>
        <v>102.1</v>
      </c>
      <c r="AB75" s="40">
        <f>AN75</f>
        <v>104.142</v>
      </c>
      <c r="AC75" s="40">
        <f>AB75</f>
        <v>104.142</v>
      </c>
      <c r="AD75" s="40">
        <f t="shared" ref="AD75:AM75" si="135">AC75</f>
        <v>104.142</v>
      </c>
      <c r="AE75" s="40">
        <f t="shared" si="135"/>
        <v>104.142</v>
      </c>
      <c r="AF75" s="40">
        <f t="shared" si="135"/>
        <v>104.142</v>
      </c>
      <c r="AG75" s="40">
        <f t="shared" si="135"/>
        <v>104.142</v>
      </c>
      <c r="AH75" s="40">
        <f t="shared" si="135"/>
        <v>104.142</v>
      </c>
      <c r="AI75" s="40">
        <f t="shared" si="135"/>
        <v>104.142</v>
      </c>
      <c r="AJ75" s="40">
        <f t="shared" si="135"/>
        <v>104.142</v>
      </c>
      <c r="AK75" s="40">
        <f t="shared" si="135"/>
        <v>104.142</v>
      </c>
      <c r="AL75" s="40">
        <f t="shared" si="135"/>
        <v>104.142</v>
      </c>
      <c r="AM75" s="40">
        <f t="shared" si="135"/>
        <v>104.142</v>
      </c>
      <c r="AN75" s="40">
        <f>AA75*(1+AN77)</f>
        <v>104.142</v>
      </c>
      <c r="AO75" s="40">
        <f t="shared" ref="AO75:AY75" si="136">AP75</f>
        <v>106.22484</v>
      </c>
      <c r="AP75" s="40">
        <f t="shared" si="136"/>
        <v>106.22484</v>
      </c>
      <c r="AQ75" s="40">
        <f t="shared" si="136"/>
        <v>106.22484</v>
      </c>
      <c r="AR75" s="40">
        <f t="shared" si="136"/>
        <v>106.22484</v>
      </c>
      <c r="AS75" s="40">
        <f t="shared" si="136"/>
        <v>106.22484</v>
      </c>
      <c r="AT75" s="40">
        <f t="shared" si="136"/>
        <v>106.22484</v>
      </c>
      <c r="AU75" s="40">
        <f t="shared" si="136"/>
        <v>106.22484</v>
      </c>
      <c r="AV75" s="40">
        <f t="shared" si="136"/>
        <v>106.22484</v>
      </c>
      <c r="AW75" s="40">
        <f t="shared" si="136"/>
        <v>106.22484</v>
      </c>
      <c r="AX75" s="40">
        <f t="shared" si="136"/>
        <v>106.22484</v>
      </c>
      <c r="AY75" s="40">
        <f t="shared" si="136"/>
        <v>106.22484</v>
      </c>
      <c r="AZ75" s="40">
        <f>BA75</f>
        <v>106.22484</v>
      </c>
      <c r="BA75" s="40">
        <f>AN75*(1+BA77)</f>
        <v>106.22484</v>
      </c>
      <c r="BB75" s="40">
        <f t="shared" ref="BB75:BL75" si="137">BC75</f>
        <v>108.3493368</v>
      </c>
      <c r="BC75" s="40">
        <f t="shared" si="137"/>
        <v>108.3493368</v>
      </c>
      <c r="BD75" s="40">
        <f t="shared" si="137"/>
        <v>108.3493368</v>
      </c>
      <c r="BE75" s="40">
        <f t="shared" si="137"/>
        <v>108.3493368</v>
      </c>
      <c r="BF75" s="40">
        <f t="shared" si="137"/>
        <v>108.3493368</v>
      </c>
      <c r="BG75" s="40">
        <f t="shared" si="137"/>
        <v>108.3493368</v>
      </c>
      <c r="BH75" s="40">
        <f t="shared" si="137"/>
        <v>108.3493368</v>
      </c>
      <c r="BI75" s="40">
        <f t="shared" si="137"/>
        <v>108.3493368</v>
      </c>
      <c r="BJ75" s="40">
        <f t="shared" si="137"/>
        <v>108.3493368</v>
      </c>
      <c r="BK75" s="40">
        <f t="shared" si="137"/>
        <v>108.3493368</v>
      </c>
      <c r="BL75" s="40">
        <f t="shared" si="137"/>
        <v>108.3493368</v>
      </c>
      <c r="BM75" s="40">
        <f>BN75</f>
        <v>108.3493368</v>
      </c>
      <c r="BN75" s="40">
        <f>BA75*(1+BN77)</f>
        <v>108.3493368</v>
      </c>
    </row>
    <row r="76" spans="2:74" x14ac:dyDescent="0.2">
      <c r="B76" t="s">
        <v>21</v>
      </c>
      <c r="C76" t="s">
        <v>10</v>
      </c>
      <c r="G76" s="50">
        <f>((G75/G78)/G79)</f>
        <v>5.128205128205128E-2</v>
      </c>
      <c r="H76" s="50">
        <f t="shared" ref="H76:L76" si="138">((H75/H78)/H79)</f>
        <v>5.128205128205128E-2</v>
      </c>
      <c r="I76" s="50">
        <f t="shared" si="138"/>
        <v>5.128205128205128E-2</v>
      </c>
      <c r="J76" s="318">
        <f t="shared" si="138"/>
        <v>5.128205128205128E-2</v>
      </c>
      <c r="K76" s="50">
        <f t="shared" si="138"/>
        <v>5.128205128205128E-2</v>
      </c>
      <c r="L76" s="50">
        <f t="shared" si="138"/>
        <v>5.128205128205128E-2</v>
      </c>
      <c r="M76" s="50">
        <f>((M75/M78)/M79)</f>
        <v>5.128205128205128E-2</v>
      </c>
      <c r="N76" s="50">
        <f>((N75/N78)/N79)</f>
        <v>5.128205128205128E-2</v>
      </c>
      <c r="O76" s="50">
        <f>((O75/O78)/O79)</f>
        <v>5.128205128205128E-2</v>
      </c>
      <c r="P76" s="50">
        <f t="shared" ref="P76:BN76" si="139">((P75/P78)/P79)</f>
        <v>5.128205128205128E-2</v>
      </c>
      <c r="Q76" s="50">
        <f t="shared" si="139"/>
        <v>5.235897435897436E-2</v>
      </c>
      <c r="R76" s="50">
        <f t="shared" si="139"/>
        <v>5.235897435897436E-2</v>
      </c>
      <c r="S76" s="50">
        <f t="shared" si="139"/>
        <v>5.235897435897436E-2</v>
      </c>
      <c r="T76" s="50">
        <f t="shared" si="139"/>
        <v>5.235897435897436E-2</v>
      </c>
      <c r="U76" s="50">
        <f t="shared" si="139"/>
        <v>5.235897435897436E-2</v>
      </c>
      <c r="V76" s="50">
        <f t="shared" si="139"/>
        <v>5.235897435897436E-2</v>
      </c>
      <c r="W76" s="50">
        <f t="shared" si="139"/>
        <v>5.235897435897436E-2</v>
      </c>
      <c r="X76" s="50">
        <f t="shared" si="139"/>
        <v>5.235897435897436E-2</v>
      </c>
      <c r="Y76" s="50">
        <f t="shared" si="139"/>
        <v>5.235897435897436E-2</v>
      </c>
      <c r="Z76" s="50">
        <f t="shared" si="139"/>
        <v>5.235897435897436E-2</v>
      </c>
      <c r="AA76" s="50">
        <f t="shared" si="139"/>
        <v>5.235897435897436E-2</v>
      </c>
      <c r="AB76" s="50">
        <f t="shared" si="139"/>
        <v>5.3406153846153839E-2</v>
      </c>
      <c r="AC76" s="50">
        <f t="shared" si="139"/>
        <v>5.3406153846153839E-2</v>
      </c>
      <c r="AD76" s="50">
        <f t="shared" si="139"/>
        <v>5.3406153846153839E-2</v>
      </c>
      <c r="AE76" s="50">
        <f t="shared" si="139"/>
        <v>5.3406153846153839E-2</v>
      </c>
      <c r="AF76" s="50">
        <f t="shared" si="139"/>
        <v>5.3406153846153839E-2</v>
      </c>
      <c r="AG76" s="50">
        <f t="shared" si="139"/>
        <v>5.3406153846153839E-2</v>
      </c>
      <c r="AH76" s="50">
        <f t="shared" si="139"/>
        <v>5.3406153846153839E-2</v>
      </c>
      <c r="AI76" s="50">
        <f t="shared" si="139"/>
        <v>5.3406153846153839E-2</v>
      </c>
      <c r="AJ76" s="50">
        <f t="shared" si="139"/>
        <v>5.3406153846153839E-2</v>
      </c>
      <c r="AK76" s="50">
        <f t="shared" si="139"/>
        <v>5.3406153846153839E-2</v>
      </c>
      <c r="AL76" s="50">
        <f t="shared" si="139"/>
        <v>5.3406153846153839E-2</v>
      </c>
      <c r="AM76" s="50">
        <f t="shared" si="139"/>
        <v>5.3406153846153839E-2</v>
      </c>
      <c r="AN76" s="50">
        <f t="shared" si="139"/>
        <v>5.3406153846153839E-2</v>
      </c>
      <c r="AO76" s="50">
        <f t="shared" si="139"/>
        <v>5.4474276923076929E-2</v>
      </c>
      <c r="AP76" s="50">
        <f t="shared" si="139"/>
        <v>5.4474276923076929E-2</v>
      </c>
      <c r="AQ76" s="50">
        <f t="shared" si="139"/>
        <v>5.4474276923076929E-2</v>
      </c>
      <c r="AR76" s="50">
        <f t="shared" si="139"/>
        <v>5.4474276923076929E-2</v>
      </c>
      <c r="AS76" s="50">
        <f t="shared" si="139"/>
        <v>5.4474276923076929E-2</v>
      </c>
      <c r="AT76" s="50">
        <f t="shared" si="139"/>
        <v>5.4474276923076929E-2</v>
      </c>
      <c r="AU76" s="50">
        <f t="shared" si="139"/>
        <v>5.4474276923076929E-2</v>
      </c>
      <c r="AV76" s="50">
        <f t="shared" si="139"/>
        <v>5.4474276923076929E-2</v>
      </c>
      <c r="AW76" s="50">
        <f t="shared" si="139"/>
        <v>5.4474276923076929E-2</v>
      </c>
      <c r="AX76" s="50">
        <f t="shared" si="139"/>
        <v>5.4474276923076929E-2</v>
      </c>
      <c r="AY76" s="50">
        <f t="shared" si="139"/>
        <v>5.4474276923076929E-2</v>
      </c>
      <c r="AZ76" s="50">
        <f t="shared" si="139"/>
        <v>5.4474276923076929E-2</v>
      </c>
      <c r="BA76" s="50">
        <f t="shared" si="139"/>
        <v>5.4474276923076929E-2</v>
      </c>
      <c r="BB76" s="50">
        <f t="shared" si="139"/>
        <v>5.5563762461538463E-2</v>
      </c>
      <c r="BC76" s="50">
        <f t="shared" si="139"/>
        <v>5.5563762461538463E-2</v>
      </c>
      <c r="BD76" s="50">
        <f t="shared" si="139"/>
        <v>5.5563762461538463E-2</v>
      </c>
      <c r="BE76" s="50">
        <f t="shared" si="139"/>
        <v>5.5563762461538463E-2</v>
      </c>
      <c r="BF76" s="50">
        <f t="shared" si="139"/>
        <v>5.5563762461538463E-2</v>
      </c>
      <c r="BG76" s="50">
        <f t="shared" si="139"/>
        <v>5.5563762461538463E-2</v>
      </c>
      <c r="BH76" s="50">
        <f t="shared" si="139"/>
        <v>5.5563762461538463E-2</v>
      </c>
      <c r="BI76" s="50">
        <f t="shared" si="139"/>
        <v>5.5563762461538463E-2</v>
      </c>
      <c r="BJ76" s="50">
        <f t="shared" si="139"/>
        <v>5.5563762461538463E-2</v>
      </c>
      <c r="BK76" s="50">
        <f t="shared" si="139"/>
        <v>5.5563762461538463E-2</v>
      </c>
      <c r="BL76" s="50">
        <f t="shared" si="139"/>
        <v>5.5563762461538463E-2</v>
      </c>
      <c r="BM76" s="50">
        <f t="shared" si="139"/>
        <v>5.5563762461538463E-2</v>
      </c>
      <c r="BN76" s="50">
        <f t="shared" si="139"/>
        <v>5.5563762461538463E-2</v>
      </c>
    </row>
    <row r="77" spans="2:74" x14ac:dyDescent="0.2">
      <c r="B77" t="s">
        <v>19</v>
      </c>
      <c r="C77" t="s">
        <v>13</v>
      </c>
      <c r="N77" s="38">
        <f>Scenarios!N13</f>
        <v>3.2000000000000001E-2</v>
      </c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>
        <f>Scenarios!AA13</f>
        <v>2.1000000000000001E-2</v>
      </c>
      <c r="AB77" s="38">
        <f>Scenarios!AB13</f>
        <v>0</v>
      </c>
      <c r="AC77" s="38">
        <f>Scenarios!AC13</f>
        <v>0</v>
      </c>
      <c r="AD77" s="38">
        <f>Scenarios!AD13</f>
        <v>0</v>
      </c>
      <c r="AE77" s="38">
        <f>Scenarios!AE13</f>
        <v>0</v>
      </c>
      <c r="AF77" s="38">
        <f>Scenarios!AF13</f>
        <v>0</v>
      </c>
      <c r="AG77" s="38">
        <f>Scenarios!AG13</f>
        <v>0</v>
      </c>
      <c r="AH77" s="38">
        <f>Scenarios!AH13</f>
        <v>0</v>
      </c>
      <c r="AI77" s="38">
        <f>Scenarios!AI13</f>
        <v>0</v>
      </c>
      <c r="AJ77" s="38">
        <f>Scenarios!AJ13</f>
        <v>0</v>
      </c>
      <c r="AK77" s="38">
        <f>Scenarios!AK13</f>
        <v>0</v>
      </c>
      <c r="AL77" s="38">
        <f>Scenarios!AL13</f>
        <v>0</v>
      </c>
      <c r="AM77" s="38">
        <f>Scenarios!AM13</f>
        <v>0</v>
      </c>
      <c r="AN77" s="38">
        <f>Scenarios!AN13</f>
        <v>0.02</v>
      </c>
      <c r="AO77" s="38">
        <f>Scenarios!AO13</f>
        <v>0</v>
      </c>
      <c r="AP77" s="38">
        <f>Scenarios!AP13</f>
        <v>0</v>
      </c>
      <c r="AQ77" s="38">
        <f>Scenarios!AQ13</f>
        <v>0</v>
      </c>
      <c r="AR77" s="38">
        <f>Scenarios!AR13</f>
        <v>0</v>
      </c>
      <c r="AS77" s="38">
        <f>Scenarios!AS13</f>
        <v>0</v>
      </c>
      <c r="AT77" s="38">
        <f>Scenarios!AT13</f>
        <v>0</v>
      </c>
      <c r="AU77" s="38">
        <f>Scenarios!AU13</f>
        <v>0</v>
      </c>
      <c r="AV77" s="38">
        <f>Scenarios!AV13</f>
        <v>0</v>
      </c>
      <c r="AW77" s="38">
        <f>Scenarios!AW13</f>
        <v>0</v>
      </c>
      <c r="AX77" s="38">
        <f>Scenarios!AX13</f>
        <v>0</v>
      </c>
      <c r="AY77" s="38">
        <f>Scenarios!AY13</f>
        <v>0</v>
      </c>
      <c r="AZ77" s="38">
        <f>Scenarios!AZ13</f>
        <v>0</v>
      </c>
      <c r="BA77" s="38">
        <f>Scenarios!BA13</f>
        <v>0.02</v>
      </c>
      <c r="BB77" s="38">
        <f>Scenarios!BB13</f>
        <v>0</v>
      </c>
      <c r="BC77" s="38">
        <f>Scenarios!BC13</f>
        <v>0</v>
      </c>
      <c r="BD77" s="38">
        <f>Scenarios!BD13</f>
        <v>0</v>
      </c>
      <c r="BE77" s="38">
        <f>Scenarios!BE13</f>
        <v>0</v>
      </c>
      <c r="BF77" s="38">
        <f>Scenarios!BF13</f>
        <v>0</v>
      </c>
      <c r="BG77" s="38">
        <f>Scenarios!BG13</f>
        <v>0</v>
      </c>
      <c r="BH77" s="38">
        <f>Scenarios!BH13</f>
        <v>0</v>
      </c>
      <c r="BI77" s="38">
        <f>Scenarios!BI13</f>
        <v>0</v>
      </c>
      <c r="BJ77" s="38">
        <f>Scenarios!BJ13</f>
        <v>0</v>
      </c>
      <c r="BK77" s="38">
        <f>Scenarios!BK13</f>
        <v>0</v>
      </c>
      <c r="BL77" s="38">
        <f>Scenarios!BL13</f>
        <v>0</v>
      </c>
      <c r="BM77" s="38">
        <f>Scenarios!BM13</f>
        <v>0</v>
      </c>
      <c r="BN77" s="38">
        <f>Scenarios!BN13</f>
        <v>0.02</v>
      </c>
    </row>
    <row r="78" spans="2:74" x14ac:dyDescent="0.2">
      <c r="B78" t="s">
        <v>23</v>
      </c>
      <c r="C78" t="s">
        <v>24</v>
      </c>
      <c r="G78" s="23">
        <v>26</v>
      </c>
      <c r="H78" s="23">
        <v>26</v>
      </c>
      <c r="I78" s="23">
        <v>26</v>
      </c>
      <c r="J78" s="23">
        <v>26</v>
      </c>
      <c r="K78" s="23">
        <v>26</v>
      </c>
      <c r="L78" s="23">
        <v>26</v>
      </c>
      <c r="M78" s="23">
        <v>26</v>
      </c>
      <c r="N78" s="23">
        <v>26</v>
      </c>
      <c r="O78" s="23">
        <v>26</v>
      </c>
      <c r="P78" s="23">
        <v>26</v>
      </c>
      <c r="Q78" s="23">
        <v>26</v>
      </c>
      <c r="R78" s="23">
        <v>26</v>
      </c>
      <c r="S78" s="23">
        <v>26</v>
      </c>
      <c r="T78" s="23">
        <v>26</v>
      </c>
      <c r="U78" s="23">
        <v>26</v>
      </c>
      <c r="V78" s="23">
        <v>26</v>
      </c>
      <c r="W78" s="23">
        <v>26</v>
      </c>
      <c r="X78" s="23">
        <v>26</v>
      </c>
      <c r="Y78" s="23">
        <v>26</v>
      </c>
      <c r="Z78" s="23">
        <v>26</v>
      </c>
      <c r="AA78" s="23">
        <v>26</v>
      </c>
      <c r="AB78" s="23">
        <v>26</v>
      </c>
      <c r="AC78" s="23">
        <v>26</v>
      </c>
      <c r="AD78" s="23">
        <v>26</v>
      </c>
      <c r="AE78" s="23">
        <v>26</v>
      </c>
      <c r="AF78" s="23">
        <v>26</v>
      </c>
      <c r="AG78" s="23">
        <v>26</v>
      </c>
      <c r="AH78" s="23">
        <v>26</v>
      </c>
      <c r="AI78" s="23">
        <v>26</v>
      </c>
      <c r="AJ78" s="23">
        <v>26</v>
      </c>
      <c r="AK78" s="23">
        <v>26</v>
      </c>
      <c r="AL78" s="23">
        <v>26</v>
      </c>
      <c r="AM78" s="23">
        <v>26</v>
      </c>
      <c r="AN78" s="23">
        <v>26</v>
      </c>
      <c r="AO78" s="23">
        <v>26</v>
      </c>
      <c r="AP78" s="23">
        <v>26</v>
      </c>
      <c r="AQ78" s="23">
        <v>26</v>
      </c>
      <c r="AR78" s="23">
        <v>26</v>
      </c>
      <c r="AS78" s="23">
        <v>26</v>
      </c>
      <c r="AT78" s="23">
        <v>26</v>
      </c>
      <c r="AU78" s="23">
        <v>26</v>
      </c>
      <c r="AV78" s="23">
        <v>26</v>
      </c>
      <c r="AW78" s="23">
        <v>26</v>
      </c>
      <c r="AX78" s="23">
        <v>26</v>
      </c>
      <c r="AY78" s="23">
        <v>26</v>
      </c>
      <c r="AZ78" s="23">
        <v>26</v>
      </c>
      <c r="BA78" s="23">
        <v>26</v>
      </c>
      <c r="BB78" s="23">
        <v>26</v>
      </c>
      <c r="BC78" s="23">
        <v>26</v>
      </c>
      <c r="BD78" s="23">
        <v>26</v>
      </c>
      <c r="BE78" s="23">
        <v>26</v>
      </c>
      <c r="BF78" s="23">
        <v>26</v>
      </c>
      <c r="BG78" s="23">
        <v>26</v>
      </c>
      <c r="BH78" s="23">
        <v>26</v>
      </c>
      <c r="BI78" s="23">
        <v>26</v>
      </c>
      <c r="BJ78" s="23">
        <v>26</v>
      </c>
      <c r="BK78" s="23">
        <v>26</v>
      </c>
      <c r="BL78" s="23">
        <v>26</v>
      </c>
      <c r="BM78" s="23">
        <v>26</v>
      </c>
      <c r="BN78" s="23">
        <v>26</v>
      </c>
    </row>
    <row r="79" spans="2:74" x14ac:dyDescent="0.2">
      <c r="B79" t="s">
        <v>25</v>
      </c>
      <c r="C79" t="s">
        <v>26</v>
      </c>
      <c r="G79" s="23">
        <v>75</v>
      </c>
      <c r="H79" s="23">
        <v>75</v>
      </c>
      <c r="I79" s="23">
        <v>75</v>
      </c>
      <c r="J79" s="23">
        <v>75</v>
      </c>
      <c r="K79" s="23">
        <v>75</v>
      </c>
      <c r="L79" s="23">
        <v>75</v>
      </c>
      <c r="M79" s="23">
        <v>75</v>
      </c>
      <c r="N79" s="23">
        <v>75</v>
      </c>
      <c r="O79" s="23">
        <v>75</v>
      </c>
      <c r="P79" s="23">
        <v>75</v>
      </c>
      <c r="Q79" s="23">
        <v>75</v>
      </c>
      <c r="R79" s="23">
        <v>75</v>
      </c>
      <c r="S79" s="23">
        <v>75</v>
      </c>
      <c r="T79" s="23">
        <v>75</v>
      </c>
      <c r="U79" s="23">
        <v>75</v>
      </c>
      <c r="V79" s="23">
        <v>75</v>
      </c>
      <c r="W79" s="23">
        <v>75</v>
      </c>
      <c r="X79" s="23">
        <v>75</v>
      </c>
      <c r="Y79" s="23">
        <v>75</v>
      </c>
      <c r="Z79" s="23">
        <v>75</v>
      </c>
      <c r="AA79" s="23">
        <v>75</v>
      </c>
      <c r="AB79" s="23">
        <v>75</v>
      </c>
      <c r="AC79" s="23">
        <v>75</v>
      </c>
      <c r="AD79" s="23">
        <v>75</v>
      </c>
      <c r="AE79" s="23">
        <v>75</v>
      </c>
      <c r="AF79" s="23">
        <v>75</v>
      </c>
      <c r="AG79" s="23">
        <v>75</v>
      </c>
      <c r="AH79" s="23">
        <v>75</v>
      </c>
      <c r="AI79" s="23">
        <v>75</v>
      </c>
      <c r="AJ79" s="23">
        <v>75</v>
      </c>
      <c r="AK79" s="23">
        <v>75</v>
      </c>
      <c r="AL79" s="23">
        <v>75</v>
      </c>
      <c r="AM79" s="23">
        <v>75</v>
      </c>
      <c r="AN79" s="23">
        <v>75</v>
      </c>
      <c r="AO79" s="23">
        <v>75</v>
      </c>
      <c r="AP79" s="23">
        <v>75</v>
      </c>
      <c r="AQ79" s="23">
        <v>75</v>
      </c>
      <c r="AR79" s="23">
        <v>75</v>
      </c>
      <c r="AS79" s="23">
        <v>75</v>
      </c>
      <c r="AT79" s="23">
        <v>75</v>
      </c>
      <c r="AU79" s="23">
        <v>75</v>
      </c>
      <c r="AV79" s="23">
        <v>75</v>
      </c>
      <c r="AW79" s="23">
        <v>75</v>
      </c>
      <c r="AX79" s="23">
        <v>75</v>
      </c>
      <c r="AY79" s="23">
        <v>75</v>
      </c>
      <c r="AZ79" s="23">
        <v>75</v>
      </c>
      <c r="BA79" s="23">
        <v>75</v>
      </c>
      <c r="BB79" s="23">
        <v>75</v>
      </c>
      <c r="BC79" s="23">
        <v>75</v>
      </c>
      <c r="BD79" s="23">
        <v>75</v>
      </c>
      <c r="BE79" s="23">
        <v>75</v>
      </c>
      <c r="BF79" s="23">
        <v>75</v>
      </c>
      <c r="BG79" s="23">
        <v>75</v>
      </c>
      <c r="BH79" s="23">
        <v>75</v>
      </c>
      <c r="BI79" s="23">
        <v>75</v>
      </c>
      <c r="BJ79" s="23">
        <v>75</v>
      </c>
      <c r="BK79" s="23">
        <v>75</v>
      </c>
      <c r="BL79" s="23">
        <v>75</v>
      </c>
      <c r="BM79" s="23">
        <v>75</v>
      </c>
      <c r="BN79" s="23">
        <v>75</v>
      </c>
    </row>
    <row r="80" spans="2:74" x14ac:dyDescent="0.2">
      <c r="B80" t="s">
        <v>27</v>
      </c>
      <c r="C80" t="s">
        <v>28</v>
      </c>
      <c r="G80" s="39">
        <f>G22/G79</f>
        <v>30</v>
      </c>
      <c r="H80" s="39">
        <f t="shared" ref="H80:BN80" si="140">H22/H79</f>
        <v>30</v>
      </c>
      <c r="I80" s="39">
        <f>I22/I79</f>
        <v>30</v>
      </c>
      <c r="J80" s="43">
        <f>J22/J79</f>
        <v>30</v>
      </c>
      <c r="K80" s="43">
        <f t="shared" ref="K80:BA80" si="141">K22/K79</f>
        <v>46.000000306976283</v>
      </c>
      <c r="L80" s="43">
        <f t="shared" si="141"/>
        <v>62.000000613952558</v>
      </c>
      <c r="M80" s="43">
        <f>M22/M79</f>
        <v>78.000000920928827</v>
      </c>
      <c r="N80" s="43">
        <f t="shared" si="141"/>
        <v>216.00000184185765</v>
      </c>
      <c r="O80" s="43">
        <f t="shared" si="141"/>
        <v>94.000001227905088</v>
      </c>
      <c r="P80" s="43">
        <f t="shared" si="141"/>
        <v>110.00000153488135</v>
      </c>
      <c r="Q80" s="43">
        <f t="shared" si="141"/>
        <v>110.00000153488135</v>
      </c>
      <c r="R80" s="43">
        <f t="shared" si="141"/>
        <v>110.00000153488135</v>
      </c>
      <c r="S80" s="43">
        <f t="shared" si="141"/>
        <v>110.00000153488135</v>
      </c>
      <c r="T80" s="43">
        <f t="shared" si="141"/>
        <v>110.00000153488135</v>
      </c>
      <c r="U80" s="43">
        <f t="shared" si="141"/>
        <v>110.00000153488135</v>
      </c>
      <c r="V80" s="43">
        <f t="shared" si="141"/>
        <v>110.00000153488135</v>
      </c>
      <c r="W80" s="43">
        <f t="shared" si="141"/>
        <v>110.00000153488135</v>
      </c>
      <c r="X80" s="43">
        <f t="shared" si="141"/>
        <v>110.00000153488135</v>
      </c>
      <c r="Y80" s="43">
        <f t="shared" si="141"/>
        <v>110.00000153488135</v>
      </c>
      <c r="Z80" s="43">
        <f t="shared" si="141"/>
        <v>110.00000153488135</v>
      </c>
      <c r="AA80" s="43">
        <f t="shared" si="141"/>
        <v>1304.000016883695</v>
      </c>
      <c r="AB80" s="43">
        <f t="shared" si="141"/>
        <v>110.00000153488135</v>
      </c>
      <c r="AC80" s="43">
        <f t="shared" si="141"/>
        <v>110.00000153488135</v>
      </c>
      <c r="AD80" s="43">
        <f t="shared" si="141"/>
        <v>115.78666666666666</v>
      </c>
      <c r="AE80" s="43">
        <f t="shared" si="141"/>
        <v>121.57333333333334</v>
      </c>
      <c r="AF80" s="43">
        <f t="shared" si="141"/>
        <v>127.36</v>
      </c>
      <c r="AG80" s="43">
        <f t="shared" si="141"/>
        <v>133.14666666666668</v>
      </c>
      <c r="AH80" s="43">
        <f t="shared" si="141"/>
        <v>138.93333333333334</v>
      </c>
      <c r="AI80" s="43">
        <f t="shared" si="141"/>
        <v>144.72</v>
      </c>
      <c r="AJ80" s="43">
        <f t="shared" si="141"/>
        <v>150.50666666666666</v>
      </c>
      <c r="AK80" s="43">
        <f t="shared" si="141"/>
        <v>156.29333333333332</v>
      </c>
      <c r="AL80" s="43">
        <f t="shared" si="141"/>
        <v>162.08000000000001</v>
      </c>
      <c r="AM80" s="43">
        <f t="shared" si="141"/>
        <v>167.86666666666667</v>
      </c>
      <c r="AN80" s="43">
        <f t="shared" si="141"/>
        <v>1638.2666697364293</v>
      </c>
      <c r="AO80" s="43">
        <f t="shared" si="141"/>
        <v>173.65333333333334</v>
      </c>
      <c r="AP80" s="43">
        <f t="shared" si="141"/>
        <v>179.44</v>
      </c>
      <c r="AQ80" s="43">
        <f t="shared" si="141"/>
        <v>185.22666666666666</v>
      </c>
      <c r="AR80" s="43">
        <f t="shared" si="141"/>
        <v>191.01333333333332</v>
      </c>
      <c r="AS80" s="43">
        <f t="shared" si="141"/>
        <v>196.8</v>
      </c>
      <c r="AT80" s="43">
        <f t="shared" si="141"/>
        <v>202.58666666666667</v>
      </c>
      <c r="AU80" s="43">
        <f t="shared" si="141"/>
        <v>208.37333333333333</v>
      </c>
      <c r="AV80" s="43">
        <f t="shared" si="141"/>
        <v>220</v>
      </c>
      <c r="AW80" s="43">
        <f t="shared" si="141"/>
        <v>220</v>
      </c>
      <c r="AX80" s="43">
        <f t="shared" si="141"/>
        <v>220</v>
      </c>
      <c r="AY80" s="43">
        <f t="shared" si="141"/>
        <v>220</v>
      </c>
      <c r="AZ80" s="43">
        <f t="shared" si="141"/>
        <v>220</v>
      </c>
      <c r="BA80" s="43">
        <f t="shared" si="141"/>
        <v>2437.0933333333332</v>
      </c>
      <c r="BB80" s="39">
        <f t="shared" si="140"/>
        <v>203.0911111111111</v>
      </c>
      <c r="BC80" s="39">
        <f t="shared" si="140"/>
        <v>203.0911111111111</v>
      </c>
      <c r="BD80" s="39">
        <f t="shared" si="140"/>
        <v>203.0911111111111</v>
      </c>
      <c r="BE80" s="39">
        <f t="shared" si="140"/>
        <v>203.0911111111111</v>
      </c>
      <c r="BF80" s="39">
        <f t="shared" si="140"/>
        <v>203.0911111111111</v>
      </c>
      <c r="BG80" s="39">
        <f t="shared" si="140"/>
        <v>203.0911111111111</v>
      </c>
      <c r="BH80" s="39">
        <f t="shared" si="140"/>
        <v>203.0911111111111</v>
      </c>
      <c r="BI80" s="39">
        <f t="shared" si="140"/>
        <v>203.0911111111111</v>
      </c>
      <c r="BJ80" s="39">
        <f t="shared" si="140"/>
        <v>203.0911111111111</v>
      </c>
      <c r="BK80" s="39">
        <f t="shared" si="140"/>
        <v>203.0911111111111</v>
      </c>
      <c r="BL80" s="39">
        <f t="shared" si="140"/>
        <v>203.0911111111111</v>
      </c>
      <c r="BM80" s="39">
        <f t="shared" si="140"/>
        <v>203.0911111111111</v>
      </c>
      <c r="BN80" s="39">
        <f t="shared" si="140"/>
        <v>2437.0933333333332</v>
      </c>
    </row>
    <row r="81" spans="2:66" x14ac:dyDescent="0.2">
      <c r="B81" t="s">
        <v>29</v>
      </c>
      <c r="C81" t="s">
        <v>28</v>
      </c>
      <c r="G81" s="43">
        <f t="shared" ref="G81:O81" si="142">ROUNDUP(G80/G78,0)</f>
        <v>2</v>
      </c>
      <c r="H81" s="43">
        <f t="shared" si="142"/>
        <v>2</v>
      </c>
      <c r="I81" s="43">
        <f t="shared" si="142"/>
        <v>2</v>
      </c>
      <c r="J81" s="43">
        <f t="shared" si="142"/>
        <v>2</v>
      </c>
      <c r="K81" s="43">
        <f t="shared" si="142"/>
        <v>2</v>
      </c>
      <c r="L81" s="43">
        <f t="shared" si="142"/>
        <v>3</v>
      </c>
      <c r="M81" s="43">
        <f>ROUNDUP(M80/M78,0)</f>
        <v>4</v>
      </c>
      <c r="N81" s="43">
        <f>ROUNDUP(N80/N78,0)</f>
        <v>9</v>
      </c>
      <c r="O81" s="43">
        <f t="shared" si="142"/>
        <v>4</v>
      </c>
      <c r="P81" s="43">
        <f t="shared" ref="P81:BN81" si="143">ROUNDUP(P80/P78,0)</f>
        <v>5</v>
      </c>
      <c r="Q81" s="43">
        <f t="shared" si="143"/>
        <v>5</v>
      </c>
      <c r="R81" s="43">
        <f t="shared" si="143"/>
        <v>5</v>
      </c>
      <c r="S81" s="43">
        <f t="shared" si="143"/>
        <v>5</v>
      </c>
      <c r="T81" s="43">
        <f t="shared" si="143"/>
        <v>5</v>
      </c>
      <c r="U81" s="43">
        <f t="shared" si="143"/>
        <v>5</v>
      </c>
      <c r="V81" s="43">
        <f t="shared" si="143"/>
        <v>5</v>
      </c>
      <c r="W81" s="43">
        <f t="shared" si="143"/>
        <v>5</v>
      </c>
      <c r="X81" s="43">
        <f>ROUNDUP(X80/X78,0)</f>
        <v>5</v>
      </c>
      <c r="Y81" s="43">
        <f t="shared" si="143"/>
        <v>5</v>
      </c>
      <c r="Z81" s="43">
        <f t="shared" si="143"/>
        <v>5</v>
      </c>
      <c r="AA81" s="43">
        <f t="shared" si="143"/>
        <v>51</v>
      </c>
      <c r="AB81" s="43">
        <f t="shared" si="143"/>
        <v>5</v>
      </c>
      <c r="AC81" s="43">
        <f t="shared" si="143"/>
        <v>5</v>
      </c>
      <c r="AD81" s="43">
        <f t="shared" si="143"/>
        <v>5</v>
      </c>
      <c r="AE81" s="43">
        <f t="shared" si="143"/>
        <v>5</v>
      </c>
      <c r="AF81" s="43">
        <f t="shared" si="143"/>
        <v>5</v>
      </c>
      <c r="AG81" s="43">
        <f t="shared" si="143"/>
        <v>6</v>
      </c>
      <c r="AH81" s="43">
        <f t="shared" si="143"/>
        <v>6</v>
      </c>
      <c r="AI81" s="43">
        <f t="shared" si="143"/>
        <v>6</v>
      </c>
      <c r="AJ81" s="43">
        <f t="shared" si="143"/>
        <v>6</v>
      </c>
      <c r="AK81" s="43">
        <f t="shared" si="143"/>
        <v>7</v>
      </c>
      <c r="AL81" s="43">
        <f t="shared" si="143"/>
        <v>7</v>
      </c>
      <c r="AM81" s="43">
        <f>ROUNDUP(AM80/AM78,0)</f>
        <v>7</v>
      </c>
      <c r="AN81" s="43">
        <f t="shared" si="143"/>
        <v>64</v>
      </c>
      <c r="AO81" s="43">
        <f t="shared" si="143"/>
        <v>7</v>
      </c>
      <c r="AP81" s="43">
        <f t="shared" si="143"/>
        <v>7</v>
      </c>
      <c r="AQ81" s="43">
        <f t="shared" si="143"/>
        <v>8</v>
      </c>
      <c r="AR81" s="43">
        <f t="shared" si="143"/>
        <v>8</v>
      </c>
      <c r="AS81" s="43">
        <f t="shared" si="143"/>
        <v>8</v>
      </c>
      <c r="AT81" s="43">
        <f t="shared" si="143"/>
        <v>8</v>
      </c>
      <c r="AU81" s="43">
        <f t="shared" si="143"/>
        <v>9</v>
      </c>
      <c r="AV81" s="43">
        <f t="shared" si="143"/>
        <v>9</v>
      </c>
      <c r="AW81" s="43">
        <f t="shared" si="143"/>
        <v>9</v>
      </c>
      <c r="AX81" s="43">
        <f t="shared" si="143"/>
        <v>9</v>
      </c>
      <c r="AY81" s="43">
        <f t="shared" si="143"/>
        <v>9</v>
      </c>
      <c r="AZ81" s="43">
        <f t="shared" si="143"/>
        <v>9</v>
      </c>
      <c r="BA81" s="43">
        <f t="shared" si="143"/>
        <v>94</v>
      </c>
      <c r="BB81" s="43">
        <f t="shared" si="143"/>
        <v>8</v>
      </c>
      <c r="BC81" s="43">
        <f t="shared" si="143"/>
        <v>8</v>
      </c>
      <c r="BD81" s="43">
        <f t="shared" si="143"/>
        <v>8</v>
      </c>
      <c r="BE81" s="43">
        <f t="shared" si="143"/>
        <v>8</v>
      </c>
      <c r="BF81" s="43">
        <f t="shared" si="143"/>
        <v>8</v>
      </c>
      <c r="BG81" s="43">
        <f t="shared" si="143"/>
        <v>8</v>
      </c>
      <c r="BH81" s="43">
        <f t="shared" si="143"/>
        <v>8</v>
      </c>
      <c r="BI81" s="43">
        <f t="shared" si="143"/>
        <v>8</v>
      </c>
      <c r="BJ81" s="43">
        <f t="shared" si="143"/>
        <v>8</v>
      </c>
      <c r="BK81" s="43">
        <f t="shared" si="143"/>
        <v>8</v>
      </c>
      <c r="BL81" s="43">
        <f t="shared" si="143"/>
        <v>8</v>
      </c>
      <c r="BM81" s="43">
        <f t="shared" si="143"/>
        <v>8</v>
      </c>
      <c r="BN81" s="43">
        <f t="shared" si="143"/>
        <v>94</v>
      </c>
    </row>
    <row r="82" spans="2:66" x14ac:dyDescent="0.2">
      <c r="N82" s="42"/>
    </row>
    <row r="83" spans="2:66" x14ac:dyDescent="0.2">
      <c r="B83" s="6" t="s">
        <v>30</v>
      </c>
    </row>
    <row r="84" spans="2:66" x14ac:dyDescent="0.2">
      <c r="B84" t="s">
        <v>31</v>
      </c>
      <c r="C84" t="s">
        <v>32</v>
      </c>
      <c r="G84">
        <f t="shared" ref="G84:L84" si="144">H84</f>
        <v>1.75</v>
      </c>
      <c r="H84">
        <f t="shared" si="144"/>
        <v>1.75</v>
      </c>
      <c r="I84">
        <f t="shared" si="144"/>
        <v>1.75</v>
      </c>
      <c r="J84">
        <f t="shared" si="144"/>
        <v>1.75</v>
      </c>
      <c r="K84">
        <f t="shared" si="144"/>
        <v>1.75</v>
      </c>
      <c r="L84">
        <f t="shared" si="144"/>
        <v>1.75</v>
      </c>
      <c r="M84">
        <f>N84</f>
        <v>1.75</v>
      </c>
      <c r="N84" s="23">
        <v>1.75</v>
      </c>
      <c r="O84" s="24">
        <f>N84</f>
        <v>1.75</v>
      </c>
      <c r="P84" s="24">
        <f>O84</f>
        <v>1.75</v>
      </c>
      <c r="Q84" s="24">
        <f t="shared" ref="Q84:Y84" si="145">R84</f>
        <v>1.7867499999999998</v>
      </c>
      <c r="R84" s="24">
        <f t="shared" si="145"/>
        <v>1.7867499999999998</v>
      </c>
      <c r="S84" s="24">
        <f t="shared" si="145"/>
        <v>1.7867499999999998</v>
      </c>
      <c r="T84" s="24">
        <f t="shared" si="145"/>
        <v>1.7867499999999998</v>
      </c>
      <c r="U84" s="24">
        <f t="shared" si="145"/>
        <v>1.7867499999999998</v>
      </c>
      <c r="V84" s="24">
        <f t="shared" si="145"/>
        <v>1.7867499999999998</v>
      </c>
      <c r="W84" s="24">
        <f t="shared" si="145"/>
        <v>1.7867499999999998</v>
      </c>
      <c r="X84" s="24">
        <f t="shared" si="145"/>
        <v>1.7867499999999998</v>
      </c>
      <c r="Y84" s="24">
        <f t="shared" si="145"/>
        <v>1.7867499999999998</v>
      </c>
      <c r="Z84" s="24">
        <f>AA84</f>
        <v>1.7867499999999998</v>
      </c>
      <c r="AA84" s="24">
        <f>N84*(1+AA86)</f>
        <v>1.7867499999999998</v>
      </c>
      <c r="AB84" s="24">
        <f t="shared" ref="AB84:AK84" si="146">AC84</f>
        <v>1.8224849999999999</v>
      </c>
      <c r="AC84" s="24">
        <f t="shared" si="146"/>
        <v>1.8224849999999999</v>
      </c>
      <c r="AD84" s="24">
        <f t="shared" si="146"/>
        <v>1.8224849999999999</v>
      </c>
      <c r="AE84" s="24">
        <f t="shared" si="146"/>
        <v>1.8224849999999999</v>
      </c>
      <c r="AF84" s="24">
        <f t="shared" si="146"/>
        <v>1.8224849999999999</v>
      </c>
      <c r="AG84" s="24">
        <f t="shared" si="146"/>
        <v>1.8224849999999999</v>
      </c>
      <c r="AH84" s="24">
        <f t="shared" si="146"/>
        <v>1.8224849999999999</v>
      </c>
      <c r="AI84" s="24">
        <f t="shared" si="146"/>
        <v>1.8224849999999999</v>
      </c>
      <c r="AJ84" s="24">
        <f t="shared" si="146"/>
        <v>1.8224849999999999</v>
      </c>
      <c r="AK84" s="24">
        <f t="shared" si="146"/>
        <v>1.8224849999999999</v>
      </c>
      <c r="AL84" s="24">
        <f>AM84</f>
        <v>1.8224849999999999</v>
      </c>
      <c r="AM84" s="24">
        <f>AN84</f>
        <v>1.8224849999999999</v>
      </c>
      <c r="AN84" s="24">
        <f>AA84*(1+AN86)</f>
        <v>1.8224849999999999</v>
      </c>
      <c r="AO84" s="24">
        <f t="shared" ref="AO84:AY84" si="147">AP84</f>
        <v>1.8589347000000001</v>
      </c>
      <c r="AP84" s="24">
        <f t="shared" si="147"/>
        <v>1.8589347000000001</v>
      </c>
      <c r="AQ84" s="24">
        <f t="shared" si="147"/>
        <v>1.8589347000000001</v>
      </c>
      <c r="AR84" s="24">
        <f t="shared" si="147"/>
        <v>1.8589347000000001</v>
      </c>
      <c r="AS84" s="24">
        <f t="shared" si="147"/>
        <v>1.8589347000000001</v>
      </c>
      <c r="AT84" s="24">
        <f t="shared" si="147"/>
        <v>1.8589347000000001</v>
      </c>
      <c r="AU84" s="24">
        <f t="shared" si="147"/>
        <v>1.8589347000000001</v>
      </c>
      <c r="AV84" s="24">
        <f t="shared" si="147"/>
        <v>1.8589347000000001</v>
      </c>
      <c r="AW84" s="24">
        <f t="shared" si="147"/>
        <v>1.8589347000000001</v>
      </c>
      <c r="AX84" s="24">
        <f t="shared" si="147"/>
        <v>1.8589347000000001</v>
      </c>
      <c r="AY84" s="24">
        <f t="shared" si="147"/>
        <v>1.8589347000000001</v>
      </c>
      <c r="AZ84" s="24">
        <f>BA84</f>
        <v>1.8589347000000001</v>
      </c>
      <c r="BA84" s="24">
        <f>AN84*(1+BA86)</f>
        <v>1.8589347000000001</v>
      </c>
      <c r="BB84" s="24">
        <f t="shared" ref="BB84:BL84" si="148">BC84</f>
        <v>1.8961133940000001</v>
      </c>
      <c r="BC84" s="24">
        <f t="shared" si="148"/>
        <v>1.8961133940000001</v>
      </c>
      <c r="BD84" s="24">
        <f t="shared" si="148"/>
        <v>1.8961133940000001</v>
      </c>
      <c r="BE84" s="24">
        <f t="shared" si="148"/>
        <v>1.8961133940000001</v>
      </c>
      <c r="BF84" s="24">
        <f t="shared" si="148"/>
        <v>1.8961133940000001</v>
      </c>
      <c r="BG84" s="24">
        <f t="shared" si="148"/>
        <v>1.8961133940000001</v>
      </c>
      <c r="BH84" s="24">
        <f t="shared" si="148"/>
        <v>1.8961133940000001</v>
      </c>
      <c r="BI84" s="24">
        <f t="shared" si="148"/>
        <v>1.8961133940000001</v>
      </c>
      <c r="BJ84" s="24">
        <f t="shared" si="148"/>
        <v>1.8961133940000001</v>
      </c>
      <c r="BK84" s="24">
        <f t="shared" si="148"/>
        <v>1.8961133940000001</v>
      </c>
      <c r="BL84" s="24">
        <f t="shared" si="148"/>
        <v>1.8961133940000001</v>
      </c>
      <c r="BM84" s="24">
        <f>BN84</f>
        <v>1.8961133940000001</v>
      </c>
      <c r="BN84" s="24">
        <f>BA84*(1+BN86)</f>
        <v>1.8961133940000001</v>
      </c>
    </row>
    <row r="85" spans="2:66" x14ac:dyDescent="0.2">
      <c r="B85" t="s">
        <v>23</v>
      </c>
      <c r="C85" t="s">
        <v>28</v>
      </c>
      <c r="G85" s="39">
        <f>G80</f>
        <v>30</v>
      </c>
      <c r="H85" s="39">
        <f t="shared" ref="H85:I85" si="149">H80</f>
        <v>30</v>
      </c>
      <c r="I85" s="39">
        <f t="shared" si="149"/>
        <v>30</v>
      </c>
      <c r="J85" s="39">
        <f>J80</f>
        <v>30</v>
      </c>
      <c r="K85" s="39">
        <f>K80</f>
        <v>46.000000306976283</v>
      </c>
      <c r="L85" s="39">
        <f>L80</f>
        <v>62.000000613952558</v>
      </c>
      <c r="M85" s="39">
        <f>M80</f>
        <v>78.000000920928827</v>
      </c>
      <c r="N85" s="39">
        <f t="shared" ref="N85:AS85" si="150">N80</f>
        <v>216.00000184185765</v>
      </c>
      <c r="O85" s="39">
        <f t="shared" si="150"/>
        <v>94.000001227905088</v>
      </c>
      <c r="P85" s="39">
        <f t="shared" si="150"/>
        <v>110.00000153488135</v>
      </c>
      <c r="Q85" s="39">
        <f t="shared" si="150"/>
        <v>110.00000153488135</v>
      </c>
      <c r="R85" s="39">
        <f t="shared" si="150"/>
        <v>110.00000153488135</v>
      </c>
      <c r="S85" s="39">
        <f t="shared" si="150"/>
        <v>110.00000153488135</v>
      </c>
      <c r="T85" s="39">
        <f t="shared" si="150"/>
        <v>110.00000153488135</v>
      </c>
      <c r="U85" s="39">
        <f t="shared" si="150"/>
        <v>110.00000153488135</v>
      </c>
      <c r="V85" s="39">
        <f t="shared" si="150"/>
        <v>110.00000153488135</v>
      </c>
      <c r="W85" s="39">
        <f t="shared" si="150"/>
        <v>110.00000153488135</v>
      </c>
      <c r="X85" s="39">
        <f t="shared" si="150"/>
        <v>110.00000153488135</v>
      </c>
      <c r="Y85" s="39">
        <f t="shared" si="150"/>
        <v>110.00000153488135</v>
      </c>
      <c r="Z85" s="39">
        <f t="shared" si="150"/>
        <v>110.00000153488135</v>
      </c>
      <c r="AA85" s="39">
        <f t="shared" si="150"/>
        <v>1304.000016883695</v>
      </c>
      <c r="AB85" s="39">
        <f t="shared" si="150"/>
        <v>110.00000153488135</v>
      </c>
      <c r="AC85" s="39">
        <f t="shared" si="150"/>
        <v>110.00000153488135</v>
      </c>
      <c r="AD85" s="39">
        <f t="shared" si="150"/>
        <v>115.78666666666666</v>
      </c>
      <c r="AE85" s="39">
        <f t="shared" si="150"/>
        <v>121.57333333333334</v>
      </c>
      <c r="AF85" s="39">
        <f t="shared" si="150"/>
        <v>127.36</v>
      </c>
      <c r="AG85" s="39">
        <f t="shared" si="150"/>
        <v>133.14666666666668</v>
      </c>
      <c r="AH85" s="39">
        <f t="shared" si="150"/>
        <v>138.93333333333334</v>
      </c>
      <c r="AI85" s="39">
        <f t="shared" si="150"/>
        <v>144.72</v>
      </c>
      <c r="AJ85" s="39">
        <f t="shared" si="150"/>
        <v>150.50666666666666</v>
      </c>
      <c r="AK85" s="39">
        <f t="shared" si="150"/>
        <v>156.29333333333332</v>
      </c>
      <c r="AL85" s="39">
        <f t="shared" si="150"/>
        <v>162.08000000000001</v>
      </c>
      <c r="AM85" s="39">
        <f>AM80</f>
        <v>167.86666666666667</v>
      </c>
      <c r="AN85" s="39">
        <f t="shared" si="150"/>
        <v>1638.2666697364293</v>
      </c>
      <c r="AO85" s="39">
        <f t="shared" si="150"/>
        <v>173.65333333333334</v>
      </c>
      <c r="AP85" s="39">
        <f t="shared" si="150"/>
        <v>179.44</v>
      </c>
      <c r="AQ85" s="39">
        <f t="shared" si="150"/>
        <v>185.22666666666666</v>
      </c>
      <c r="AR85" s="39">
        <f t="shared" si="150"/>
        <v>191.01333333333332</v>
      </c>
      <c r="AS85" s="39">
        <f t="shared" si="150"/>
        <v>196.8</v>
      </c>
      <c r="AT85" s="39">
        <f t="shared" ref="AT85:BN85" si="151">AT80</f>
        <v>202.58666666666667</v>
      </c>
      <c r="AU85" s="39">
        <f t="shared" si="151"/>
        <v>208.37333333333333</v>
      </c>
      <c r="AV85" s="39">
        <f t="shared" si="151"/>
        <v>220</v>
      </c>
      <c r="AW85" s="39">
        <f t="shared" si="151"/>
        <v>220</v>
      </c>
      <c r="AX85" s="39">
        <f t="shared" si="151"/>
        <v>220</v>
      </c>
      <c r="AY85" s="39">
        <f t="shared" si="151"/>
        <v>220</v>
      </c>
      <c r="AZ85" s="39">
        <f t="shared" si="151"/>
        <v>220</v>
      </c>
      <c r="BA85" s="39">
        <f t="shared" si="151"/>
        <v>2437.0933333333332</v>
      </c>
      <c r="BB85" s="39">
        <f t="shared" si="151"/>
        <v>203.0911111111111</v>
      </c>
      <c r="BC85" s="39">
        <f t="shared" si="151"/>
        <v>203.0911111111111</v>
      </c>
      <c r="BD85" s="39">
        <f t="shared" si="151"/>
        <v>203.0911111111111</v>
      </c>
      <c r="BE85" s="39">
        <f t="shared" si="151"/>
        <v>203.0911111111111</v>
      </c>
      <c r="BF85" s="39">
        <f t="shared" si="151"/>
        <v>203.0911111111111</v>
      </c>
      <c r="BG85" s="39">
        <f t="shared" si="151"/>
        <v>203.0911111111111</v>
      </c>
      <c r="BH85" s="39">
        <f t="shared" si="151"/>
        <v>203.0911111111111</v>
      </c>
      <c r="BI85" s="39">
        <f t="shared" si="151"/>
        <v>203.0911111111111</v>
      </c>
      <c r="BJ85" s="39">
        <f t="shared" si="151"/>
        <v>203.0911111111111</v>
      </c>
      <c r="BK85" s="39">
        <f t="shared" si="151"/>
        <v>203.0911111111111</v>
      </c>
      <c r="BL85" s="39">
        <f t="shared" si="151"/>
        <v>203.0911111111111</v>
      </c>
      <c r="BM85" s="39">
        <f t="shared" si="151"/>
        <v>203.0911111111111</v>
      </c>
      <c r="BN85" s="39">
        <f t="shared" si="151"/>
        <v>2437.0933333333332</v>
      </c>
    </row>
    <row r="86" spans="2:66" x14ac:dyDescent="0.2">
      <c r="B86" t="s">
        <v>72</v>
      </c>
      <c r="C86" t="s">
        <v>79</v>
      </c>
      <c r="G86" s="37">
        <f>G77</f>
        <v>0</v>
      </c>
      <c r="H86" s="37">
        <f t="shared" ref="H86:BN86" si="152">H77</f>
        <v>0</v>
      </c>
      <c r="I86" s="37">
        <f t="shared" si="152"/>
        <v>0</v>
      </c>
      <c r="J86" s="37">
        <f t="shared" si="152"/>
        <v>0</v>
      </c>
      <c r="K86" s="37">
        <f t="shared" si="152"/>
        <v>0</v>
      </c>
      <c r="L86" s="37">
        <f t="shared" si="152"/>
        <v>0</v>
      </c>
      <c r="M86" s="37">
        <f t="shared" si="152"/>
        <v>0</v>
      </c>
      <c r="N86" s="37">
        <f>N77</f>
        <v>3.2000000000000001E-2</v>
      </c>
      <c r="O86" s="37">
        <f t="shared" si="152"/>
        <v>0</v>
      </c>
      <c r="P86" s="37">
        <f t="shared" si="152"/>
        <v>0</v>
      </c>
      <c r="Q86" s="37">
        <f t="shared" si="152"/>
        <v>0</v>
      </c>
      <c r="R86" s="37">
        <f t="shared" si="152"/>
        <v>0</v>
      </c>
      <c r="S86" s="37">
        <f t="shared" si="152"/>
        <v>0</v>
      </c>
      <c r="T86" s="37">
        <f t="shared" si="152"/>
        <v>0</v>
      </c>
      <c r="U86" s="37">
        <f t="shared" si="152"/>
        <v>0</v>
      </c>
      <c r="V86" s="37">
        <f t="shared" si="152"/>
        <v>0</v>
      </c>
      <c r="W86" s="37">
        <f t="shared" si="152"/>
        <v>0</v>
      </c>
      <c r="X86" s="37">
        <f t="shared" si="152"/>
        <v>0</v>
      </c>
      <c r="Y86" s="37">
        <f t="shared" si="152"/>
        <v>0</v>
      </c>
      <c r="Z86" s="37">
        <f t="shared" si="152"/>
        <v>0</v>
      </c>
      <c r="AA86" s="37">
        <f>AA77</f>
        <v>2.1000000000000001E-2</v>
      </c>
      <c r="AB86" s="37">
        <f t="shared" si="152"/>
        <v>0</v>
      </c>
      <c r="AC86" s="37">
        <f t="shared" si="152"/>
        <v>0</v>
      </c>
      <c r="AD86" s="37">
        <f t="shared" si="152"/>
        <v>0</v>
      </c>
      <c r="AE86" s="37">
        <f t="shared" si="152"/>
        <v>0</v>
      </c>
      <c r="AF86" s="37">
        <f t="shared" si="152"/>
        <v>0</v>
      </c>
      <c r="AG86" s="37">
        <f t="shared" si="152"/>
        <v>0</v>
      </c>
      <c r="AH86" s="37">
        <f t="shared" si="152"/>
        <v>0</v>
      </c>
      <c r="AI86" s="37">
        <f t="shared" si="152"/>
        <v>0</v>
      </c>
      <c r="AJ86" s="37">
        <f t="shared" si="152"/>
        <v>0</v>
      </c>
      <c r="AK86" s="37">
        <f t="shared" si="152"/>
        <v>0</v>
      </c>
      <c r="AL86" s="37">
        <f t="shared" si="152"/>
        <v>0</v>
      </c>
      <c r="AM86" s="37">
        <f>AM77</f>
        <v>0</v>
      </c>
      <c r="AN86" s="37">
        <f t="shared" si="152"/>
        <v>0.02</v>
      </c>
      <c r="AO86" s="37">
        <f t="shared" si="152"/>
        <v>0</v>
      </c>
      <c r="AP86" s="37">
        <f t="shared" si="152"/>
        <v>0</v>
      </c>
      <c r="AQ86" s="37">
        <f t="shared" si="152"/>
        <v>0</v>
      </c>
      <c r="AR86" s="37">
        <f t="shared" si="152"/>
        <v>0</v>
      </c>
      <c r="AS86" s="37">
        <f t="shared" si="152"/>
        <v>0</v>
      </c>
      <c r="AT86" s="37">
        <f t="shared" si="152"/>
        <v>0</v>
      </c>
      <c r="AU86" s="37">
        <f t="shared" si="152"/>
        <v>0</v>
      </c>
      <c r="AV86" s="37">
        <f t="shared" si="152"/>
        <v>0</v>
      </c>
      <c r="AW86" s="37">
        <f t="shared" si="152"/>
        <v>0</v>
      </c>
      <c r="AX86" s="37">
        <f t="shared" si="152"/>
        <v>0</v>
      </c>
      <c r="AY86" s="37">
        <f t="shared" si="152"/>
        <v>0</v>
      </c>
      <c r="AZ86" s="37">
        <f t="shared" si="152"/>
        <v>0</v>
      </c>
      <c r="BA86" s="37">
        <f t="shared" si="152"/>
        <v>0.02</v>
      </c>
      <c r="BB86" s="37">
        <f t="shared" si="152"/>
        <v>0</v>
      </c>
      <c r="BC86" s="37">
        <f t="shared" si="152"/>
        <v>0</v>
      </c>
      <c r="BD86" s="37">
        <f t="shared" si="152"/>
        <v>0</v>
      </c>
      <c r="BE86" s="37">
        <f t="shared" si="152"/>
        <v>0</v>
      </c>
      <c r="BF86" s="37">
        <f t="shared" si="152"/>
        <v>0</v>
      </c>
      <c r="BG86" s="37">
        <f t="shared" si="152"/>
        <v>0</v>
      </c>
      <c r="BH86" s="37">
        <f t="shared" si="152"/>
        <v>0</v>
      </c>
      <c r="BI86" s="37">
        <f t="shared" si="152"/>
        <v>0</v>
      </c>
      <c r="BJ86" s="37">
        <f t="shared" si="152"/>
        <v>0</v>
      </c>
      <c r="BK86" s="37">
        <f t="shared" si="152"/>
        <v>0</v>
      </c>
      <c r="BL86" s="37">
        <f t="shared" si="152"/>
        <v>0</v>
      </c>
      <c r="BM86" s="37">
        <f t="shared" si="152"/>
        <v>0</v>
      </c>
      <c r="BN86" s="37">
        <f t="shared" si="152"/>
        <v>0.02</v>
      </c>
    </row>
    <row r="88" spans="2:66" x14ac:dyDescent="0.2">
      <c r="B88" s="6" t="s">
        <v>53</v>
      </c>
    </row>
    <row r="89" spans="2:66" x14ac:dyDescent="0.2">
      <c r="B89" t="s">
        <v>31</v>
      </c>
      <c r="C89" t="s">
        <v>33</v>
      </c>
      <c r="G89" s="24">
        <f t="shared" ref="G89:M89" si="153">H89</f>
        <v>1.6</v>
      </c>
      <c r="H89" s="24">
        <f t="shared" si="153"/>
        <v>1.6</v>
      </c>
      <c r="I89" s="24">
        <f t="shared" si="153"/>
        <v>1.6</v>
      </c>
      <c r="J89" s="24">
        <f t="shared" si="153"/>
        <v>1.6</v>
      </c>
      <c r="K89" s="24">
        <f t="shared" si="153"/>
        <v>1.6</v>
      </c>
      <c r="L89" s="24">
        <f t="shared" si="153"/>
        <v>1.6</v>
      </c>
      <c r="M89" s="24">
        <f t="shared" si="153"/>
        <v>1.6</v>
      </c>
      <c r="N89" s="23">
        <v>1.6</v>
      </c>
      <c r="O89" s="46">
        <f>N89</f>
        <v>1.6</v>
      </c>
      <c r="P89" s="46">
        <f>O89</f>
        <v>1.6</v>
      </c>
      <c r="Q89" s="46">
        <f>AA89</f>
        <v>1.6335999999999999</v>
      </c>
      <c r="R89" s="46">
        <f>Q89</f>
        <v>1.6335999999999999</v>
      </c>
      <c r="S89" s="46">
        <f t="shared" ref="S89:Z89" si="154">R89</f>
        <v>1.6335999999999999</v>
      </c>
      <c r="T89" s="46">
        <f t="shared" si="154"/>
        <v>1.6335999999999999</v>
      </c>
      <c r="U89" s="46">
        <f t="shared" si="154"/>
        <v>1.6335999999999999</v>
      </c>
      <c r="V89" s="46">
        <f t="shared" si="154"/>
        <v>1.6335999999999999</v>
      </c>
      <c r="W89" s="46">
        <f t="shared" si="154"/>
        <v>1.6335999999999999</v>
      </c>
      <c r="X89" s="46">
        <f t="shared" si="154"/>
        <v>1.6335999999999999</v>
      </c>
      <c r="Y89" s="46">
        <f t="shared" si="154"/>
        <v>1.6335999999999999</v>
      </c>
      <c r="Z89" s="46">
        <f t="shared" si="154"/>
        <v>1.6335999999999999</v>
      </c>
      <c r="AA89" s="46">
        <f>N89*(1+AA93)</f>
        <v>1.6335999999999999</v>
      </c>
      <c r="AB89" s="46">
        <f t="shared" ref="AB89:AK89" si="155">AC89</f>
        <v>1.666272</v>
      </c>
      <c r="AC89" s="46">
        <f t="shared" si="155"/>
        <v>1.666272</v>
      </c>
      <c r="AD89" s="46">
        <f t="shared" si="155"/>
        <v>1.666272</v>
      </c>
      <c r="AE89" s="46">
        <f t="shared" si="155"/>
        <v>1.666272</v>
      </c>
      <c r="AF89" s="46">
        <f t="shared" si="155"/>
        <v>1.666272</v>
      </c>
      <c r="AG89" s="46">
        <f t="shared" si="155"/>
        <v>1.666272</v>
      </c>
      <c r="AH89" s="46">
        <f t="shared" si="155"/>
        <v>1.666272</v>
      </c>
      <c r="AI89" s="46">
        <f t="shared" si="155"/>
        <v>1.666272</v>
      </c>
      <c r="AJ89" s="46">
        <f t="shared" si="155"/>
        <v>1.666272</v>
      </c>
      <c r="AK89" s="46">
        <f t="shared" si="155"/>
        <v>1.666272</v>
      </c>
      <c r="AL89" s="46">
        <f>AM89</f>
        <v>1.666272</v>
      </c>
      <c r="AM89" s="46">
        <f>AN89</f>
        <v>1.666272</v>
      </c>
      <c r="AN89" s="46">
        <f>AA89*(1+AN93)</f>
        <v>1.666272</v>
      </c>
      <c r="AO89" s="46">
        <f t="shared" ref="AO89:AY89" si="156">AP89</f>
        <v>1.69959744</v>
      </c>
      <c r="AP89" s="46">
        <f t="shared" si="156"/>
        <v>1.69959744</v>
      </c>
      <c r="AQ89" s="46">
        <f t="shared" si="156"/>
        <v>1.69959744</v>
      </c>
      <c r="AR89" s="46">
        <f t="shared" si="156"/>
        <v>1.69959744</v>
      </c>
      <c r="AS89" s="46">
        <f t="shared" si="156"/>
        <v>1.69959744</v>
      </c>
      <c r="AT89" s="46">
        <f t="shared" si="156"/>
        <v>1.69959744</v>
      </c>
      <c r="AU89" s="46">
        <f t="shared" si="156"/>
        <v>1.69959744</v>
      </c>
      <c r="AV89" s="46">
        <f t="shared" si="156"/>
        <v>1.69959744</v>
      </c>
      <c r="AW89" s="46">
        <f t="shared" si="156"/>
        <v>1.69959744</v>
      </c>
      <c r="AX89" s="46">
        <f t="shared" si="156"/>
        <v>1.69959744</v>
      </c>
      <c r="AY89" s="46">
        <f t="shared" si="156"/>
        <v>1.69959744</v>
      </c>
      <c r="AZ89" s="46">
        <f>BA89</f>
        <v>1.69959744</v>
      </c>
      <c r="BA89" s="46">
        <f>AN89*(1+BA93)</f>
        <v>1.69959744</v>
      </c>
      <c r="BB89" s="46">
        <f t="shared" ref="BB89:BL89" si="157">BC89</f>
        <v>1.7335893888</v>
      </c>
      <c r="BC89" s="46">
        <f t="shared" si="157"/>
        <v>1.7335893888</v>
      </c>
      <c r="BD89" s="46">
        <f t="shared" si="157"/>
        <v>1.7335893888</v>
      </c>
      <c r="BE89" s="46">
        <f t="shared" si="157"/>
        <v>1.7335893888</v>
      </c>
      <c r="BF89" s="46">
        <f t="shared" si="157"/>
        <v>1.7335893888</v>
      </c>
      <c r="BG89" s="46">
        <f t="shared" si="157"/>
        <v>1.7335893888</v>
      </c>
      <c r="BH89" s="46">
        <f t="shared" si="157"/>
        <v>1.7335893888</v>
      </c>
      <c r="BI89" s="46">
        <f t="shared" si="157"/>
        <v>1.7335893888</v>
      </c>
      <c r="BJ89" s="46">
        <f t="shared" si="157"/>
        <v>1.7335893888</v>
      </c>
      <c r="BK89" s="46">
        <f t="shared" si="157"/>
        <v>1.7335893888</v>
      </c>
      <c r="BL89" s="46">
        <f t="shared" si="157"/>
        <v>1.7335893888</v>
      </c>
      <c r="BM89" s="46">
        <f>BN89</f>
        <v>1.7335893888</v>
      </c>
      <c r="BN89" s="46">
        <f>BA89*(1+BN93)</f>
        <v>1.7335893888</v>
      </c>
    </row>
    <row r="90" spans="2:66" x14ac:dyDescent="0.2">
      <c r="B90" t="s">
        <v>31</v>
      </c>
      <c r="C90" t="s">
        <v>50</v>
      </c>
      <c r="G90" s="46">
        <f t="shared" ref="G90:L90" si="158">H90</f>
        <v>0.22857142857142859</v>
      </c>
      <c r="H90" s="46">
        <f t="shared" si="158"/>
        <v>0.22857142857142859</v>
      </c>
      <c r="I90" s="46">
        <f t="shared" si="158"/>
        <v>0.22857142857142859</v>
      </c>
      <c r="J90" s="46">
        <f t="shared" si="158"/>
        <v>0.22857142857142859</v>
      </c>
      <c r="K90" s="46">
        <f t="shared" si="158"/>
        <v>0.22857142857142859</v>
      </c>
      <c r="L90" s="46">
        <f t="shared" si="158"/>
        <v>0.22857142857142859</v>
      </c>
      <c r="M90" s="46">
        <f>N90</f>
        <v>0.22857142857142859</v>
      </c>
      <c r="N90" s="46">
        <f>N89/N96</f>
        <v>0.22857142857142859</v>
      </c>
      <c r="O90" s="46">
        <f t="shared" ref="O90:AS90" si="159">O89/O96</f>
        <v>0.22857142857142859</v>
      </c>
      <c r="P90" s="46">
        <f t="shared" si="159"/>
        <v>0.22857142857142859</v>
      </c>
      <c r="Q90" s="46">
        <f t="shared" si="159"/>
        <v>0.23337142857142856</v>
      </c>
      <c r="R90" s="46">
        <f t="shared" si="159"/>
        <v>0.23337142857142856</v>
      </c>
      <c r="S90" s="46">
        <f t="shared" si="159"/>
        <v>0.23337142857142856</v>
      </c>
      <c r="T90" s="46">
        <f t="shared" si="159"/>
        <v>0.23337142857142856</v>
      </c>
      <c r="U90" s="46">
        <f t="shared" si="159"/>
        <v>0.23337142857142856</v>
      </c>
      <c r="V90" s="46">
        <f t="shared" si="159"/>
        <v>0.23337142857142856</v>
      </c>
      <c r="W90" s="46">
        <f t="shared" si="159"/>
        <v>0.23337142857142856</v>
      </c>
      <c r="X90" s="46">
        <f t="shared" si="159"/>
        <v>0.23337142857142856</v>
      </c>
      <c r="Y90" s="46">
        <f t="shared" si="159"/>
        <v>0.23337142857142856</v>
      </c>
      <c r="Z90" s="46">
        <f t="shared" si="159"/>
        <v>0.23337142857142856</v>
      </c>
      <c r="AA90" s="46">
        <f t="shared" si="159"/>
        <v>0.23337142857142856</v>
      </c>
      <c r="AB90" s="46">
        <f t="shared" si="159"/>
        <v>0.23803885714285714</v>
      </c>
      <c r="AC90" s="46">
        <f t="shared" si="159"/>
        <v>0.23803885714285714</v>
      </c>
      <c r="AD90" s="46">
        <f t="shared" si="159"/>
        <v>0.23803885714285714</v>
      </c>
      <c r="AE90" s="46">
        <f t="shared" si="159"/>
        <v>0.23803885714285714</v>
      </c>
      <c r="AF90" s="46">
        <f t="shared" si="159"/>
        <v>0.23803885714285714</v>
      </c>
      <c r="AG90" s="46">
        <f t="shared" si="159"/>
        <v>0.23803885714285714</v>
      </c>
      <c r="AH90" s="46">
        <f t="shared" si="159"/>
        <v>0.23803885714285714</v>
      </c>
      <c r="AI90" s="46">
        <f t="shared" si="159"/>
        <v>0.23803885714285714</v>
      </c>
      <c r="AJ90" s="46">
        <f t="shared" si="159"/>
        <v>0.23803885714285714</v>
      </c>
      <c r="AK90" s="46">
        <f t="shared" si="159"/>
        <v>0.23803885714285714</v>
      </c>
      <c r="AL90" s="46">
        <f t="shared" si="159"/>
        <v>0.23803885714285714</v>
      </c>
      <c r="AM90" s="46">
        <f t="shared" si="159"/>
        <v>0.23803885714285714</v>
      </c>
      <c r="AN90" s="46">
        <f t="shared" si="159"/>
        <v>0.23803885714285714</v>
      </c>
      <c r="AO90" s="46">
        <f t="shared" si="159"/>
        <v>0.2427996342857143</v>
      </c>
      <c r="AP90" s="46">
        <f t="shared" si="159"/>
        <v>0.2427996342857143</v>
      </c>
      <c r="AQ90" s="46">
        <f t="shared" si="159"/>
        <v>0.2427996342857143</v>
      </c>
      <c r="AR90" s="46">
        <f t="shared" si="159"/>
        <v>0.2427996342857143</v>
      </c>
      <c r="AS90" s="46">
        <f t="shared" si="159"/>
        <v>0.2427996342857143</v>
      </c>
      <c r="AT90" s="46">
        <f t="shared" ref="AT90:BN90" si="160">AT89/AT96</f>
        <v>0.2427996342857143</v>
      </c>
      <c r="AU90" s="46">
        <f t="shared" si="160"/>
        <v>0.2427996342857143</v>
      </c>
      <c r="AV90" s="46">
        <f t="shared" si="160"/>
        <v>0.2427996342857143</v>
      </c>
      <c r="AW90" s="46">
        <f t="shared" si="160"/>
        <v>0.2427996342857143</v>
      </c>
      <c r="AX90" s="46">
        <f t="shared" si="160"/>
        <v>0.2427996342857143</v>
      </c>
      <c r="AY90" s="46">
        <f t="shared" si="160"/>
        <v>0.2427996342857143</v>
      </c>
      <c r="AZ90" s="46">
        <f t="shared" si="160"/>
        <v>0.2427996342857143</v>
      </c>
      <c r="BA90" s="46">
        <f t="shared" si="160"/>
        <v>0.2427996342857143</v>
      </c>
      <c r="BB90" s="46">
        <f t="shared" si="160"/>
        <v>0.24765562697142857</v>
      </c>
      <c r="BC90" s="46">
        <f t="shared" si="160"/>
        <v>0.24765562697142857</v>
      </c>
      <c r="BD90" s="46">
        <f t="shared" si="160"/>
        <v>0.24765562697142857</v>
      </c>
      <c r="BE90" s="46">
        <f t="shared" si="160"/>
        <v>0.24765562697142857</v>
      </c>
      <c r="BF90" s="46">
        <f t="shared" si="160"/>
        <v>0.24765562697142857</v>
      </c>
      <c r="BG90" s="46">
        <f t="shared" si="160"/>
        <v>0.24765562697142857</v>
      </c>
      <c r="BH90" s="46">
        <f t="shared" si="160"/>
        <v>0.24765562697142857</v>
      </c>
      <c r="BI90" s="46">
        <f t="shared" si="160"/>
        <v>0.24765562697142857</v>
      </c>
      <c r="BJ90" s="46">
        <f t="shared" si="160"/>
        <v>0.24765562697142857</v>
      </c>
      <c r="BK90" s="46">
        <f t="shared" si="160"/>
        <v>0.24765562697142857</v>
      </c>
      <c r="BL90" s="46">
        <f t="shared" si="160"/>
        <v>0.24765562697142857</v>
      </c>
      <c r="BM90" s="46">
        <f t="shared" si="160"/>
        <v>0.24765562697142857</v>
      </c>
      <c r="BN90" s="46">
        <f t="shared" si="160"/>
        <v>0.24765562697142857</v>
      </c>
    </row>
    <row r="91" spans="2:66" x14ac:dyDescent="0.2">
      <c r="B91" t="s">
        <v>31</v>
      </c>
      <c r="C91" t="s">
        <v>54</v>
      </c>
      <c r="G91" s="50">
        <f t="shared" ref="G91:M91" si="161">H91</f>
        <v>2.1333333333333336E-2</v>
      </c>
      <c r="H91" s="50">
        <f t="shared" si="161"/>
        <v>2.1333333333333336E-2</v>
      </c>
      <c r="I91" s="50">
        <f t="shared" si="161"/>
        <v>2.1333333333333336E-2</v>
      </c>
      <c r="J91" s="50">
        <f t="shared" si="161"/>
        <v>2.1333333333333336E-2</v>
      </c>
      <c r="K91" s="50">
        <f t="shared" si="161"/>
        <v>2.1333333333333336E-2</v>
      </c>
      <c r="L91" s="50">
        <f t="shared" si="161"/>
        <v>2.1333333333333336E-2</v>
      </c>
      <c r="M91" s="50">
        <f t="shared" si="161"/>
        <v>2.1333333333333336E-2</v>
      </c>
      <c r="N91" s="50">
        <f>N89/N79</f>
        <v>2.1333333333333336E-2</v>
      </c>
      <c r="O91" s="50">
        <f t="shared" ref="O91:BN91" si="162">O89/O79</f>
        <v>2.1333333333333336E-2</v>
      </c>
      <c r="P91" s="50">
        <f t="shared" si="162"/>
        <v>2.1333333333333336E-2</v>
      </c>
      <c r="Q91" s="50">
        <f t="shared" si="162"/>
        <v>2.1781333333333333E-2</v>
      </c>
      <c r="R91" s="50">
        <f t="shared" si="162"/>
        <v>2.1781333333333333E-2</v>
      </c>
      <c r="S91" s="50">
        <f t="shared" si="162"/>
        <v>2.1781333333333333E-2</v>
      </c>
      <c r="T91" s="50">
        <f t="shared" si="162"/>
        <v>2.1781333333333333E-2</v>
      </c>
      <c r="U91" s="50">
        <f t="shared" si="162"/>
        <v>2.1781333333333333E-2</v>
      </c>
      <c r="V91" s="50">
        <f t="shared" si="162"/>
        <v>2.1781333333333333E-2</v>
      </c>
      <c r="W91" s="50">
        <f t="shared" si="162"/>
        <v>2.1781333333333333E-2</v>
      </c>
      <c r="X91" s="50">
        <f t="shared" si="162"/>
        <v>2.1781333333333333E-2</v>
      </c>
      <c r="Y91" s="50">
        <f t="shared" si="162"/>
        <v>2.1781333333333333E-2</v>
      </c>
      <c r="Z91" s="50">
        <f t="shared" si="162"/>
        <v>2.1781333333333333E-2</v>
      </c>
      <c r="AA91" s="50">
        <f t="shared" si="162"/>
        <v>2.1781333333333333E-2</v>
      </c>
      <c r="AB91" s="50">
        <f t="shared" si="162"/>
        <v>2.2216960000000001E-2</v>
      </c>
      <c r="AC91" s="50">
        <f t="shared" si="162"/>
        <v>2.2216960000000001E-2</v>
      </c>
      <c r="AD91" s="50">
        <f t="shared" si="162"/>
        <v>2.2216960000000001E-2</v>
      </c>
      <c r="AE91" s="50">
        <f t="shared" si="162"/>
        <v>2.2216960000000001E-2</v>
      </c>
      <c r="AF91" s="50">
        <f t="shared" si="162"/>
        <v>2.2216960000000001E-2</v>
      </c>
      <c r="AG91" s="50">
        <f t="shared" si="162"/>
        <v>2.2216960000000001E-2</v>
      </c>
      <c r="AH91" s="50">
        <f t="shared" si="162"/>
        <v>2.2216960000000001E-2</v>
      </c>
      <c r="AI91" s="50">
        <f t="shared" si="162"/>
        <v>2.2216960000000001E-2</v>
      </c>
      <c r="AJ91" s="50">
        <f t="shared" si="162"/>
        <v>2.2216960000000001E-2</v>
      </c>
      <c r="AK91" s="50">
        <f t="shared" si="162"/>
        <v>2.2216960000000001E-2</v>
      </c>
      <c r="AL91" s="50">
        <f t="shared" si="162"/>
        <v>2.2216960000000001E-2</v>
      </c>
      <c r="AM91" s="50">
        <f>AM89/AM79</f>
        <v>2.2216960000000001E-2</v>
      </c>
      <c r="AN91" s="50">
        <f t="shared" si="162"/>
        <v>2.2216960000000001E-2</v>
      </c>
      <c r="AO91" s="50">
        <f t="shared" si="162"/>
        <v>2.2661299199999999E-2</v>
      </c>
      <c r="AP91" s="50">
        <f t="shared" si="162"/>
        <v>2.2661299199999999E-2</v>
      </c>
      <c r="AQ91" s="50">
        <f t="shared" si="162"/>
        <v>2.2661299199999999E-2</v>
      </c>
      <c r="AR91" s="50">
        <f t="shared" si="162"/>
        <v>2.2661299199999999E-2</v>
      </c>
      <c r="AS91" s="50">
        <f t="shared" si="162"/>
        <v>2.2661299199999999E-2</v>
      </c>
      <c r="AT91" s="50">
        <f t="shared" si="162"/>
        <v>2.2661299199999999E-2</v>
      </c>
      <c r="AU91" s="50">
        <f t="shared" si="162"/>
        <v>2.2661299199999999E-2</v>
      </c>
      <c r="AV91" s="50">
        <f t="shared" si="162"/>
        <v>2.2661299199999999E-2</v>
      </c>
      <c r="AW91" s="50">
        <f t="shared" si="162"/>
        <v>2.2661299199999999E-2</v>
      </c>
      <c r="AX91" s="50">
        <f t="shared" si="162"/>
        <v>2.2661299199999999E-2</v>
      </c>
      <c r="AY91" s="50">
        <f t="shared" si="162"/>
        <v>2.2661299199999999E-2</v>
      </c>
      <c r="AZ91" s="50">
        <f t="shared" si="162"/>
        <v>2.2661299199999999E-2</v>
      </c>
      <c r="BA91" s="50">
        <f t="shared" si="162"/>
        <v>2.2661299199999999E-2</v>
      </c>
      <c r="BB91" s="50">
        <f t="shared" si="162"/>
        <v>2.3114525184E-2</v>
      </c>
      <c r="BC91" s="50">
        <f t="shared" si="162"/>
        <v>2.3114525184E-2</v>
      </c>
      <c r="BD91" s="50">
        <f t="shared" si="162"/>
        <v>2.3114525184E-2</v>
      </c>
      <c r="BE91" s="50">
        <f t="shared" si="162"/>
        <v>2.3114525184E-2</v>
      </c>
      <c r="BF91" s="50">
        <f t="shared" si="162"/>
        <v>2.3114525184E-2</v>
      </c>
      <c r="BG91" s="50">
        <f t="shared" si="162"/>
        <v>2.3114525184E-2</v>
      </c>
      <c r="BH91" s="50">
        <f t="shared" si="162"/>
        <v>2.3114525184E-2</v>
      </c>
      <c r="BI91" s="50">
        <f t="shared" si="162"/>
        <v>2.3114525184E-2</v>
      </c>
      <c r="BJ91" s="50">
        <f t="shared" si="162"/>
        <v>2.3114525184E-2</v>
      </c>
      <c r="BK91" s="50">
        <f t="shared" si="162"/>
        <v>2.3114525184E-2</v>
      </c>
      <c r="BL91" s="50">
        <f t="shared" si="162"/>
        <v>2.3114525184E-2</v>
      </c>
      <c r="BM91" s="50">
        <f t="shared" si="162"/>
        <v>2.3114525184E-2</v>
      </c>
      <c r="BN91" s="50">
        <f t="shared" si="162"/>
        <v>2.3114525184E-2</v>
      </c>
    </row>
    <row r="92" spans="2:66" x14ac:dyDescent="0.2">
      <c r="B92" t="s">
        <v>31</v>
      </c>
      <c r="C92" t="s">
        <v>55</v>
      </c>
      <c r="G92" s="51">
        <f t="shared" ref="G92:M92" si="163">H92</f>
        <v>3.0476190476190481E-3</v>
      </c>
      <c r="H92" s="51">
        <f t="shared" si="163"/>
        <v>3.0476190476190481E-3</v>
      </c>
      <c r="I92" s="51">
        <f t="shared" si="163"/>
        <v>3.0476190476190481E-3</v>
      </c>
      <c r="J92" s="51">
        <f t="shared" si="163"/>
        <v>3.0476190476190481E-3</v>
      </c>
      <c r="K92" s="51">
        <f t="shared" si="163"/>
        <v>3.0476190476190481E-3</v>
      </c>
      <c r="L92" s="51">
        <f t="shared" si="163"/>
        <v>3.0476190476190481E-3</v>
      </c>
      <c r="M92" s="51">
        <f t="shared" si="163"/>
        <v>3.0476190476190481E-3</v>
      </c>
      <c r="N92" s="51">
        <f>N91/N96</f>
        <v>3.0476190476190481E-3</v>
      </c>
      <c r="O92" s="51">
        <f t="shared" ref="O92:AS92" si="164">O91/O96</f>
        <v>3.0476190476190481E-3</v>
      </c>
      <c r="P92" s="51">
        <f t="shared" si="164"/>
        <v>3.0476190476190481E-3</v>
      </c>
      <c r="Q92" s="51">
        <f t="shared" si="164"/>
        <v>3.1116190476190475E-3</v>
      </c>
      <c r="R92" s="51">
        <f t="shared" si="164"/>
        <v>3.1116190476190475E-3</v>
      </c>
      <c r="S92" s="51">
        <f t="shared" si="164"/>
        <v>3.1116190476190475E-3</v>
      </c>
      <c r="T92" s="51">
        <f t="shared" si="164"/>
        <v>3.1116190476190475E-3</v>
      </c>
      <c r="U92" s="51">
        <f t="shared" si="164"/>
        <v>3.1116190476190475E-3</v>
      </c>
      <c r="V92" s="51">
        <f t="shared" si="164"/>
        <v>3.1116190476190475E-3</v>
      </c>
      <c r="W92" s="51">
        <f t="shared" si="164"/>
        <v>3.1116190476190475E-3</v>
      </c>
      <c r="X92" s="51">
        <f t="shared" si="164"/>
        <v>3.1116190476190475E-3</v>
      </c>
      <c r="Y92" s="51">
        <f t="shared" si="164"/>
        <v>3.1116190476190475E-3</v>
      </c>
      <c r="Z92" s="51">
        <f t="shared" si="164"/>
        <v>3.1116190476190475E-3</v>
      </c>
      <c r="AA92" s="51">
        <f t="shared" si="164"/>
        <v>3.1116190476190475E-3</v>
      </c>
      <c r="AB92" s="51">
        <f t="shared" si="164"/>
        <v>3.1738514285714289E-3</v>
      </c>
      <c r="AC92" s="51">
        <f t="shared" si="164"/>
        <v>3.1738514285714289E-3</v>
      </c>
      <c r="AD92" s="51">
        <f t="shared" si="164"/>
        <v>3.1738514285714289E-3</v>
      </c>
      <c r="AE92" s="51">
        <f t="shared" si="164"/>
        <v>3.1738514285714289E-3</v>
      </c>
      <c r="AF92" s="51">
        <f t="shared" si="164"/>
        <v>3.1738514285714289E-3</v>
      </c>
      <c r="AG92" s="51">
        <f t="shared" si="164"/>
        <v>3.1738514285714289E-3</v>
      </c>
      <c r="AH92" s="51">
        <f t="shared" si="164"/>
        <v>3.1738514285714289E-3</v>
      </c>
      <c r="AI92" s="51">
        <f t="shared" si="164"/>
        <v>3.1738514285714289E-3</v>
      </c>
      <c r="AJ92" s="51">
        <f t="shared" si="164"/>
        <v>3.1738514285714289E-3</v>
      </c>
      <c r="AK92" s="51">
        <f t="shared" si="164"/>
        <v>3.1738514285714289E-3</v>
      </c>
      <c r="AL92" s="51">
        <f t="shared" si="164"/>
        <v>3.1738514285714289E-3</v>
      </c>
      <c r="AM92" s="51">
        <f t="shared" si="164"/>
        <v>3.1738514285714289E-3</v>
      </c>
      <c r="AN92" s="51">
        <f t="shared" si="164"/>
        <v>3.1738514285714289E-3</v>
      </c>
      <c r="AO92" s="51">
        <f t="shared" si="164"/>
        <v>3.2373284571428568E-3</v>
      </c>
      <c r="AP92" s="51">
        <f t="shared" si="164"/>
        <v>3.2373284571428568E-3</v>
      </c>
      <c r="AQ92" s="51">
        <f t="shared" si="164"/>
        <v>3.2373284571428568E-3</v>
      </c>
      <c r="AR92" s="51">
        <f t="shared" si="164"/>
        <v>3.2373284571428568E-3</v>
      </c>
      <c r="AS92" s="51">
        <f t="shared" si="164"/>
        <v>3.2373284571428568E-3</v>
      </c>
      <c r="AT92" s="51">
        <f t="shared" ref="AT92:BN92" si="165">AT91/AT96</f>
        <v>3.2373284571428568E-3</v>
      </c>
      <c r="AU92" s="51">
        <f t="shared" si="165"/>
        <v>3.2373284571428568E-3</v>
      </c>
      <c r="AV92" s="51">
        <f t="shared" si="165"/>
        <v>3.2373284571428568E-3</v>
      </c>
      <c r="AW92" s="51">
        <f t="shared" si="165"/>
        <v>3.2373284571428568E-3</v>
      </c>
      <c r="AX92" s="51">
        <f t="shared" si="165"/>
        <v>3.2373284571428568E-3</v>
      </c>
      <c r="AY92" s="51">
        <f t="shared" si="165"/>
        <v>3.2373284571428568E-3</v>
      </c>
      <c r="AZ92" s="51">
        <f t="shared" si="165"/>
        <v>3.2373284571428568E-3</v>
      </c>
      <c r="BA92" s="51">
        <f t="shared" si="165"/>
        <v>3.2373284571428568E-3</v>
      </c>
      <c r="BB92" s="51">
        <f t="shared" si="165"/>
        <v>3.3020750262857143E-3</v>
      </c>
      <c r="BC92" s="51">
        <f t="shared" si="165"/>
        <v>3.3020750262857143E-3</v>
      </c>
      <c r="BD92" s="51">
        <f t="shared" si="165"/>
        <v>3.3020750262857143E-3</v>
      </c>
      <c r="BE92" s="51">
        <f t="shared" si="165"/>
        <v>3.3020750262857143E-3</v>
      </c>
      <c r="BF92" s="51">
        <f t="shared" si="165"/>
        <v>3.3020750262857143E-3</v>
      </c>
      <c r="BG92" s="51">
        <f t="shared" si="165"/>
        <v>3.3020750262857143E-3</v>
      </c>
      <c r="BH92" s="51">
        <f t="shared" si="165"/>
        <v>3.3020750262857143E-3</v>
      </c>
      <c r="BI92" s="51">
        <f t="shared" si="165"/>
        <v>3.3020750262857143E-3</v>
      </c>
      <c r="BJ92" s="51">
        <f t="shared" si="165"/>
        <v>3.3020750262857143E-3</v>
      </c>
      <c r="BK92" s="51">
        <f t="shared" si="165"/>
        <v>3.3020750262857143E-3</v>
      </c>
      <c r="BL92" s="51">
        <f t="shared" si="165"/>
        <v>3.3020750262857143E-3</v>
      </c>
      <c r="BM92" s="51">
        <f t="shared" si="165"/>
        <v>3.3020750262857143E-3</v>
      </c>
      <c r="BN92" s="51">
        <f t="shared" si="165"/>
        <v>3.3020750262857143E-3</v>
      </c>
    </row>
    <row r="93" spans="2:66" x14ac:dyDescent="0.2">
      <c r="B93" t="s">
        <v>72</v>
      </c>
      <c r="C93" t="s">
        <v>13</v>
      </c>
      <c r="G93" s="65"/>
      <c r="H93" s="65"/>
      <c r="I93" s="65"/>
      <c r="J93" s="65"/>
      <c r="K93" s="65"/>
      <c r="L93" s="65"/>
      <c r="M93" s="65"/>
      <c r="N93" s="65">
        <f>$N$77</f>
        <v>3.2000000000000001E-2</v>
      </c>
      <c r="O93" s="65">
        <f>AA93</f>
        <v>2.1000000000000001E-2</v>
      </c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>
        <f>$AA$77</f>
        <v>2.1000000000000001E-2</v>
      </c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>
        <f>$AN$77</f>
        <v>0.02</v>
      </c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>
        <f>$BA$77</f>
        <v>0.02</v>
      </c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>
        <f>$BN$77</f>
        <v>0.02</v>
      </c>
    </row>
    <row r="94" spans="2:66" x14ac:dyDescent="0.2">
      <c r="B94" t="s">
        <v>23</v>
      </c>
      <c r="C94" t="s">
        <v>28</v>
      </c>
      <c r="G94" s="39">
        <f>ROUNDUP(G18/G79,0)</f>
        <v>9</v>
      </c>
      <c r="H94" s="39">
        <f t="shared" ref="H94:I94" si="166">ROUNDUP(H18/H79,0)</f>
        <v>9</v>
      </c>
      <c r="I94" s="39">
        <f t="shared" si="166"/>
        <v>9</v>
      </c>
      <c r="J94" s="39">
        <f>J18/J79</f>
        <v>8.1866666666666674</v>
      </c>
      <c r="K94" s="39">
        <f>K18/K79</f>
        <v>12.546666666666667</v>
      </c>
      <c r="L94" s="39">
        <f t="shared" ref="L94:BM94" si="167">L18/L79</f>
        <v>16.920000000000002</v>
      </c>
      <c r="M94" s="39">
        <f>M18/M79</f>
        <v>21.28</v>
      </c>
      <c r="N94" s="39">
        <f t="shared" si="167"/>
        <v>58.93333333333333</v>
      </c>
      <c r="O94" s="39">
        <f t="shared" si="167"/>
        <v>25.626666666666665</v>
      </c>
      <c r="P94" s="39">
        <f t="shared" si="167"/>
        <v>30.000001534881356</v>
      </c>
      <c r="Q94" s="39">
        <f t="shared" si="167"/>
        <v>30.000001534881356</v>
      </c>
      <c r="R94" s="39">
        <f t="shared" si="167"/>
        <v>30.000001534881356</v>
      </c>
      <c r="S94" s="39">
        <f t="shared" si="167"/>
        <v>30.000001534881356</v>
      </c>
      <c r="T94" s="39">
        <f t="shared" si="167"/>
        <v>30.000001534881356</v>
      </c>
      <c r="U94" s="39">
        <f t="shared" si="167"/>
        <v>30.000001534881356</v>
      </c>
      <c r="V94" s="39">
        <f t="shared" si="167"/>
        <v>30.000001534881356</v>
      </c>
      <c r="W94" s="39">
        <f t="shared" si="167"/>
        <v>30.000001534881356</v>
      </c>
      <c r="X94" s="39">
        <f>X18/X79</f>
        <v>30.000001534881356</v>
      </c>
      <c r="Y94" s="39">
        <f t="shared" si="167"/>
        <v>30.000001534881356</v>
      </c>
      <c r="Z94" s="39">
        <f t="shared" si="167"/>
        <v>30.000001534881356</v>
      </c>
      <c r="AA94" s="39">
        <f t="shared" si="167"/>
        <v>355.62668355036152</v>
      </c>
      <c r="AB94" s="39">
        <f t="shared" si="167"/>
        <v>30.000001534881356</v>
      </c>
      <c r="AC94" s="39">
        <f t="shared" si="167"/>
        <v>30.000001534881356</v>
      </c>
      <c r="AD94" s="39">
        <f t="shared" si="167"/>
        <v>31.573333333333334</v>
      </c>
      <c r="AE94" s="39">
        <f t="shared" si="167"/>
        <v>33.146666666666668</v>
      </c>
      <c r="AF94" s="39">
        <f t="shared" si="167"/>
        <v>34.733333333333334</v>
      </c>
      <c r="AG94" s="39">
        <f t="shared" si="167"/>
        <v>36.306666666666665</v>
      </c>
      <c r="AH94" s="39">
        <f t="shared" si="167"/>
        <v>37.880000000000003</v>
      </c>
      <c r="AI94" s="39">
        <f t="shared" si="167"/>
        <v>39.466666666666669</v>
      </c>
      <c r="AJ94" s="39">
        <f t="shared" si="167"/>
        <v>41.04</v>
      </c>
      <c r="AK94" s="39">
        <f t="shared" si="167"/>
        <v>42.613333333333337</v>
      </c>
      <c r="AL94" s="39">
        <f t="shared" si="167"/>
        <v>44.2</v>
      </c>
      <c r="AM94" s="39">
        <f t="shared" si="167"/>
        <v>45.773333333333333</v>
      </c>
      <c r="AN94" s="39">
        <f t="shared" si="167"/>
        <v>446.73333640309602</v>
      </c>
      <c r="AO94" s="39">
        <f t="shared" si="167"/>
        <v>47.36</v>
      </c>
      <c r="AP94" s="39">
        <f t="shared" si="167"/>
        <v>48.93333333333333</v>
      </c>
      <c r="AQ94" s="39">
        <f t="shared" si="167"/>
        <v>50.506666666666668</v>
      </c>
      <c r="AR94" s="39">
        <f t="shared" si="167"/>
        <v>52.093333333333334</v>
      </c>
      <c r="AS94" s="39">
        <f t="shared" si="167"/>
        <v>53.666666666666664</v>
      </c>
      <c r="AT94" s="39">
        <f t="shared" si="167"/>
        <v>55.24</v>
      </c>
      <c r="AU94" s="39">
        <f t="shared" si="167"/>
        <v>56.826666666666668</v>
      </c>
      <c r="AV94" s="39">
        <f t="shared" si="167"/>
        <v>60.000002232554664</v>
      </c>
      <c r="AW94" s="39">
        <f t="shared" si="167"/>
        <v>60.000002232554664</v>
      </c>
      <c r="AX94" s="39">
        <f t="shared" si="167"/>
        <v>60.000002232554664</v>
      </c>
      <c r="AY94" s="39">
        <f t="shared" si="167"/>
        <v>60.000002232554664</v>
      </c>
      <c r="AZ94" s="39">
        <f t="shared" si="167"/>
        <v>60.000002232554664</v>
      </c>
      <c r="BA94" s="39">
        <f t="shared" si="167"/>
        <v>664.62667782943981</v>
      </c>
      <c r="BB94" s="39">
        <f t="shared" si="167"/>
        <v>55.385556485786658</v>
      </c>
      <c r="BC94" s="39">
        <f t="shared" si="167"/>
        <v>55.385556485786658</v>
      </c>
      <c r="BD94" s="39">
        <f t="shared" si="167"/>
        <v>55.385556485786658</v>
      </c>
      <c r="BE94" s="39">
        <f t="shared" si="167"/>
        <v>55.385556485786658</v>
      </c>
      <c r="BF94" s="39">
        <f t="shared" si="167"/>
        <v>55.385556485786658</v>
      </c>
      <c r="BG94" s="39">
        <f t="shared" si="167"/>
        <v>55.385556485786658</v>
      </c>
      <c r="BH94" s="39">
        <f t="shared" si="167"/>
        <v>55.385556485786658</v>
      </c>
      <c r="BI94" s="39">
        <f t="shared" si="167"/>
        <v>55.385556485786658</v>
      </c>
      <c r="BJ94" s="39">
        <f t="shared" si="167"/>
        <v>55.385556485786658</v>
      </c>
      <c r="BK94" s="39">
        <f t="shared" si="167"/>
        <v>55.385556485786658</v>
      </c>
      <c r="BL94" s="39">
        <f t="shared" si="167"/>
        <v>55.385556485786658</v>
      </c>
      <c r="BM94" s="39">
        <f t="shared" si="167"/>
        <v>55.385556485786658</v>
      </c>
      <c r="BN94" s="39">
        <f>BN18/BN79</f>
        <v>664.62667782943981</v>
      </c>
    </row>
    <row r="95" spans="2:66" x14ac:dyDescent="0.2">
      <c r="B95" t="s">
        <v>34</v>
      </c>
      <c r="C95" t="s">
        <v>35</v>
      </c>
      <c r="G95" s="46">
        <f t="shared" ref="G95:M95" si="168">_xlfn.DAYS(G6,F6)/G96</f>
        <v>4.2857142857142856</v>
      </c>
      <c r="H95" s="46">
        <f t="shared" si="168"/>
        <v>4.4285714285714288</v>
      </c>
      <c r="I95" s="46">
        <f>_xlfn.DAYS(I6,H6)/I96</f>
        <v>4.4285714285714288</v>
      </c>
      <c r="J95" s="46">
        <f t="shared" si="168"/>
        <v>4.2857142857142856</v>
      </c>
      <c r="K95" s="46">
        <f t="shared" si="168"/>
        <v>4.4285714285714288</v>
      </c>
      <c r="L95" s="46">
        <f t="shared" si="168"/>
        <v>4.2857142857142856</v>
      </c>
      <c r="M95" s="46">
        <f t="shared" si="168"/>
        <v>4.4285714285714288</v>
      </c>
      <c r="N95" s="46"/>
      <c r="O95" s="46">
        <f>_xlfn.DAYS(O6,M6)/O96</f>
        <v>4.4285714285714288</v>
      </c>
      <c r="P95" s="46">
        <f t="shared" ref="P95:Z95" si="169">_xlfn.DAYS(P6,O6)/P96</f>
        <v>4</v>
      </c>
      <c r="Q95" s="46">
        <f t="shared" si="169"/>
        <v>4.4285714285714288</v>
      </c>
      <c r="R95" s="46">
        <f t="shared" si="169"/>
        <v>4.2857142857142856</v>
      </c>
      <c r="S95" s="46">
        <f t="shared" si="169"/>
        <v>4.4285714285714288</v>
      </c>
      <c r="T95" s="46">
        <f t="shared" si="169"/>
        <v>4.2857142857142856</v>
      </c>
      <c r="U95" s="46">
        <f t="shared" si="169"/>
        <v>4.4285714285714288</v>
      </c>
      <c r="V95" s="46">
        <f t="shared" si="169"/>
        <v>4.4285714285714288</v>
      </c>
      <c r="W95" s="46">
        <f t="shared" si="169"/>
        <v>4.2857142857142856</v>
      </c>
      <c r="X95" s="46">
        <f t="shared" si="169"/>
        <v>4.4285714285714288</v>
      </c>
      <c r="Y95" s="46">
        <f t="shared" si="169"/>
        <v>4.2857142857142856</v>
      </c>
      <c r="Z95" s="46">
        <f t="shared" si="169"/>
        <v>4.4285714285714288</v>
      </c>
      <c r="AA95" s="46">
        <f>AVERAGE(O95:Z95)</f>
        <v>4.3452380952380958</v>
      </c>
      <c r="AB95" s="46">
        <f>_xlfn.DAYS(AB6,Z6)/AB96</f>
        <v>4.4285714285714288</v>
      </c>
      <c r="AC95" s="46">
        <f t="shared" ref="AC95:AM95" si="170">_xlfn.DAYS(AC6,AB6)/AC96</f>
        <v>4</v>
      </c>
      <c r="AD95" s="46">
        <f t="shared" si="170"/>
        <v>4.4285714285714288</v>
      </c>
      <c r="AE95" s="46">
        <f t="shared" si="170"/>
        <v>4.2857142857142856</v>
      </c>
      <c r="AF95" s="46">
        <f t="shared" si="170"/>
        <v>4.4285714285714288</v>
      </c>
      <c r="AG95" s="46">
        <f t="shared" si="170"/>
        <v>4.2857142857142856</v>
      </c>
      <c r="AH95" s="46">
        <f t="shared" si="170"/>
        <v>4.4285714285714288</v>
      </c>
      <c r="AI95" s="46">
        <f t="shared" si="170"/>
        <v>4.4285714285714288</v>
      </c>
      <c r="AJ95" s="46">
        <f t="shared" si="170"/>
        <v>4.2857142857142856</v>
      </c>
      <c r="AK95" s="46">
        <f t="shared" si="170"/>
        <v>4.4285714285714288</v>
      </c>
      <c r="AL95" s="46">
        <f t="shared" si="170"/>
        <v>4.2857142857142856</v>
      </c>
      <c r="AM95" s="46">
        <f t="shared" si="170"/>
        <v>4.4285714285714288</v>
      </c>
      <c r="AN95" s="46">
        <f>AVERAGE(AB95:AM95)</f>
        <v>4.3452380952380958</v>
      </c>
      <c r="AO95" s="46">
        <f>_xlfn.DAYS(AO6,AM6)/AO96</f>
        <v>4.4285714285714288</v>
      </c>
      <c r="AP95" s="46">
        <f t="shared" ref="AP95:AZ95" si="171">_xlfn.DAYS(AP6,AO6)/AP96</f>
        <v>4.1428571428571432</v>
      </c>
      <c r="AQ95" s="46">
        <f t="shared" si="171"/>
        <v>4.4285714285714288</v>
      </c>
      <c r="AR95" s="46">
        <f t="shared" si="171"/>
        <v>4.2857142857142856</v>
      </c>
      <c r="AS95" s="46">
        <f t="shared" si="171"/>
        <v>4.4285714285714288</v>
      </c>
      <c r="AT95" s="46">
        <f t="shared" si="171"/>
        <v>4.2857142857142856</v>
      </c>
      <c r="AU95" s="46">
        <f t="shared" si="171"/>
        <v>4.4285714285714288</v>
      </c>
      <c r="AV95" s="46">
        <f t="shared" si="171"/>
        <v>4.4285714285714288</v>
      </c>
      <c r="AW95" s="46">
        <f t="shared" si="171"/>
        <v>4.2857142857142856</v>
      </c>
      <c r="AX95" s="46">
        <f t="shared" si="171"/>
        <v>4.4285714285714288</v>
      </c>
      <c r="AY95" s="46">
        <f t="shared" si="171"/>
        <v>4.2857142857142856</v>
      </c>
      <c r="AZ95" s="46">
        <f t="shared" si="171"/>
        <v>4.4285714285714288</v>
      </c>
      <c r="BA95" s="46">
        <f>AVERAGE(AO95:AZ95)</f>
        <v>4.3571428571428577</v>
      </c>
      <c r="BB95" s="46">
        <f>_xlfn.DAYS(BB6,AZ6)/BB96</f>
        <v>4.4285714285714288</v>
      </c>
      <c r="BC95" s="46">
        <f t="shared" ref="BC95:BM95" si="172">_xlfn.DAYS(BC6,BB6)/BC96</f>
        <v>4</v>
      </c>
      <c r="BD95" s="46">
        <f t="shared" si="172"/>
        <v>4.4285714285714288</v>
      </c>
      <c r="BE95" s="46">
        <f t="shared" si="172"/>
        <v>4.2857142857142856</v>
      </c>
      <c r="BF95" s="46">
        <f t="shared" si="172"/>
        <v>4.4285714285714288</v>
      </c>
      <c r="BG95" s="46">
        <f t="shared" si="172"/>
        <v>4.2857142857142856</v>
      </c>
      <c r="BH95" s="46">
        <f t="shared" si="172"/>
        <v>4.4285714285714288</v>
      </c>
      <c r="BI95" s="46">
        <f t="shared" si="172"/>
        <v>4.4285714285714288</v>
      </c>
      <c r="BJ95" s="46">
        <f t="shared" si="172"/>
        <v>4.2857142857142856</v>
      </c>
      <c r="BK95" s="46">
        <f t="shared" si="172"/>
        <v>4.4285714285714288</v>
      </c>
      <c r="BL95" s="46">
        <f t="shared" si="172"/>
        <v>4.2857142857142856</v>
      </c>
      <c r="BM95" s="46">
        <f t="shared" si="172"/>
        <v>4.4285714285714288</v>
      </c>
      <c r="BN95" s="46">
        <f>AVERAGE(BB95:BM95)</f>
        <v>4.3452380952380958</v>
      </c>
    </row>
    <row r="96" spans="2:66" x14ac:dyDescent="0.2">
      <c r="B96" t="s">
        <v>43</v>
      </c>
      <c r="C96" t="s">
        <v>51</v>
      </c>
      <c r="G96" s="23">
        <v>7</v>
      </c>
      <c r="H96" s="23">
        <v>7</v>
      </c>
      <c r="I96" s="23">
        <v>7</v>
      </c>
      <c r="J96" s="23">
        <v>7</v>
      </c>
      <c r="K96" s="23">
        <v>7</v>
      </c>
      <c r="L96" s="23">
        <v>7</v>
      </c>
      <c r="M96" s="23">
        <v>7</v>
      </c>
      <c r="N96" s="23">
        <v>7</v>
      </c>
      <c r="O96" s="23">
        <v>7</v>
      </c>
      <c r="P96" s="23">
        <v>7</v>
      </c>
      <c r="Q96" s="23">
        <v>7</v>
      </c>
      <c r="R96" s="23">
        <v>7</v>
      </c>
      <c r="S96" s="23">
        <v>7</v>
      </c>
      <c r="T96" s="23">
        <v>7</v>
      </c>
      <c r="U96" s="23">
        <v>7</v>
      </c>
      <c r="V96" s="23">
        <v>7</v>
      </c>
      <c r="W96" s="23">
        <v>7</v>
      </c>
      <c r="X96" s="23">
        <v>7</v>
      </c>
      <c r="Y96" s="23">
        <v>7</v>
      </c>
      <c r="Z96" s="23">
        <v>7</v>
      </c>
      <c r="AA96" s="23">
        <v>7</v>
      </c>
      <c r="AB96" s="23">
        <v>7</v>
      </c>
      <c r="AC96" s="23">
        <v>7</v>
      </c>
      <c r="AD96" s="23">
        <v>7</v>
      </c>
      <c r="AE96" s="23">
        <v>7</v>
      </c>
      <c r="AF96" s="23">
        <v>7</v>
      </c>
      <c r="AG96" s="23">
        <v>7</v>
      </c>
      <c r="AH96" s="23">
        <v>7</v>
      </c>
      <c r="AI96" s="23">
        <v>7</v>
      </c>
      <c r="AJ96" s="23">
        <v>7</v>
      </c>
      <c r="AK96" s="23">
        <v>7</v>
      </c>
      <c r="AL96" s="23">
        <v>7</v>
      </c>
      <c r="AM96" s="23">
        <v>7</v>
      </c>
      <c r="AN96" s="23">
        <v>7</v>
      </c>
      <c r="AO96" s="23">
        <v>7</v>
      </c>
      <c r="AP96" s="23">
        <v>7</v>
      </c>
      <c r="AQ96" s="23">
        <v>7</v>
      </c>
      <c r="AR96" s="23">
        <v>7</v>
      </c>
      <c r="AS96" s="23">
        <v>7</v>
      </c>
      <c r="AT96" s="23">
        <v>7</v>
      </c>
      <c r="AU96" s="23">
        <v>7</v>
      </c>
      <c r="AV96" s="23">
        <v>7</v>
      </c>
      <c r="AW96" s="23">
        <v>7</v>
      </c>
      <c r="AX96" s="23">
        <v>7</v>
      </c>
      <c r="AY96" s="23">
        <v>7</v>
      </c>
      <c r="AZ96" s="23">
        <v>7</v>
      </c>
      <c r="BA96" s="23">
        <v>7</v>
      </c>
      <c r="BB96" s="23">
        <v>7</v>
      </c>
      <c r="BC96" s="23">
        <v>7</v>
      </c>
      <c r="BD96" s="23">
        <v>7</v>
      </c>
      <c r="BE96" s="23">
        <v>7</v>
      </c>
      <c r="BF96" s="23">
        <v>7</v>
      </c>
      <c r="BG96" s="23">
        <v>7</v>
      </c>
      <c r="BH96" s="23">
        <v>7</v>
      </c>
      <c r="BI96" s="23">
        <v>7</v>
      </c>
      <c r="BJ96" s="23">
        <v>7</v>
      </c>
      <c r="BK96" s="23">
        <v>7</v>
      </c>
      <c r="BL96" s="23">
        <v>7</v>
      </c>
      <c r="BM96" s="23">
        <v>7</v>
      </c>
      <c r="BN96" s="23">
        <v>7</v>
      </c>
    </row>
    <row r="97" spans="2:66" x14ac:dyDescent="0.2">
      <c r="G97" s="24"/>
      <c r="H97" s="24"/>
      <c r="I97" s="24"/>
      <c r="J97" s="24"/>
      <c r="K97" s="24"/>
      <c r="L97" s="24"/>
      <c r="M97" s="24"/>
      <c r="N97" s="23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</row>
    <row r="99" spans="2:66" x14ac:dyDescent="0.2">
      <c r="B99" s="6" t="s">
        <v>56</v>
      </c>
    </row>
    <row r="100" spans="2:66" x14ac:dyDescent="0.2">
      <c r="B100" t="s">
        <v>31</v>
      </c>
      <c r="C100" t="s">
        <v>33</v>
      </c>
      <c r="G100" s="81">
        <f t="shared" ref="G100:AL100" si="173">G89</f>
        <v>1.6</v>
      </c>
      <c r="H100" s="81">
        <f t="shared" si="173"/>
        <v>1.6</v>
      </c>
      <c r="I100" s="81">
        <f t="shared" si="173"/>
        <v>1.6</v>
      </c>
      <c r="J100" s="81">
        <f t="shared" si="173"/>
        <v>1.6</v>
      </c>
      <c r="K100" s="81">
        <f t="shared" si="173"/>
        <v>1.6</v>
      </c>
      <c r="L100" s="81">
        <f t="shared" si="173"/>
        <v>1.6</v>
      </c>
      <c r="M100" s="81">
        <f t="shared" si="173"/>
        <v>1.6</v>
      </c>
      <c r="N100" s="81">
        <f t="shared" si="173"/>
        <v>1.6</v>
      </c>
      <c r="O100" s="81">
        <f>N100</f>
        <v>1.6</v>
      </c>
      <c r="P100" s="81">
        <f>O100</f>
        <v>1.6</v>
      </c>
      <c r="Q100" s="81">
        <f>Q89</f>
        <v>1.6335999999999999</v>
      </c>
      <c r="R100" s="81">
        <f t="shared" si="173"/>
        <v>1.6335999999999999</v>
      </c>
      <c r="S100" s="81">
        <f t="shared" si="173"/>
        <v>1.6335999999999999</v>
      </c>
      <c r="T100" s="81">
        <f t="shared" si="173"/>
        <v>1.6335999999999999</v>
      </c>
      <c r="U100" s="81">
        <f t="shared" si="173"/>
        <v>1.6335999999999999</v>
      </c>
      <c r="V100" s="81">
        <f t="shared" si="173"/>
        <v>1.6335999999999999</v>
      </c>
      <c r="W100" s="81">
        <f t="shared" si="173"/>
        <v>1.6335999999999999</v>
      </c>
      <c r="X100" s="81">
        <f t="shared" si="173"/>
        <v>1.6335999999999999</v>
      </c>
      <c r="Y100" s="81">
        <f t="shared" si="173"/>
        <v>1.6335999999999999</v>
      </c>
      <c r="Z100" s="81">
        <f t="shared" si="173"/>
        <v>1.6335999999999999</v>
      </c>
      <c r="AA100" s="81">
        <f t="shared" si="173"/>
        <v>1.6335999999999999</v>
      </c>
      <c r="AB100" s="81">
        <f t="shared" si="173"/>
        <v>1.666272</v>
      </c>
      <c r="AC100" s="81">
        <f t="shared" si="173"/>
        <v>1.666272</v>
      </c>
      <c r="AD100" s="81">
        <f t="shared" si="173"/>
        <v>1.666272</v>
      </c>
      <c r="AE100" s="81">
        <f t="shared" si="173"/>
        <v>1.666272</v>
      </c>
      <c r="AF100" s="81">
        <f t="shared" si="173"/>
        <v>1.666272</v>
      </c>
      <c r="AG100" s="81">
        <f t="shared" si="173"/>
        <v>1.666272</v>
      </c>
      <c r="AH100" s="81">
        <f t="shared" si="173"/>
        <v>1.666272</v>
      </c>
      <c r="AI100" s="81">
        <f t="shared" si="173"/>
        <v>1.666272</v>
      </c>
      <c r="AJ100" s="81">
        <f t="shared" si="173"/>
        <v>1.666272</v>
      </c>
      <c r="AK100" s="81">
        <f t="shared" si="173"/>
        <v>1.666272</v>
      </c>
      <c r="AL100" s="81">
        <f t="shared" si="173"/>
        <v>1.666272</v>
      </c>
      <c r="AM100" s="81">
        <f t="shared" ref="AM100:BN100" si="174">AM89</f>
        <v>1.666272</v>
      </c>
      <c r="AN100" s="81">
        <f t="shared" si="174"/>
        <v>1.666272</v>
      </c>
      <c r="AO100" s="81">
        <f t="shared" si="174"/>
        <v>1.69959744</v>
      </c>
      <c r="AP100" s="81">
        <f t="shared" si="174"/>
        <v>1.69959744</v>
      </c>
      <c r="AQ100" s="81">
        <f t="shared" si="174"/>
        <v>1.69959744</v>
      </c>
      <c r="AR100" s="81">
        <f t="shared" si="174"/>
        <v>1.69959744</v>
      </c>
      <c r="AS100" s="81">
        <f t="shared" si="174"/>
        <v>1.69959744</v>
      </c>
      <c r="AT100" s="81">
        <f t="shared" si="174"/>
        <v>1.69959744</v>
      </c>
      <c r="AU100" s="81">
        <f t="shared" si="174"/>
        <v>1.69959744</v>
      </c>
      <c r="AV100" s="81">
        <f t="shared" si="174"/>
        <v>1.69959744</v>
      </c>
      <c r="AW100" s="81">
        <f t="shared" si="174"/>
        <v>1.69959744</v>
      </c>
      <c r="AX100" s="81">
        <f t="shared" si="174"/>
        <v>1.69959744</v>
      </c>
      <c r="AY100" s="81">
        <f t="shared" si="174"/>
        <v>1.69959744</v>
      </c>
      <c r="AZ100" s="81">
        <f t="shared" si="174"/>
        <v>1.69959744</v>
      </c>
      <c r="BA100" s="81">
        <f t="shared" si="174"/>
        <v>1.69959744</v>
      </c>
      <c r="BB100" s="81">
        <f t="shared" si="174"/>
        <v>1.7335893888</v>
      </c>
      <c r="BC100" s="81">
        <f t="shared" si="174"/>
        <v>1.7335893888</v>
      </c>
      <c r="BD100" s="81">
        <f t="shared" si="174"/>
        <v>1.7335893888</v>
      </c>
      <c r="BE100" s="81">
        <f t="shared" si="174"/>
        <v>1.7335893888</v>
      </c>
      <c r="BF100" s="81">
        <f t="shared" si="174"/>
        <v>1.7335893888</v>
      </c>
      <c r="BG100" s="81">
        <f t="shared" si="174"/>
        <v>1.7335893888</v>
      </c>
      <c r="BH100" s="81">
        <f t="shared" si="174"/>
        <v>1.7335893888</v>
      </c>
      <c r="BI100" s="81">
        <f t="shared" si="174"/>
        <v>1.7335893888</v>
      </c>
      <c r="BJ100" s="81">
        <f t="shared" si="174"/>
        <v>1.7335893888</v>
      </c>
      <c r="BK100" s="81">
        <f t="shared" si="174"/>
        <v>1.7335893888</v>
      </c>
      <c r="BL100" s="81">
        <f t="shared" si="174"/>
        <v>1.7335893888</v>
      </c>
      <c r="BM100" s="81">
        <f t="shared" si="174"/>
        <v>1.7335893888</v>
      </c>
      <c r="BN100" s="81">
        <f t="shared" si="174"/>
        <v>1.7335893888</v>
      </c>
    </row>
    <row r="101" spans="2:66" x14ac:dyDescent="0.2">
      <c r="B101" t="s">
        <v>31</v>
      </c>
      <c r="C101" t="s">
        <v>50</v>
      </c>
      <c r="G101" s="50">
        <f t="shared" ref="G101:AL101" si="175">G90</f>
        <v>0.22857142857142859</v>
      </c>
      <c r="H101" s="50">
        <f t="shared" si="175"/>
        <v>0.22857142857142859</v>
      </c>
      <c r="I101" s="50">
        <f t="shared" si="175"/>
        <v>0.22857142857142859</v>
      </c>
      <c r="J101" s="50">
        <f t="shared" si="175"/>
        <v>0.22857142857142859</v>
      </c>
      <c r="K101" s="50">
        <f t="shared" si="175"/>
        <v>0.22857142857142859</v>
      </c>
      <c r="L101" s="50">
        <f t="shared" si="175"/>
        <v>0.22857142857142859</v>
      </c>
      <c r="M101" s="50">
        <f>M90</f>
        <v>0.22857142857142859</v>
      </c>
      <c r="N101" s="50">
        <f t="shared" si="175"/>
        <v>0.22857142857142859</v>
      </c>
      <c r="O101" s="50">
        <f t="shared" si="175"/>
        <v>0.22857142857142859</v>
      </c>
      <c r="P101" s="50">
        <f t="shared" si="175"/>
        <v>0.22857142857142859</v>
      </c>
      <c r="Q101" s="50">
        <f t="shared" si="175"/>
        <v>0.23337142857142856</v>
      </c>
      <c r="R101" s="50">
        <f t="shared" si="175"/>
        <v>0.23337142857142856</v>
      </c>
      <c r="S101" s="50">
        <f t="shared" si="175"/>
        <v>0.23337142857142856</v>
      </c>
      <c r="T101" s="50">
        <f t="shared" si="175"/>
        <v>0.23337142857142856</v>
      </c>
      <c r="U101" s="50">
        <f t="shared" si="175"/>
        <v>0.23337142857142856</v>
      </c>
      <c r="V101" s="50">
        <f t="shared" si="175"/>
        <v>0.23337142857142856</v>
      </c>
      <c r="W101" s="50">
        <f t="shared" si="175"/>
        <v>0.23337142857142856</v>
      </c>
      <c r="X101" s="50">
        <f t="shared" si="175"/>
        <v>0.23337142857142856</v>
      </c>
      <c r="Y101" s="50">
        <f t="shared" si="175"/>
        <v>0.23337142857142856</v>
      </c>
      <c r="Z101" s="50">
        <f t="shared" si="175"/>
        <v>0.23337142857142856</v>
      </c>
      <c r="AA101" s="50">
        <f t="shared" si="175"/>
        <v>0.23337142857142856</v>
      </c>
      <c r="AB101" s="50">
        <f t="shared" si="175"/>
        <v>0.23803885714285714</v>
      </c>
      <c r="AC101" s="50">
        <f t="shared" si="175"/>
        <v>0.23803885714285714</v>
      </c>
      <c r="AD101" s="50">
        <f t="shared" si="175"/>
        <v>0.23803885714285714</v>
      </c>
      <c r="AE101" s="50">
        <f t="shared" si="175"/>
        <v>0.23803885714285714</v>
      </c>
      <c r="AF101" s="50">
        <f t="shared" si="175"/>
        <v>0.23803885714285714</v>
      </c>
      <c r="AG101" s="50">
        <f t="shared" si="175"/>
        <v>0.23803885714285714</v>
      </c>
      <c r="AH101" s="50">
        <f t="shared" si="175"/>
        <v>0.23803885714285714</v>
      </c>
      <c r="AI101" s="50">
        <f t="shared" si="175"/>
        <v>0.23803885714285714</v>
      </c>
      <c r="AJ101" s="50">
        <f t="shared" si="175"/>
        <v>0.23803885714285714</v>
      </c>
      <c r="AK101" s="50">
        <f t="shared" si="175"/>
        <v>0.23803885714285714</v>
      </c>
      <c r="AL101" s="50">
        <f t="shared" si="175"/>
        <v>0.23803885714285714</v>
      </c>
      <c r="AM101" s="50">
        <f t="shared" ref="AM101:BN101" si="176">AM90</f>
        <v>0.23803885714285714</v>
      </c>
      <c r="AN101" s="50">
        <f t="shared" si="176"/>
        <v>0.23803885714285714</v>
      </c>
      <c r="AO101" s="50">
        <f t="shared" si="176"/>
        <v>0.2427996342857143</v>
      </c>
      <c r="AP101" s="50">
        <f t="shared" si="176"/>
        <v>0.2427996342857143</v>
      </c>
      <c r="AQ101" s="50">
        <f t="shared" si="176"/>
        <v>0.2427996342857143</v>
      </c>
      <c r="AR101" s="50">
        <f t="shared" si="176"/>
        <v>0.2427996342857143</v>
      </c>
      <c r="AS101" s="50">
        <f t="shared" si="176"/>
        <v>0.2427996342857143</v>
      </c>
      <c r="AT101" s="50">
        <f t="shared" si="176"/>
        <v>0.2427996342857143</v>
      </c>
      <c r="AU101" s="50">
        <f t="shared" si="176"/>
        <v>0.2427996342857143</v>
      </c>
      <c r="AV101" s="50">
        <f t="shared" si="176"/>
        <v>0.2427996342857143</v>
      </c>
      <c r="AW101" s="50">
        <f t="shared" si="176"/>
        <v>0.2427996342857143</v>
      </c>
      <c r="AX101" s="50">
        <f t="shared" si="176"/>
        <v>0.2427996342857143</v>
      </c>
      <c r="AY101" s="50">
        <f t="shared" si="176"/>
        <v>0.2427996342857143</v>
      </c>
      <c r="AZ101" s="50">
        <f t="shared" si="176"/>
        <v>0.2427996342857143</v>
      </c>
      <c r="BA101" s="50">
        <f t="shared" si="176"/>
        <v>0.2427996342857143</v>
      </c>
      <c r="BB101" s="50">
        <f t="shared" si="176"/>
        <v>0.24765562697142857</v>
      </c>
      <c r="BC101" s="50">
        <f t="shared" si="176"/>
        <v>0.24765562697142857</v>
      </c>
      <c r="BD101" s="50">
        <f t="shared" si="176"/>
        <v>0.24765562697142857</v>
      </c>
      <c r="BE101" s="50">
        <f t="shared" si="176"/>
        <v>0.24765562697142857</v>
      </c>
      <c r="BF101" s="50">
        <f t="shared" si="176"/>
        <v>0.24765562697142857</v>
      </c>
      <c r="BG101" s="50">
        <f t="shared" si="176"/>
        <v>0.24765562697142857</v>
      </c>
      <c r="BH101" s="50">
        <f t="shared" si="176"/>
        <v>0.24765562697142857</v>
      </c>
      <c r="BI101" s="50">
        <f t="shared" si="176"/>
        <v>0.24765562697142857</v>
      </c>
      <c r="BJ101" s="50">
        <f t="shared" si="176"/>
        <v>0.24765562697142857</v>
      </c>
      <c r="BK101" s="50">
        <f t="shared" si="176"/>
        <v>0.24765562697142857</v>
      </c>
      <c r="BL101" s="50">
        <f t="shared" si="176"/>
        <v>0.24765562697142857</v>
      </c>
      <c r="BM101" s="50">
        <f t="shared" si="176"/>
        <v>0.24765562697142857</v>
      </c>
      <c r="BN101" s="50">
        <f t="shared" si="176"/>
        <v>0.24765562697142857</v>
      </c>
    </row>
    <row r="102" spans="2:66" x14ac:dyDescent="0.2">
      <c r="B102" t="s">
        <v>31</v>
      </c>
      <c r="C102" t="s">
        <v>54</v>
      </c>
      <c r="G102" s="50">
        <f t="shared" ref="G102:AL102" si="177">G91</f>
        <v>2.1333333333333336E-2</v>
      </c>
      <c r="H102" s="50">
        <f t="shared" si="177"/>
        <v>2.1333333333333336E-2</v>
      </c>
      <c r="I102" s="50">
        <f t="shared" si="177"/>
        <v>2.1333333333333336E-2</v>
      </c>
      <c r="J102" s="50">
        <f t="shared" si="177"/>
        <v>2.1333333333333336E-2</v>
      </c>
      <c r="K102" s="50">
        <f t="shared" si="177"/>
        <v>2.1333333333333336E-2</v>
      </c>
      <c r="L102" s="50">
        <f t="shared" si="177"/>
        <v>2.1333333333333336E-2</v>
      </c>
      <c r="M102" s="50">
        <f t="shared" si="177"/>
        <v>2.1333333333333336E-2</v>
      </c>
      <c r="N102" s="50">
        <f t="shared" si="177"/>
        <v>2.1333333333333336E-2</v>
      </c>
      <c r="O102" s="50">
        <f t="shared" si="177"/>
        <v>2.1333333333333336E-2</v>
      </c>
      <c r="P102" s="50">
        <f t="shared" si="177"/>
        <v>2.1333333333333336E-2</v>
      </c>
      <c r="Q102" s="50">
        <f t="shared" si="177"/>
        <v>2.1781333333333333E-2</v>
      </c>
      <c r="R102" s="50">
        <f t="shared" si="177"/>
        <v>2.1781333333333333E-2</v>
      </c>
      <c r="S102" s="50">
        <f t="shared" si="177"/>
        <v>2.1781333333333333E-2</v>
      </c>
      <c r="T102" s="50">
        <f t="shared" si="177"/>
        <v>2.1781333333333333E-2</v>
      </c>
      <c r="U102" s="50">
        <f t="shared" si="177"/>
        <v>2.1781333333333333E-2</v>
      </c>
      <c r="V102" s="50">
        <f t="shared" si="177"/>
        <v>2.1781333333333333E-2</v>
      </c>
      <c r="W102" s="50">
        <f t="shared" si="177"/>
        <v>2.1781333333333333E-2</v>
      </c>
      <c r="X102" s="50">
        <f t="shared" si="177"/>
        <v>2.1781333333333333E-2</v>
      </c>
      <c r="Y102" s="50">
        <f t="shared" si="177"/>
        <v>2.1781333333333333E-2</v>
      </c>
      <c r="Z102" s="50">
        <f t="shared" si="177"/>
        <v>2.1781333333333333E-2</v>
      </c>
      <c r="AA102" s="50">
        <f t="shared" si="177"/>
        <v>2.1781333333333333E-2</v>
      </c>
      <c r="AB102" s="50">
        <f t="shared" si="177"/>
        <v>2.2216960000000001E-2</v>
      </c>
      <c r="AC102" s="50">
        <f t="shared" si="177"/>
        <v>2.2216960000000001E-2</v>
      </c>
      <c r="AD102" s="50">
        <f t="shared" si="177"/>
        <v>2.2216960000000001E-2</v>
      </c>
      <c r="AE102" s="50">
        <f t="shared" si="177"/>
        <v>2.2216960000000001E-2</v>
      </c>
      <c r="AF102" s="50">
        <f t="shared" si="177"/>
        <v>2.2216960000000001E-2</v>
      </c>
      <c r="AG102" s="50">
        <f t="shared" si="177"/>
        <v>2.2216960000000001E-2</v>
      </c>
      <c r="AH102" s="50">
        <f t="shared" si="177"/>
        <v>2.2216960000000001E-2</v>
      </c>
      <c r="AI102" s="50">
        <f t="shared" si="177"/>
        <v>2.2216960000000001E-2</v>
      </c>
      <c r="AJ102" s="50">
        <f t="shared" si="177"/>
        <v>2.2216960000000001E-2</v>
      </c>
      <c r="AK102" s="50">
        <f t="shared" si="177"/>
        <v>2.2216960000000001E-2</v>
      </c>
      <c r="AL102" s="50">
        <f t="shared" si="177"/>
        <v>2.2216960000000001E-2</v>
      </c>
      <c r="AM102" s="50">
        <f t="shared" ref="AM102:BN102" si="178">AM91</f>
        <v>2.2216960000000001E-2</v>
      </c>
      <c r="AN102" s="50">
        <f t="shared" si="178"/>
        <v>2.2216960000000001E-2</v>
      </c>
      <c r="AO102" s="50">
        <f t="shared" si="178"/>
        <v>2.2661299199999999E-2</v>
      </c>
      <c r="AP102" s="50">
        <f t="shared" si="178"/>
        <v>2.2661299199999999E-2</v>
      </c>
      <c r="AQ102" s="50">
        <f t="shared" si="178"/>
        <v>2.2661299199999999E-2</v>
      </c>
      <c r="AR102" s="50">
        <f t="shared" si="178"/>
        <v>2.2661299199999999E-2</v>
      </c>
      <c r="AS102" s="50">
        <f t="shared" si="178"/>
        <v>2.2661299199999999E-2</v>
      </c>
      <c r="AT102" s="50">
        <f t="shared" si="178"/>
        <v>2.2661299199999999E-2</v>
      </c>
      <c r="AU102" s="50">
        <f t="shared" si="178"/>
        <v>2.2661299199999999E-2</v>
      </c>
      <c r="AV102" s="50">
        <f t="shared" si="178"/>
        <v>2.2661299199999999E-2</v>
      </c>
      <c r="AW102" s="50">
        <f t="shared" si="178"/>
        <v>2.2661299199999999E-2</v>
      </c>
      <c r="AX102" s="50">
        <f t="shared" si="178"/>
        <v>2.2661299199999999E-2</v>
      </c>
      <c r="AY102" s="50">
        <f t="shared" si="178"/>
        <v>2.2661299199999999E-2</v>
      </c>
      <c r="AZ102" s="50">
        <f t="shared" si="178"/>
        <v>2.2661299199999999E-2</v>
      </c>
      <c r="BA102" s="50">
        <f t="shared" si="178"/>
        <v>2.2661299199999999E-2</v>
      </c>
      <c r="BB102" s="50">
        <f t="shared" si="178"/>
        <v>2.3114525184E-2</v>
      </c>
      <c r="BC102" s="50">
        <f t="shared" si="178"/>
        <v>2.3114525184E-2</v>
      </c>
      <c r="BD102" s="50">
        <f t="shared" si="178"/>
        <v>2.3114525184E-2</v>
      </c>
      <c r="BE102" s="50">
        <f t="shared" si="178"/>
        <v>2.3114525184E-2</v>
      </c>
      <c r="BF102" s="50">
        <f t="shared" si="178"/>
        <v>2.3114525184E-2</v>
      </c>
      <c r="BG102" s="50">
        <f t="shared" si="178"/>
        <v>2.3114525184E-2</v>
      </c>
      <c r="BH102" s="50">
        <f t="shared" si="178"/>
        <v>2.3114525184E-2</v>
      </c>
      <c r="BI102" s="50">
        <f t="shared" si="178"/>
        <v>2.3114525184E-2</v>
      </c>
      <c r="BJ102" s="50">
        <f t="shared" si="178"/>
        <v>2.3114525184E-2</v>
      </c>
      <c r="BK102" s="50">
        <f t="shared" si="178"/>
        <v>2.3114525184E-2</v>
      </c>
      <c r="BL102" s="50">
        <f t="shared" si="178"/>
        <v>2.3114525184E-2</v>
      </c>
      <c r="BM102" s="50">
        <f t="shared" si="178"/>
        <v>2.3114525184E-2</v>
      </c>
      <c r="BN102" s="50">
        <f t="shared" si="178"/>
        <v>2.3114525184E-2</v>
      </c>
    </row>
    <row r="103" spans="2:66" x14ac:dyDescent="0.2">
      <c r="B103" t="s">
        <v>31</v>
      </c>
      <c r="C103" t="s">
        <v>55</v>
      </c>
      <c r="G103" s="51">
        <f t="shared" ref="G103:AL103" si="179">G92</f>
        <v>3.0476190476190481E-3</v>
      </c>
      <c r="H103" s="51">
        <f t="shared" si="179"/>
        <v>3.0476190476190481E-3</v>
      </c>
      <c r="I103" s="51">
        <f t="shared" si="179"/>
        <v>3.0476190476190481E-3</v>
      </c>
      <c r="J103" s="51">
        <f t="shared" si="179"/>
        <v>3.0476190476190481E-3</v>
      </c>
      <c r="K103" s="51">
        <f t="shared" si="179"/>
        <v>3.0476190476190481E-3</v>
      </c>
      <c r="L103" s="51">
        <f t="shared" si="179"/>
        <v>3.0476190476190481E-3</v>
      </c>
      <c r="M103" s="51">
        <f t="shared" si="179"/>
        <v>3.0476190476190481E-3</v>
      </c>
      <c r="N103" s="51">
        <f t="shared" si="179"/>
        <v>3.0476190476190481E-3</v>
      </c>
      <c r="O103" s="51">
        <f t="shared" si="179"/>
        <v>3.0476190476190481E-3</v>
      </c>
      <c r="P103" s="51">
        <f t="shared" si="179"/>
        <v>3.0476190476190481E-3</v>
      </c>
      <c r="Q103" s="51">
        <f t="shared" si="179"/>
        <v>3.1116190476190475E-3</v>
      </c>
      <c r="R103" s="51">
        <f t="shared" si="179"/>
        <v>3.1116190476190475E-3</v>
      </c>
      <c r="S103" s="51">
        <f t="shared" si="179"/>
        <v>3.1116190476190475E-3</v>
      </c>
      <c r="T103" s="51">
        <f t="shared" si="179"/>
        <v>3.1116190476190475E-3</v>
      </c>
      <c r="U103" s="51">
        <f t="shared" si="179"/>
        <v>3.1116190476190475E-3</v>
      </c>
      <c r="V103" s="51">
        <f t="shared" si="179"/>
        <v>3.1116190476190475E-3</v>
      </c>
      <c r="W103" s="51">
        <f t="shared" si="179"/>
        <v>3.1116190476190475E-3</v>
      </c>
      <c r="X103" s="51">
        <f t="shared" si="179"/>
        <v>3.1116190476190475E-3</v>
      </c>
      <c r="Y103" s="51">
        <f t="shared" si="179"/>
        <v>3.1116190476190475E-3</v>
      </c>
      <c r="Z103" s="51">
        <f t="shared" si="179"/>
        <v>3.1116190476190475E-3</v>
      </c>
      <c r="AA103" s="51">
        <f t="shared" si="179"/>
        <v>3.1116190476190475E-3</v>
      </c>
      <c r="AB103" s="51">
        <f t="shared" si="179"/>
        <v>3.1738514285714289E-3</v>
      </c>
      <c r="AC103" s="51">
        <f t="shared" si="179"/>
        <v>3.1738514285714289E-3</v>
      </c>
      <c r="AD103" s="51">
        <f t="shared" si="179"/>
        <v>3.1738514285714289E-3</v>
      </c>
      <c r="AE103" s="51">
        <f t="shared" si="179"/>
        <v>3.1738514285714289E-3</v>
      </c>
      <c r="AF103" s="51">
        <f t="shared" si="179"/>
        <v>3.1738514285714289E-3</v>
      </c>
      <c r="AG103" s="51">
        <f t="shared" si="179"/>
        <v>3.1738514285714289E-3</v>
      </c>
      <c r="AH103" s="51">
        <f t="shared" si="179"/>
        <v>3.1738514285714289E-3</v>
      </c>
      <c r="AI103" s="51">
        <f t="shared" si="179"/>
        <v>3.1738514285714289E-3</v>
      </c>
      <c r="AJ103" s="51">
        <f t="shared" si="179"/>
        <v>3.1738514285714289E-3</v>
      </c>
      <c r="AK103" s="51">
        <f t="shared" si="179"/>
        <v>3.1738514285714289E-3</v>
      </c>
      <c r="AL103" s="51">
        <f t="shared" si="179"/>
        <v>3.1738514285714289E-3</v>
      </c>
      <c r="AM103" s="51">
        <f t="shared" ref="AM103:BN103" si="180">AM92</f>
        <v>3.1738514285714289E-3</v>
      </c>
      <c r="AN103" s="51">
        <f t="shared" si="180"/>
        <v>3.1738514285714289E-3</v>
      </c>
      <c r="AO103" s="51">
        <f t="shared" si="180"/>
        <v>3.2373284571428568E-3</v>
      </c>
      <c r="AP103" s="51">
        <f t="shared" si="180"/>
        <v>3.2373284571428568E-3</v>
      </c>
      <c r="AQ103" s="51">
        <f t="shared" si="180"/>
        <v>3.2373284571428568E-3</v>
      </c>
      <c r="AR103" s="51">
        <f t="shared" si="180"/>
        <v>3.2373284571428568E-3</v>
      </c>
      <c r="AS103" s="51">
        <f t="shared" si="180"/>
        <v>3.2373284571428568E-3</v>
      </c>
      <c r="AT103" s="51">
        <f t="shared" si="180"/>
        <v>3.2373284571428568E-3</v>
      </c>
      <c r="AU103" s="51">
        <f t="shared" si="180"/>
        <v>3.2373284571428568E-3</v>
      </c>
      <c r="AV103" s="51">
        <f t="shared" si="180"/>
        <v>3.2373284571428568E-3</v>
      </c>
      <c r="AW103" s="51">
        <f t="shared" si="180"/>
        <v>3.2373284571428568E-3</v>
      </c>
      <c r="AX103" s="51">
        <f t="shared" si="180"/>
        <v>3.2373284571428568E-3</v>
      </c>
      <c r="AY103" s="51">
        <f t="shared" si="180"/>
        <v>3.2373284571428568E-3</v>
      </c>
      <c r="AZ103" s="51">
        <f t="shared" si="180"/>
        <v>3.2373284571428568E-3</v>
      </c>
      <c r="BA103" s="51">
        <f t="shared" si="180"/>
        <v>3.2373284571428568E-3</v>
      </c>
      <c r="BB103" s="51">
        <f t="shared" si="180"/>
        <v>3.3020750262857143E-3</v>
      </c>
      <c r="BC103" s="51">
        <f t="shared" si="180"/>
        <v>3.3020750262857143E-3</v>
      </c>
      <c r="BD103" s="51">
        <f t="shared" si="180"/>
        <v>3.3020750262857143E-3</v>
      </c>
      <c r="BE103" s="51">
        <f t="shared" si="180"/>
        <v>3.3020750262857143E-3</v>
      </c>
      <c r="BF103" s="51">
        <f t="shared" si="180"/>
        <v>3.3020750262857143E-3</v>
      </c>
      <c r="BG103" s="51">
        <f t="shared" si="180"/>
        <v>3.3020750262857143E-3</v>
      </c>
      <c r="BH103" s="51">
        <f t="shared" si="180"/>
        <v>3.3020750262857143E-3</v>
      </c>
      <c r="BI103" s="51">
        <f t="shared" si="180"/>
        <v>3.3020750262857143E-3</v>
      </c>
      <c r="BJ103" s="51">
        <f t="shared" si="180"/>
        <v>3.3020750262857143E-3</v>
      </c>
      <c r="BK103" s="51">
        <f t="shared" si="180"/>
        <v>3.3020750262857143E-3</v>
      </c>
      <c r="BL103" s="51">
        <f t="shared" si="180"/>
        <v>3.3020750262857143E-3</v>
      </c>
      <c r="BM103" s="51">
        <f t="shared" si="180"/>
        <v>3.3020750262857143E-3</v>
      </c>
      <c r="BN103" s="51">
        <f t="shared" si="180"/>
        <v>3.3020750262857143E-3</v>
      </c>
    </row>
    <row r="104" spans="2:66" x14ac:dyDescent="0.2">
      <c r="B104" t="s">
        <v>23</v>
      </c>
      <c r="C104" t="s">
        <v>28</v>
      </c>
      <c r="G104" s="39">
        <f>ROUNDUP(G19/G79,0)</f>
        <v>11</v>
      </c>
      <c r="H104" s="39">
        <f t="shared" ref="H104:I104" si="181">ROUNDUP(H19/H79,0)</f>
        <v>11</v>
      </c>
      <c r="I104" s="39">
        <f t="shared" si="181"/>
        <v>11</v>
      </c>
      <c r="J104" s="39">
        <f>J19/J79</f>
        <v>10.906666666666666</v>
      </c>
      <c r="K104" s="39">
        <f t="shared" ref="K104:BN104" si="182">K19/K79</f>
        <v>16.733333333333334</v>
      </c>
      <c r="L104" s="39">
        <f t="shared" si="182"/>
        <v>22.546666666666667</v>
      </c>
      <c r="M104" s="39">
        <f>M19/M79</f>
        <v>28.373333333333335</v>
      </c>
      <c r="N104" s="39">
        <f t="shared" si="182"/>
        <v>78.56</v>
      </c>
      <c r="O104" s="39">
        <f t="shared" si="182"/>
        <v>34.186666666666667</v>
      </c>
      <c r="P104" s="39">
        <f t="shared" si="182"/>
        <v>40</v>
      </c>
      <c r="Q104" s="39">
        <f t="shared" si="182"/>
        <v>40</v>
      </c>
      <c r="R104" s="39">
        <f t="shared" si="182"/>
        <v>40</v>
      </c>
      <c r="S104" s="39">
        <f t="shared" si="182"/>
        <v>40</v>
      </c>
      <c r="T104" s="39">
        <f t="shared" si="182"/>
        <v>40</v>
      </c>
      <c r="U104" s="39">
        <f t="shared" si="182"/>
        <v>40</v>
      </c>
      <c r="V104" s="39">
        <f t="shared" si="182"/>
        <v>40</v>
      </c>
      <c r="W104" s="39">
        <f t="shared" si="182"/>
        <v>40</v>
      </c>
      <c r="X104" s="39">
        <f t="shared" si="182"/>
        <v>40</v>
      </c>
      <c r="Y104" s="39">
        <f t="shared" si="182"/>
        <v>40</v>
      </c>
      <c r="Z104" s="39">
        <f t="shared" si="182"/>
        <v>40</v>
      </c>
      <c r="AA104" s="39">
        <f t="shared" si="182"/>
        <v>474.18666666666667</v>
      </c>
      <c r="AB104" s="39">
        <f t="shared" si="182"/>
        <v>40</v>
      </c>
      <c r="AC104" s="39">
        <f t="shared" si="182"/>
        <v>40</v>
      </c>
      <c r="AD104" s="39">
        <f t="shared" si="182"/>
        <v>42.106666666666669</v>
      </c>
      <c r="AE104" s="39">
        <f t="shared" si="182"/>
        <v>44.213333333333331</v>
      </c>
      <c r="AF104" s="39">
        <f t="shared" si="182"/>
        <v>46.32</v>
      </c>
      <c r="AG104" s="39">
        <f t="shared" si="182"/>
        <v>48.426666666666669</v>
      </c>
      <c r="AH104" s="39">
        <f t="shared" si="182"/>
        <v>50.533333333333331</v>
      </c>
      <c r="AI104" s="39">
        <f t="shared" si="182"/>
        <v>52.626666666666665</v>
      </c>
      <c r="AJ104" s="39">
        <f t="shared" si="182"/>
        <v>54.733333333333334</v>
      </c>
      <c r="AK104" s="39">
        <f t="shared" si="182"/>
        <v>56.84</v>
      </c>
      <c r="AL104" s="39">
        <f t="shared" si="182"/>
        <v>58.93333333333333</v>
      </c>
      <c r="AM104" s="39">
        <f t="shared" si="182"/>
        <v>61.04</v>
      </c>
      <c r="AN104" s="39">
        <f t="shared" si="182"/>
        <v>595.77333333333331</v>
      </c>
      <c r="AO104" s="39">
        <f t="shared" si="182"/>
        <v>63.146666666666668</v>
      </c>
      <c r="AP104" s="39">
        <f t="shared" si="182"/>
        <v>65.25333333333333</v>
      </c>
      <c r="AQ104" s="39">
        <f t="shared" si="182"/>
        <v>67.36</v>
      </c>
      <c r="AR104" s="39">
        <f t="shared" si="182"/>
        <v>69.466666666666669</v>
      </c>
      <c r="AS104" s="39">
        <f t="shared" si="182"/>
        <v>71.573333333333338</v>
      </c>
      <c r="AT104" s="39">
        <f t="shared" si="182"/>
        <v>73.680000000000007</v>
      </c>
      <c r="AU104" s="39">
        <f t="shared" si="182"/>
        <v>75.773333333333326</v>
      </c>
      <c r="AV104" s="39">
        <f t="shared" si="182"/>
        <v>79.999998883722668</v>
      </c>
      <c r="AW104" s="39">
        <f t="shared" si="182"/>
        <v>79.999998883722668</v>
      </c>
      <c r="AX104" s="39">
        <f t="shared" si="182"/>
        <v>79.999998883722668</v>
      </c>
      <c r="AY104" s="39">
        <f t="shared" si="182"/>
        <v>79.999998883722668</v>
      </c>
      <c r="AZ104" s="39">
        <f t="shared" si="182"/>
        <v>79.999998883722668</v>
      </c>
      <c r="BA104" s="39">
        <f t="shared" si="182"/>
        <v>886.25332775194659</v>
      </c>
      <c r="BB104" s="39">
        <f t="shared" si="182"/>
        <v>73.854443979328892</v>
      </c>
      <c r="BC104" s="39">
        <f t="shared" si="182"/>
        <v>73.854443979328892</v>
      </c>
      <c r="BD104" s="39">
        <f t="shared" si="182"/>
        <v>73.854443979328892</v>
      </c>
      <c r="BE104" s="39">
        <f t="shared" si="182"/>
        <v>73.854443979328892</v>
      </c>
      <c r="BF104" s="39">
        <f t="shared" si="182"/>
        <v>73.854443979328892</v>
      </c>
      <c r="BG104" s="39">
        <f t="shared" si="182"/>
        <v>73.854443979328892</v>
      </c>
      <c r="BH104" s="39">
        <f t="shared" si="182"/>
        <v>73.854443979328892</v>
      </c>
      <c r="BI104" s="39">
        <f t="shared" si="182"/>
        <v>73.854443979328892</v>
      </c>
      <c r="BJ104" s="39">
        <f t="shared" si="182"/>
        <v>73.854443979328892</v>
      </c>
      <c r="BK104" s="39">
        <f t="shared" si="182"/>
        <v>73.854443979328892</v>
      </c>
      <c r="BL104" s="39">
        <f t="shared" si="182"/>
        <v>73.854443979328892</v>
      </c>
      <c r="BM104" s="39">
        <f t="shared" si="182"/>
        <v>73.854443979328892</v>
      </c>
      <c r="BN104" s="39">
        <f t="shared" si="182"/>
        <v>886.25332775194659</v>
      </c>
    </row>
    <row r="105" spans="2:66" x14ac:dyDescent="0.2">
      <c r="B105" t="s">
        <v>34</v>
      </c>
      <c r="C105" t="s">
        <v>35</v>
      </c>
      <c r="G105" s="46">
        <f t="shared" ref="G105:AL105" si="183">G95</f>
        <v>4.2857142857142856</v>
      </c>
      <c r="H105" s="46">
        <f t="shared" si="183"/>
        <v>4.4285714285714288</v>
      </c>
      <c r="I105" s="46">
        <f t="shared" si="183"/>
        <v>4.4285714285714288</v>
      </c>
      <c r="J105" s="46">
        <f t="shared" si="183"/>
        <v>4.2857142857142856</v>
      </c>
      <c r="K105" s="46">
        <f t="shared" si="183"/>
        <v>4.4285714285714288</v>
      </c>
      <c r="L105" s="46">
        <f t="shared" si="183"/>
        <v>4.2857142857142856</v>
      </c>
      <c r="M105" s="46">
        <f t="shared" si="183"/>
        <v>4.4285714285714288</v>
      </c>
      <c r="N105" s="46">
        <f t="shared" si="183"/>
        <v>0</v>
      </c>
      <c r="O105" s="46">
        <f t="shared" si="183"/>
        <v>4.4285714285714288</v>
      </c>
      <c r="P105" s="46">
        <f t="shared" si="183"/>
        <v>4</v>
      </c>
      <c r="Q105" s="46">
        <f t="shared" si="183"/>
        <v>4.4285714285714288</v>
      </c>
      <c r="R105" s="46">
        <f t="shared" si="183"/>
        <v>4.2857142857142856</v>
      </c>
      <c r="S105" s="46">
        <f t="shared" si="183"/>
        <v>4.4285714285714288</v>
      </c>
      <c r="T105" s="46">
        <f t="shared" si="183"/>
        <v>4.2857142857142856</v>
      </c>
      <c r="U105" s="46">
        <f t="shared" si="183"/>
        <v>4.4285714285714288</v>
      </c>
      <c r="V105" s="46">
        <f t="shared" si="183"/>
        <v>4.4285714285714288</v>
      </c>
      <c r="W105" s="46">
        <f t="shared" si="183"/>
        <v>4.2857142857142856</v>
      </c>
      <c r="X105" s="46">
        <f t="shared" si="183"/>
        <v>4.4285714285714288</v>
      </c>
      <c r="Y105" s="46">
        <f t="shared" si="183"/>
        <v>4.2857142857142856</v>
      </c>
      <c r="Z105" s="46">
        <f t="shared" si="183"/>
        <v>4.4285714285714288</v>
      </c>
      <c r="AA105" s="46">
        <f t="shared" si="183"/>
        <v>4.3452380952380958</v>
      </c>
      <c r="AB105" s="46">
        <f t="shared" si="183"/>
        <v>4.4285714285714288</v>
      </c>
      <c r="AC105" s="46">
        <f t="shared" si="183"/>
        <v>4</v>
      </c>
      <c r="AD105" s="46">
        <f t="shared" si="183"/>
        <v>4.4285714285714288</v>
      </c>
      <c r="AE105" s="46">
        <f t="shared" si="183"/>
        <v>4.2857142857142856</v>
      </c>
      <c r="AF105" s="46">
        <f t="shared" si="183"/>
        <v>4.4285714285714288</v>
      </c>
      <c r="AG105" s="46">
        <f t="shared" si="183"/>
        <v>4.2857142857142856</v>
      </c>
      <c r="AH105" s="46">
        <f t="shared" si="183"/>
        <v>4.4285714285714288</v>
      </c>
      <c r="AI105" s="46">
        <f t="shared" si="183"/>
        <v>4.4285714285714288</v>
      </c>
      <c r="AJ105" s="46">
        <f t="shared" si="183"/>
        <v>4.2857142857142856</v>
      </c>
      <c r="AK105" s="46">
        <f t="shared" si="183"/>
        <v>4.4285714285714288</v>
      </c>
      <c r="AL105" s="46">
        <f t="shared" si="183"/>
        <v>4.2857142857142856</v>
      </c>
      <c r="AM105" s="46">
        <f t="shared" ref="AM105:BN105" si="184">AM95</f>
        <v>4.4285714285714288</v>
      </c>
      <c r="AN105" s="46">
        <f t="shared" si="184"/>
        <v>4.3452380952380958</v>
      </c>
      <c r="AO105" s="46">
        <f t="shared" si="184"/>
        <v>4.4285714285714288</v>
      </c>
      <c r="AP105" s="46">
        <f t="shared" si="184"/>
        <v>4.1428571428571432</v>
      </c>
      <c r="AQ105" s="46">
        <f t="shared" si="184"/>
        <v>4.4285714285714288</v>
      </c>
      <c r="AR105" s="46">
        <f t="shared" si="184"/>
        <v>4.2857142857142856</v>
      </c>
      <c r="AS105" s="46">
        <f t="shared" si="184"/>
        <v>4.4285714285714288</v>
      </c>
      <c r="AT105" s="46">
        <f t="shared" si="184"/>
        <v>4.2857142857142856</v>
      </c>
      <c r="AU105" s="46">
        <f t="shared" si="184"/>
        <v>4.4285714285714288</v>
      </c>
      <c r="AV105" s="46">
        <f t="shared" si="184"/>
        <v>4.4285714285714288</v>
      </c>
      <c r="AW105" s="46">
        <f t="shared" si="184"/>
        <v>4.2857142857142856</v>
      </c>
      <c r="AX105" s="46">
        <f t="shared" si="184"/>
        <v>4.4285714285714288</v>
      </c>
      <c r="AY105" s="46">
        <f t="shared" si="184"/>
        <v>4.2857142857142856</v>
      </c>
      <c r="AZ105" s="46">
        <f t="shared" si="184"/>
        <v>4.4285714285714288</v>
      </c>
      <c r="BA105" s="46">
        <f t="shared" si="184"/>
        <v>4.3571428571428577</v>
      </c>
      <c r="BB105" s="46">
        <f t="shared" si="184"/>
        <v>4.4285714285714288</v>
      </c>
      <c r="BC105" s="46">
        <f t="shared" si="184"/>
        <v>4</v>
      </c>
      <c r="BD105" s="46">
        <f t="shared" si="184"/>
        <v>4.4285714285714288</v>
      </c>
      <c r="BE105" s="46">
        <f t="shared" si="184"/>
        <v>4.2857142857142856</v>
      </c>
      <c r="BF105" s="46">
        <f t="shared" si="184"/>
        <v>4.4285714285714288</v>
      </c>
      <c r="BG105" s="46">
        <f t="shared" si="184"/>
        <v>4.2857142857142856</v>
      </c>
      <c r="BH105" s="46">
        <f t="shared" si="184"/>
        <v>4.4285714285714288</v>
      </c>
      <c r="BI105" s="46">
        <f t="shared" si="184"/>
        <v>4.4285714285714288</v>
      </c>
      <c r="BJ105" s="46">
        <f t="shared" si="184"/>
        <v>4.2857142857142856</v>
      </c>
      <c r="BK105" s="46">
        <f t="shared" si="184"/>
        <v>4.4285714285714288</v>
      </c>
      <c r="BL105" s="46">
        <f t="shared" si="184"/>
        <v>4.2857142857142856</v>
      </c>
      <c r="BM105" s="46">
        <f t="shared" si="184"/>
        <v>4.4285714285714288</v>
      </c>
      <c r="BN105" s="46">
        <f t="shared" si="184"/>
        <v>4.3452380952380958</v>
      </c>
    </row>
    <row r="106" spans="2:66" x14ac:dyDescent="0.2">
      <c r="B106" t="s">
        <v>43</v>
      </c>
      <c r="C106" t="s">
        <v>51</v>
      </c>
      <c r="G106" s="23">
        <v>7</v>
      </c>
      <c r="H106" s="23">
        <v>7</v>
      </c>
      <c r="I106" s="23">
        <v>7</v>
      </c>
      <c r="J106" s="23">
        <v>7</v>
      </c>
      <c r="K106" s="23">
        <v>7</v>
      </c>
      <c r="L106" s="23">
        <v>7</v>
      </c>
      <c r="M106" s="23">
        <v>7</v>
      </c>
      <c r="N106" s="23">
        <v>7</v>
      </c>
      <c r="O106" s="23">
        <v>7</v>
      </c>
      <c r="P106" s="23">
        <v>7</v>
      </c>
      <c r="Q106" s="23">
        <v>7</v>
      </c>
      <c r="R106" s="23">
        <v>7</v>
      </c>
      <c r="S106" s="23">
        <v>7</v>
      </c>
      <c r="T106" s="23">
        <v>7</v>
      </c>
      <c r="U106" s="23">
        <v>7</v>
      </c>
      <c r="V106" s="23">
        <v>7</v>
      </c>
      <c r="W106" s="23">
        <v>7</v>
      </c>
      <c r="X106" s="23">
        <v>7</v>
      </c>
      <c r="Y106" s="23">
        <v>7</v>
      </c>
      <c r="Z106" s="23">
        <v>7</v>
      </c>
      <c r="AA106" s="23">
        <v>7</v>
      </c>
      <c r="AB106" s="23">
        <v>7</v>
      </c>
      <c r="AC106" s="23">
        <v>7</v>
      </c>
      <c r="AD106" s="23">
        <v>7</v>
      </c>
      <c r="AE106" s="23">
        <v>7</v>
      </c>
      <c r="AF106" s="23">
        <v>7</v>
      </c>
      <c r="AG106" s="23">
        <v>7</v>
      </c>
      <c r="AH106" s="23">
        <v>7</v>
      </c>
      <c r="AI106" s="23">
        <v>7</v>
      </c>
      <c r="AJ106" s="23">
        <v>7</v>
      </c>
      <c r="AK106" s="23">
        <v>7</v>
      </c>
      <c r="AL106" s="23">
        <v>7</v>
      </c>
      <c r="AM106" s="23">
        <v>7</v>
      </c>
      <c r="AN106" s="23">
        <v>7</v>
      </c>
      <c r="AO106" s="23">
        <v>7</v>
      </c>
      <c r="AP106" s="23">
        <v>7</v>
      </c>
      <c r="AQ106" s="23">
        <v>7</v>
      </c>
      <c r="AR106" s="23">
        <v>7</v>
      </c>
      <c r="AS106" s="23">
        <v>7</v>
      </c>
      <c r="AT106" s="23">
        <v>7</v>
      </c>
      <c r="AU106" s="23">
        <v>7</v>
      </c>
      <c r="AV106" s="23">
        <v>7</v>
      </c>
      <c r="AW106" s="23">
        <v>7</v>
      </c>
      <c r="AX106" s="23">
        <v>7</v>
      </c>
      <c r="AY106" s="23">
        <v>7</v>
      </c>
      <c r="AZ106" s="23">
        <v>7</v>
      </c>
      <c r="BA106" s="23">
        <v>7</v>
      </c>
      <c r="BB106" s="23">
        <v>7</v>
      </c>
      <c r="BC106" s="23">
        <v>7</v>
      </c>
      <c r="BD106" s="23">
        <v>7</v>
      </c>
      <c r="BE106" s="23">
        <v>7</v>
      </c>
      <c r="BF106" s="23">
        <v>7</v>
      </c>
      <c r="BG106" s="23">
        <v>7</v>
      </c>
      <c r="BH106" s="23">
        <v>7</v>
      </c>
      <c r="BI106" s="23">
        <v>7</v>
      </c>
      <c r="BJ106" s="23">
        <v>7</v>
      </c>
      <c r="BK106" s="23">
        <v>7</v>
      </c>
      <c r="BL106" s="23">
        <v>7</v>
      </c>
      <c r="BM106" s="23">
        <v>7</v>
      </c>
      <c r="BN106" s="23">
        <v>7</v>
      </c>
    </row>
    <row r="107" spans="2:66" x14ac:dyDescent="0.2">
      <c r="G107" s="24"/>
      <c r="H107" s="24"/>
      <c r="I107" s="24"/>
      <c r="J107" s="24"/>
      <c r="K107" s="24"/>
      <c r="L107" s="24"/>
      <c r="M107" s="24"/>
      <c r="N107" s="23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</row>
    <row r="108" spans="2:66" x14ac:dyDescent="0.2">
      <c r="G108" s="24"/>
      <c r="H108" s="24"/>
      <c r="I108" s="24"/>
      <c r="J108" s="24"/>
      <c r="K108" s="24"/>
      <c r="L108" s="24"/>
      <c r="M108" s="24"/>
      <c r="N108" s="23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</row>
    <row r="109" spans="2:66" x14ac:dyDescent="0.2">
      <c r="B109" s="6" t="s">
        <v>57</v>
      </c>
    </row>
    <row r="110" spans="2:66" x14ac:dyDescent="0.2">
      <c r="B110" t="s">
        <v>31</v>
      </c>
      <c r="C110" t="s">
        <v>33</v>
      </c>
      <c r="G110" s="81">
        <f>G100</f>
        <v>1.6</v>
      </c>
      <c r="H110" s="24">
        <f t="shared" ref="H110:Z110" si="185">H100</f>
        <v>1.6</v>
      </c>
      <c r="I110" s="24">
        <f t="shared" si="185"/>
        <v>1.6</v>
      </c>
      <c r="J110" s="24">
        <f t="shared" si="185"/>
        <v>1.6</v>
      </c>
      <c r="K110" s="24">
        <f t="shared" si="185"/>
        <v>1.6</v>
      </c>
      <c r="L110" s="24">
        <f t="shared" si="185"/>
        <v>1.6</v>
      </c>
      <c r="M110" s="24">
        <f t="shared" si="185"/>
        <v>1.6</v>
      </c>
      <c r="N110" s="24">
        <f t="shared" si="185"/>
        <v>1.6</v>
      </c>
      <c r="O110" s="24">
        <f t="shared" si="185"/>
        <v>1.6</v>
      </c>
      <c r="P110" s="24">
        <f t="shared" si="185"/>
        <v>1.6</v>
      </c>
      <c r="Q110" s="81">
        <f>Q100</f>
        <v>1.6335999999999999</v>
      </c>
      <c r="R110" s="24">
        <f t="shared" si="185"/>
        <v>1.6335999999999999</v>
      </c>
      <c r="S110" s="24">
        <f t="shared" si="185"/>
        <v>1.6335999999999999</v>
      </c>
      <c r="T110" s="24">
        <f t="shared" si="185"/>
        <v>1.6335999999999999</v>
      </c>
      <c r="U110" s="24">
        <f t="shared" si="185"/>
        <v>1.6335999999999999</v>
      </c>
      <c r="V110" s="24">
        <f>V100</f>
        <v>1.6335999999999999</v>
      </c>
      <c r="W110" s="24">
        <f t="shared" si="185"/>
        <v>1.6335999999999999</v>
      </c>
      <c r="X110" s="24">
        <f t="shared" si="185"/>
        <v>1.6335999999999999</v>
      </c>
      <c r="Y110" s="24">
        <f t="shared" si="185"/>
        <v>1.6335999999999999</v>
      </c>
      <c r="Z110" s="24">
        <f t="shared" si="185"/>
        <v>1.6335999999999999</v>
      </c>
      <c r="AA110" s="46">
        <f>AA100</f>
        <v>1.6335999999999999</v>
      </c>
      <c r="AB110" s="24">
        <f t="shared" ref="AB110:BN110" si="186">AB100</f>
        <v>1.666272</v>
      </c>
      <c r="AC110" s="24">
        <f t="shared" si="186"/>
        <v>1.666272</v>
      </c>
      <c r="AD110" s="24">
        <f t="shared" si="186"/>
        <v>1.666272</v>
      </c>
      <c r="AE110" s="24">
        <f t="shared" si="186"/>
        <v>1.666272</v>
      </c>
      <c r="AF110" s="24">
        <f t="shared" si="186"/>
        <v>1.666272</v>
      </c>
      <c r="AG110" s="24">
        <f t="shared" si="186"/>
        <v>1.666272</v>
      </c>
      <c r="AH110" s="24">
        <f t="shared" si="186"/>
        <v>1.666272</v>
      </c>
      <c r="AI110" s="24">
        <f t="shared" si="186"/>
        <v>1.666272</v>
      </c>
      <c r="AJ110" s="24">
        <f t="shared" si="186"/>
        <v>1.666272</v>
      </c>
      <c r="AK110" s="24">
        <f t="shared" si="186"/>
        <v>1.666272</v>
      </c>
      <c r="AL110" s="24">
        <f t="shared" si="186"/>
        <v>1.666272</v>
      </c>
      <c r="AM110" s="24">
        <f t="shared" si="186"/>
        <v>1.666272</v>
      </c>
      <c r="AN110" s="46">
        <f t="shared" si="186"/>
        <v>1.666272</v>
      </c>
      <c r="AO110" s="46">
        <f t="shared" si="186"/>
        <v>1.69959744</v>
      </c>
      <c r="AP110" s="46">
        <f t="shared" si="186"/>
        <v>1.69959744</v>
      </c>
      <c r="AQ110" s="46">
        <f t="shared" si="186"/>
        <v>1.69959744</v>
      </c>
      <c r="AR110" s="46">
        <f t="shared" si="186"/>
        <v>1.69959744</v>
      </c>
      <c r="AS110" s="46">
        <f t="shared" si="186"/>
        <v>1.69959744</v>
      </c>
      <c r="AT110" s="46">
        <f t="shared" si="186"/>
        <v>1.69959744</v>
      </c>
      <c r="AU110" s="46">
        <f t="shared" si="186"/>
        <v>1.69959744</v>
      </c>
      <c r="AV110" s="46">
        <f t="shared" si="186"/>
        <v>1.69959744</v>
      </c>
      <c r="AW110" s="46">
        <f t="shared" si="186"/>
        <v>1.69959744</v>
      </c>
      <c r="AX110" s="46">
        <f t="shared" si="186"/>
        <v>1.69959744</v>
      </c>
      <c r="AY110" s="46">
        <f t="shared" si="186"/>
        <v>1.69959744</v>
      </c>
      <c r="AZ110" s="46">
        <f t="shared" si="186"/>
        <v>1.69959744</v>
      </c>
      <c r="BA110" s="46">
        <f t="shared" si="186"/>
        <v>1.69959744</v>
      </c>
      <c r="BB110" s="46">
        <f t="shared" si="186"/>
        <v>1.7335893888</v>
      </c>
      <c r="BC110" s="46">
        <f t="shared" si="186"/>
        <v>1.7335893888</v>
      </c>
      <c r="BD110" s="46">
        <f t="shared" si="186"/>
        <v>1.7335893888</v>
      </c>
      <c r="BE110" s="46">
        <f t="shared" si="186"/>
        <v>1.7335893888</v>
      </c>
      <c r="BF110" s="46">
        <f t="shared" si="186"/>
        <v>1.7335893888</v>
      </c>
      <c r="BG110" s="46">
        <f t="shared" si="186"/>
        <v>1.7335893888</v>
      </c>
      <c r="BH110" s="46">
        <f t="shared" si="186"/>
        <v>1.7335893888</v>
      </c>
      <c r="BI110" s="46">
        <f t="shared" si="186"/>
        <v>1.7335893888</v>
      </c>
      <c r="BJ110" s="46">
        <f t="shared" si="186"/>
        <v>1.7335893888</v>
      </c>
      <c r="BK110" s="46">
        <f t="shared" si="186"/>
        <v>1.7335893888</v>
      </c>
      <c r="BL110" s="46">
        <f t="shared" si="186"/>
        <v>1.7335893888</v>
      </c>
      <c r="BM110" s="46">
        <f t="shared" si="186"/>
        <v>1.7335893888</v>
      </c>
      <c r="BN110" s="46">
        <f t="shared" si="186"/>
        <v>1.7335893888</v>
      </c>
    </row>
    <row r="111" spans="2:66" x14ac:dyDescent="0.2">
      <c r="B111" t="s">
        <v>31</v>
      </c>
      <c r="C111" t="s">
        <v>50</v>
      </c>
      <c r="G111" s="50">
        <f>G101</f>
        <v>0.22857142857142859</v>
      </c>
      <c r="H111" s="50">
        <f t="shared" ref="H111:BN111" si="187">H101</f>
        <v>0.22857142857142859</v>
      </c>
      <c r="I111" s="50">
        <f t="shared" si="187"/>
        <v>0.22857142857142859</v>
      </c>
      <c r="J111" s="50">
        <f t="shared" si="187"/>
        <v>0.22857142857142859</v>
      </c>
      <c r="K111" s="50">
        <f t="shared" si="187"/>
        <v>0.22857142857142859</v>
      </c>
      <c r="L111" s="50">
        <f t="shared" si="187"/>
        <v>0.22857142857142859</v>
      </c>
      <c r="M111" s="50">
        <f t="shared" si="187"/>
        <v>0.22857142857142859</v>
      </c>
      <c r="N111" s="50">
        <f t="shared" si="187"/>
        <v>0.22857142857142859</v>
      </c>
      <c r="O111" s="50">
        <f t="shared" si="187"/>
        <v>0.22857142857142859</v>
      </c>
      <c r="P111" s="50">
        <f t="shared" si="187"/>
        <v>0.22857142857142859</v>
      </c>
      <c r="Q111" s="50">
        <f t="shared" si="187"/>
        <v>0.23337142857142856</v>
      </c>
      <c r="R111" s="50">
        <f t="shared" si="187"/>
        <v>0.23337142857142856</v>
      </c>
      <c r="S111" s="50">
        <f t="shared" si="187"/>
        <v>0.23337142857142856</v>
      </c>
      <c r="T111" s="50">
        <f t="shared" si="187"/>
        <v>0.23337142857142856</v>
      </c>
      <c r="U111" s="50">
        <f t="shared" si="187"/>
        <v>0.23337142857142856</v>
      </c>
      <c r="V111" s="50">
        <f t="shared" si="187"/>
        <v>0.23337142857142856</v>
      </c>
      <c r="W111" s="50">
        <f t="shared" si="187"/>
        <v>0.23337142857142856</v>
      </c>
      <c r="X111" s="50">
        <f t="shared" si="187"/>
        <v>0.23337142857142856</v>
      </c>
      <c r="Y111" s="50">
        <f t="shared" si="187"/>
        <v>0.23337142857142856</v>
      </c>
      <c r="Z111" s="50">
        <f t="shared" si="187"/>
        <v>0.23337142857142856</v>
      </c>
      <c r="AA111" s="50">
        <f t="shared" si="187"/>
        <v>0.23337142857142856</v>
      </c>
      <c r="AB111" s="50">
        <f t="shared" si="187"/>
        <v>0.23803885714285714</v>
      </c>
      <c r="AC111" s="50">
        <f t="shared" si="187"/>
        <v>0.23803885714285714</v>
      </c>
      <c r="AD111" s="50">
        <f t="shared" si="187"/>
        <v>0.23803885714285714</v>
      </c>
      <c r="AE111" s="50">
        <f t="shared" si="187"/>
        <v>0.23803885714285714</v>
      </c>
      <c r="AF111" s="50">
        <f t="shared" si="187"/>
        <v>0.23803885714285714</v>
      </c>
      <c r="AG111" s="50">
        <f t="shared" si="187"/>
        <v>0.23803885714285714</v>
      </c>
      <c r="AH111" s="50">
        <f t="shared" si="187"/>
        <v>0.23803885714285714</v>
      </c>
      <c r="AI111" s="50">
        <f t="shared" si="187"/>
        <v>0.23803885714285714</v>
      </c>
      <c r="AJ111" s="50">
        <f t="shared" si="187"/>
        <v>0.23803885714285714</v>
      </c>
      <c r="AK111" s="50">
        <f t="shared" si="187"/>
        <v>0.23803885714285714</v>
      </c>
      <c r="AL111" s="50">
        <f t="shared" si="187"/>
        <v>0.23803885714285714</v>
      </c>
      <c r="AM111" s="50">
        <f t="shared" si="187"/>
        <v>0.23803885714285714</v>
      </c>
      <c r="AN111" s="50">
        <f t="shared" si="187"/>
        <v>0.23803885714285714</v>
      </c>
      <c r="AO111" s="50">
        <f t="shared" si="187"/>
        <v>0.2427996342857143</v>
      </c>
      <c r="AP111" s="50">
        <f t="shared" si="187"/>
        <v>0.2427996342857143</v>
      </c>
      <c r="AQ111" s="50">
        <f t="shared" si="187"/>
        <v>0.2427996342857143</v>
      </c>
      <c r="AR111" s="50">
        <f t="shared" si="187"/>
        <v>0.2427996342857143</v>
      </c>
      <c r="AS111" s="50">
        <f t="shared" si="187"/>
        <v>0.2427996342857143</v>
      </c>
      <c r="AT111" s="50">
        <f t="shared" si="187"/>
        <v>0.2427996342857143</v>
      </c>
      <c r="AU111" s="50">
        <f t="shared" si="187"/>
        <v>0.2427996342857143</v>
      </c>
      <c r="AV111" s="50">
        <f t="shared" si="187"/>
        <v>0.2427996342857143</v>
      </c>
      <c r="AW111" s="50">
        <f t="shared" si="187"/>
        <v>0.2427996342857143</v>
      </c>
      <c r="AX111" s="50">
        <f t="shared" si="187"/>
        <v>0.2427996342857143</v>
      </c>
      <c r="AY111" s="50">
        <f t="shared" si="187"/>
        <v>0.2427996342857143</v>
      </c>
      <c r="AZ111" s="50">
        <f t="shared" si="187"/>
        <v>0.2427996342857143</v>
      </c>
      <c r="BA111" s="50">
        <f t="shared" si="187"/>
        <v>0.2427996342857143</v>
      </c>
      <c r="BB111" s="50">
        <f t="shared" si="187"/>
        <v>0.24765562697142857</v>
      </c>
      <c r="BC111" s="50">
        <f t="shared" si="187"/>
        <v>0.24765562697142857</v>
      </c>
      <c r="BD111" s="50">
        <f t="shared" si="187"/>
        <v>0.24765562697142857</v>
      </c>
      <c r="BE111" s="50">
        <f t="shared" si="187"/>
        <v>0.24765562697142857</v>
      </c>
      <c r="BF111" s="50">
        <f t="shared" si="187"/>
        <v>0.24765562697142857</v>
      </c>
      <c r="BG111" s="50">
        <f t="shared" si="187"/>
        <v>0.24765562697142857</v>
      </c>
      <c r="BH111" s="50">
        <f t="shared" si="187"/>
        <v>0.24765562697142857</v>
      </c>
      <c r="BI111" s="50">
        <f t="shared" si="187"/>
        <v>0.24765562697142857</v>
      </c>
      <c r="BJ111" s="50">
        <f t="shared" si="187"/>
        <v>0.24765562697142857</v>
      </c>
      <c r="BK111" s="50">
        <f t="shared" si="187"/>
        <v>0.24765562697142857</v>
      </c>
      <c r="BL111" s="50">
        <f t="shared" si="187"/>
        <v>0.24765562697142857</v>
      </c>
      <c r="BM111" s="50">
        <f t="shared" si="187"/>
        <v>0.24765562697142857</v>
      </c>
      <c r="BN111" s="50">
        <f t="shared" si="187"/>
        <v>0.24765562697142857</v>
      </c>
    </row>
    <row r="112" spans="2:66" x14ac:dyDescent="0.2">
      <c r="B112" t="s">
        <v>31</v>
      </c>
      <c r="C112" t="s">
        <v>54</v>
      </c>
      <c r="G112" s="50">
        <f>G102</f>
        <v>2.1333333333333336E-2</v>
      </c>
      <c r="H112" s="50">
        <f t="shared" ref="H112:BN112" si="188">H102</f>
        <v>2.1333333333333336E-2</v>
      </c>
      <c r="I112" s="50">
        <f t="shared" si="188"/>
        <v>2.1333333333333336E-2</v>
      </c>
      <c r="J112" s="50">
        <f t="shared" si="188"/>
        <v>2.1333333333333336E-2</v>
      </c>
      <c r="K112" s="50">
        <f t="shared" si="188"/>
        <v>2.1333333333333336E-2</v>
      </c>
      <c r="L112" s="50">
        <f t="shared" si="188"/>
        <v>2.1333333333333336E-2</v>
      </c>
      <c r="M112" s="50">
        <f t="shared" si="188"/>
        <v>2.1333333333333336E-2</v>
      </c>
      <c r="N112" s="50">
        <f t="shared" si="188"/>
        <v>2.1333333333333336E-2</v>
      </c>
      <c r="O112" s="50">
        <f t="shared" si="188"/>
        <v>2.1333333333333336E-2</v>
      </c>
      <c r="P112" s="50">
        <f t="shared" si="188"/>
        <v>2.1333333333333336E-2</v>
      </c>
      <c r="Q112" s="50">
        <f t="shared" si="188"/>
        <v>2.1781333333333333E-2</v>
      </c>
      <c r="R112" s="50">
        <f t="shared" si="188"/>
        <v>2.1781333333333333E-2</v>
      </c>
      <c r="S112" s="50">
        <f t="shared" si="188"/>
        <v>2.1781333333333333E-2</v>
      </c>
      <c r="T112" s="50">
        <f t="shared" si="188"/>
        <v>2.1781333333333333E-2</v>
      </c>
      <c r="U112" s="50">
        <f t="shared" si="188"/>
        <v>2.1781333333333333E-2</v>
      </c>
      <c r="V112" s="50">
        <f t="shared" si="188"/>
        <v>2.1781333333333333E-2</v>
      </c>
      <c r="W112" s="50">
        <f t="shared" si="188"/>
        <v>2.1781333333333333E-2</v>
      </c>
      <c r="X112" s="50">
        <f t="shared" si="188"/>
        <v>2.1781333333333333E-2</v>
      </c>
      <c r="Y112" s="50">
        <f t="shared" si="188"/>
        <v>2.1781333333333333E-2</v>
      </c>
      <c r="Z112" s="50">
        <f t="shared" si="188"/>
        <v>2.1781333333333333E-2</v>
      </c>
      <c r="AA112" s="50">
        <f t="shared" si="188"/>
        <v>2.1781333333333333E-2</v>
      </c>
      <c r="AB112" s="50">
        <f t="shared" si="188"/>
        <v>2.2216960000000001E-2</v>
      </c>
      <c r="AC112" s="50">
        <f t="shared" si="188"/>
        <v>2.2216960000000001E-2</v>
      </c>
      <c r="AD112" s="50">
        <f t="shared" si="188"/>
        <v>2.2216960000000001E-2</v>
      </c>
      <c r="AE112" s="50">
        <f t="shared" si="188"/>
        <v>2.2216960000000001E-2</v>
      </c>
      <c r="AF112" s="50">
        <f t="shared" si="188"/>
        <v>2.2216960000000001E-2</v>
      </c>
      <c r="AG112" s="50">
        <f t="shared" si="188"/>
        <v>2.2216960000000001E-2</v>
      </c>
      <c r="AH112" s="50">
        <f t="shared" si="188"/>
        <v>2.2216960000000001E-2</v>
      </c>
      <c r="AI112" s="50">
        <f t="shared" si="188"/>
        <v>2.2216960000000001E-2</v>
      </c>
      <c r="AJ112" s="50">
        <f t="shared" si="188"/>
        <v>2.2216960000000001E-2</v>
      </c>
      <c r="AK112" s="50">
        <f t="shared" si="188"/>
        <v>2.2216960000000001E-2</v>
      </c>
      <c r="AL112" s="50">
        <f t="shared" si="188"/>
        <v>2.2216960000000001E-2</v>
      </c>
      <c r="AM112" s="50">
        <f t="shared" si="188"/>
        <v>2.2216960000000001E-2</v>
      </c>
      <c r="AN112" s="50">
        <f t="shared" si="188"/>
        <v>2.2216960000000001E-2</v>
      </c>
      <c r="AO112" s="50">
        <f t="shared" si="188"/>
        <v>2.2661299199999999E-2</v>
      </c>
      <c r="AP112" s="50">
        <f t="shared" si="188"/>
        <v>2.2661299199999999E-2</v>
      </c>
      <c r="AQ112" s="50">
        <f t="shared" si="188"/>
        <v>2.2661299199999999E-2</v>
      </c>
      <c r="AR112" s="50">
        <f t="shared" si="188"/>
        <v>2.2661299199999999E-2</v>
      </c>
      <c r="AS112" s="50">
        <f t="shared" si="188"/>
        <v>2.2661299199999999E-2</v>
      </c>
      <c r="AT112" s="50">
        <f t="shared" si="188"/>
        <v>2.2661299199999999E-2</v>
      </c>
      <c r="AU112" s="50">
        <f t="shared" si="188"/>
        <v>2.2661299199999999E-2</v>
      </c>
      <c r="AV112" s="50">
        <f t="shared" si="188"/>
        <v>2.2661299199999999E-2</v>
      </c>
      <c r="AW112" s="50">
        <f t="shared" si="188"/>
        <v>2.2661299199999999E-2</v>
      </c>
      <c r="AX112" s="50">
        <f t="shared" si="188"/>
        <v>2.2661299199999999E-2</v>
      </c>
      <c r="AY112" s="50">
        <f t="shared" si="188"/>
        <v>2.2661299199999999E-2</v>
      </c>
      <c r="AZ112" s="50">
        <f t="shared" si="188"/>
        <v>2.2661299199999999E-2</v>
      </c>
      <c r="BA112" s="50">
        <f t="shared" si="188"/>
        <v>2.2661299199999999E-2</v>
      </c>
      <c r="BB112" s="50">
        <f t="shared" si="188"/>
        <v>2.3114525184E-2</v>
      </c>
      <c r="BC112" s="50">
        <f t="shared" si="188"/>
        <v>2.3114525184E-2</v>
      </c>
      <c r="BD112" s="50">
        <f t="shared" si="188"/>
        <v>2.3114525184E-2</v>
      </c>
      <c r="BE112" s="50">
        <f t="shared" si="188"/>
        <v>2.3114525184E-2</v>
      </c>
      <c r="BF112" s="50">
        <f t="shared" si="188"/>
        <v>2.3114525184E-2</v>
      </c>
      <c r="BG112" s="50">
        <f t="shared" si="188"/>
        <v>2.3114525184E-2</v>
      </c>
      <c r="BH112" s="50">
        <f t="shared" si="188"/>
        <v>2.3114525184E-2</v>
      </c>
      <c r="BI112" s="50">
        <f t="shared" si="188"/>
        <v>2.3114525184E-2</v>
      </c>
      <c r="BJ112" s="50">
        <f t="shared" si="188"/>
        <v>2.3114525184E-2</v>
      </c>
      <c r="BK112" s="50">
        <f t="shared" si="188"/>
        <v>2.3114525184E-2</v>
      </c>
      <c r="BL112" s="50">
        <f t="shared" si="188"/>
        <v>2.3114525184E-2</v>
      </c>
      <c r="BM112" s="50">
        <f t="shared" si="188"/>
        <v>2.3114525184E-2</v>
      </c>
      <c r="BN112" s="50">
        <f t="shared" si="188"/>
        <v>2.3114525184E-2</v>
      </c>
    </row>
    <row r="113" spans="2:66" x14ac:dyDescent="0.2">
      <c r="B113" t="s">
        <v>31</v>
      </c>
      <c r="C113" t="s">
        <v>55</v>
      </c>
      <c r="G113" s="51">
        <f>G103</f>
        <v>3.0476190476190481E-3</v>
      </c>
      <c r="H113" s="51">
        <f t="shared" ref="H113:BN113" si="189">H103</f>
        <v>3.0476190476190481E-3</v>
      </c>
      <c r="I113" s="51">
        <f t="shared" si="189"/>
        <v>3.0476190476190481E-3</v>
      </c>
      <c r="J113" s="51">
        <f t="shared" si="189"/>
        <v>3.0476190476190481E-3</v>
      </c>
      <c r="K113" s="51">
        <f t="shared" si="189"/>
        <v>3.0476190476190481E-3</v>
      </c>
      <c r="L113" s="51">
        <f t="shared" si="189"/>
        <v>3.0476190476190481E-3</v>
      </c>
      <c r="M113" s="51">
        <f t="shared" si="189"/>
        <v>3.0476190476190481E-3</v>
      </c>
      <c r="N113" s="51">
        <f t="shared" si="189"/>
        <v>3.0476190476190481E-3</v>
      </c>
      <c r="O113" s="51">
        <f t="shared" si="189"/>
        <v>3.0476190476190481E-3</v>
      </c>
      <c r="P113" s="51">
        <f t="shared" si="189"/>
        <v>3.0476190476190481E-3</v>
      </c>
      <c r="Q113" s="51">
        <f t="shared" si="189"/>
        <v>3.1116190476190475E-3</v>
      </c>
      <c r="R113" s="51">
        <f t="shared" si="189"/>
        <v>3.1116190476190475E-3</v>
      </c>
      <c r="S113" s="51">
        <f t="shared" si="189"/>
        <v>3.1116190476190475E-3</v>
      </c>
      <c r="T113" s="51">
        <f t="shared" si="189"/>
        <v>3.1116190476190475E-3</v>
      </c>
      <c r="U113" s="51">
        <f t="shared" si="189"/>
        <v>3.1116190476190475E-3</v>
      </c>
      <c r="V113" s="51">
        <f t="shared" si="189"/>
        <v>3.1116190476190475E-3</v>
      </c>
      <c r="W113" s="51">
        <f t="shared" si="189"/>
        <v>3.1116190476190475E-3</v>
      </c>
      <c r="X113" s="51">
        <f t="shared" si="189"/>
        <v>3.1116190476190475E-3</v>
      </c>
      <c r="Y113" s="51">
        <f t="shared" si="189"/>
        <v>3.1116190476190475E-3</v>
      </c>
      <c r="Z113" s="51">
        <f t="shared" si="189"/>
        <v>3.1116190476190475E-3</v>
      </c>
      <c r="AA113" s="51">
        <f t="shared" si="189"/>
        <v>3.1116190476190475E-3</v>
      </c>
      <c r="AB113" s="51">
        <f t="shared" si="189"/>
        <v>3.1738514285714289E-3</v>
      </c>
      <c r="AC113" s="51">
        <f t="shared" si="189"/>
        <v>3.1738514285714289E-3</v>
      </c>
      <c r="AD113" s="51">
        <f t="shared" si="189"/>
        <v>3.1738514285714289E-3</v>
      </c>
      <c r="AE113" s="51">
        <f t="shared" si="189"/>
        <v>3.1738514285714289E-3</v>
      </c>
      <c r="AF113" s="51">
        <f t="shared" si="189"/>
        <v>3.1738514285714289E-3</v>
      </c>
      <c r="AG113" s="51">
        <f t="shared" si="189"/>
        <v>3.1738514285714289E-3</v>
      </c>
      <c r="AH113" s="51">
        <f t="shared" si="189"/>
        <v>3.1738514285714289E-3</v>
      </c>
      <c r="AI113" s="51">
        <f t="shared" si="189"/>
        <v>3.1738514285714289E-3</v>
      </c>
      <c r="AJ113" s="51">
        <f t="shared" si="189"/>
        <v>3.1738514285714289E-3</v>
      </c>
      <c r="AK113" s="51">
        <f t="shared" si="189"/>
        <v>3.1738514285714289E-3</v>
      </c>
      <c r="AL113" s="51">
        <f t="shared" si="189"/>
        <v>3.1738514285714289E-3</v>
      </c>
      <c r="AM113" s="51">
        <f t="shared" si="189"/>
        <v>3.1738514285714289E-3</v>
      </c>
      <c r="AN113" s="51">
        <f t="shared" si="189"/>
        <v>3.1738514285714289E-3</v>
      </c>
      <c r="AO113" s="51">
        <f t="shared" si="189"/>
        <v>3.2373284571428568E-3</v>
      </c>
      <c r="AP113" s="51">
        <f t="shared" si="189"/>
        <v>3.2373284571428568E-3</v>
      </c>
      <c r="AQ113" s="51">
        <f t="shared" si="189"/>
        <v>3.2373284571428568E-3</v>
      </c>
      <c r="AR113" s="51">
        <f t="shared" si="189"/>
        <v>3.2373284571428568E-3</v>
      </c>
      <c r="AS113" s="51">
        <f t="shared" si="189"/>
        <v>3.2373284571428568E-3</v>
      </c>
      <c r="AT113" s="51">
        <f t="shared" si="189"/>
        <v>3.2373284571428568E-3</v>
      </c>
      <c r="AU113" s="51">
        <f t="shared" si="189"/>
        <v>3.2373284571428568E-3</v>
      </c>
      <c r="AV113" s="51">
        <f t="shared" si="189"/>
        <v>3.2373284571428568E-3</v>
      </c>
      <c r="AW113" s="51">
        <f t="shared" si="189"/>
        <v>3.2373284571428568E-3</v>
      </c>
      <c r="AX113" s="51">
        <f t="shared" si="189"/>
        <v>3.2373284571428568E-3</v>
      </c>
      <c r="AY113" s="51">
        <f t="shared" si="189"/>
        <v>3.2373284571428568E-3</v>
      </c>
      <c r="AZ113" s="51">
        <f t="shared" si="189"/>
        <v>3.2373284571428568E-3</v>
      </c>
      <c r="BA113" s="51">
        <f t="shared" si="189"/>
        <v>3.2373284571428568E-3</v>
      </c>
      <c r="BB113" s="51">
        <f t="shared" si="189"/>
        <v>3.3020750262857143E-3</v>
      </c>
      <c r="BC113" s="51">
        <f t="shared" si="189"/>
        <v>3.3020750262857143E-3</v>
      </c>
      <c r="BD113" s="51">
        <f t="shared" si="189"/>
        <v>3.3020750262857143E-3</v>
      </c>
      <c r="BE113" s="51">
        <f t="shared" si="189"/>
        <v>3.3020750262857143E-3</v>
      </c>
      <c r="BF113" s="51">
        <f t="shared" si="189"/>
        <v>3.3020750262857143E-3</v>
      </c>
      <c r="BG113" s="51">
        <f t="shared" si="189"/>
        <v>3.3020750262857143E-3</v>
      </c>
      <c r="BH113" s="51">
        <f t="shared" si="189"/>
        <v>3.3020750262857143E-3</v>
      </c>
      <c r="BI113" s="51">
        <f t="shared" si="189"/>
        <v>3.3020750262857143E-3</v>
      </c>
      <c r="BJ113" s="51">
        <f t="shared" si="189"/>
        <v>3.3020750262857143E-3</v>
      </c>
      <c r="BK113" s="51">
        <f t="shared" si="189"/>
        <v>3.3020750262857143E-3</v>
      </c>
      <c r="BL113" s="51">
        <f t="shared" si="189"/>
        <v>3.3020750262857143E-3</v>
      </c>
      <c r="BM113" s="51">
        <f t="shared" si="189"/>
        <v>3.3020750262857143E-3</v>
      </c>
      <c r="BN113" s="51">
        <f t="shared" si="189"/>
        <v>3.3020750262857143E-3</v>
      </c>
    </row>
    <row r="114" spans="2:66" x14ac:dyDescent="0.2">
      <c r="B114" t="s">
        <v>23</v>
      </c>
      <c r="C114" t="s">
        <v>28</v>
      </c>
      <c r="G114" s="39">
        <f>ROUNDUP(G20/G79,0)</f>
        <v>6</v>
      </c>
      <c r="H114" s="39">
        <f t="shared" ref="H114:I114" si="190">ROUNDUP(H20/H79,0)</f>
        <v>6</v>
      </c>
      <c r="I114" s="39">
        <f t="shared" si="190"/>
        <v>6</v>
      </c>
      <c r="J114" s="39">
        <f>J20/J79</f>
        <v>5.4533333333333331</v>
      </c>
      <c r="K114" s="39">
        <f t="shared" ref="K114:BN114" si="191">K20/K79</f>
        <v>8.36</v>
      </c>
      <c r="L114" s="39">
        <f t="shared" si="191"/>
        <v>11.266666666666667</v>
      </c>
      <c r="M114" s="39">
        <f>M20/M79</f>
        <v>14.173333333333334</v>
      </c>
      <c r="N114" s="39">
        <f t="shared" si="191"/>
        <v>39.25333333333333</v>
      </c>
      <c r="O114" s="39">
        <f t="shared" si="191"/>
        <v>17.093333333333334</v>
      </c>
      <c r="P114" s="39">
        <f t="shared" si="191"/>
        <v>20</v>
      </c>
      <c r="Q114" s="39">
        <f t="shared" si="191"/>
        <v>20</v>
      </c>
      <c r="R114" s="39">
        <f t="shared" si="191"/>
        <v>20</v>
      </c>
      <c r="S114" s="39">
        <f t="shared" si="191"/>
        <v>20</v>
      </c>
      <c r="T114" s="39">
        <f t="shared" si="191"/>
        <v>20</v>
      </c>
      <c r="U114" s="39">
        <f t="shared" si="191"/>
        <v>20</v>
      </c>
      <c r="V114" s="39">
        <f t="shared" si="191"/>
        <v>20</v>
      </c>
      <c r="W114" s="39">
        <f t="shared" si="191"/>
        <v>20</v>
      </c>
      <c r="X114" s="39">
        <f t="shared" si="191"/>
        <v>20</v>
      </c>
      <c r="Y114" s="39">
        <f t="shared" si="191"/>
        <v>20</v>
      </c>
      <c r="Z114" s="39">
        <f t="shared" si="191"/>
        <v>20</v>
      </c>
      <c r="AA114" s="39">
        <f t="shared" si="191"/>
        <v>237.09333333333333</v>
      </c>
      <c r="AB114" s="39">
        <f t="shared" si="191"/>
        <v>20</v>
      </c>
      <c r="AC114" s="39">
        <f t="shared" si="191"/>
        <v>20</v>
      </c>
      <c r="AD114" s="39">
        <f t="shared" si="191"/>
        <v>21.053333333333335</v>
      </c>
      <c r="AE114" s="39">
        <f t="shared" si="191"/>
        <v>22.106666666666666</v>
      </c>
      <c r="AF114" s="39">
        <f t="shared" si="191"/>
        <v>23.16</v>
      </c>
      <c r="AG114" s="39">
        <f t="shared" si="191"/>
        <v>24.213333333333335</v>
      </c>
      <c r="AH114" s="39">
        <f t="shared" si="191"/>
        <v>25.266666666666666</v>
      </c>
      <c r="AI114" s="39">
        <f t="shared" si="191"/>
        <v>26.32</v>
      </c>
      <c r="AJ114" s="39">
        <f t="shared" si="191"/>
        <v>27.373333333333335</v>
      </c>
      <c r="AK114" s="39">
        <f t="shared" si="191"/>
        <v>28.426666666666666</v>
      </c>
      <c r="AL114" s="39">
        <f t="shared" si="191"/>
        <v>29.466666666666665</v>
      </c>
      <c r="AM114" s="39">
        <f t="shared" si="191"/>
        <v>30.52</v>
      </c>
      <c r="AN114" s="39">
        <f t="shared" si="191"/>
        <v>297.90666666666669</v>
      </c>
      <c r="AO114" s="39">
        <f t="shared" si="191"/>
        <v>31.573333333333334</v>
      </c>
      <c r="AP114" s="39">
        <f t="shared" si="191"/>
        <v>32.626666666666665</v>
      </c>
      <c r="AQ114" s="39">
        <f t="shared" si="191"/>
        <v>33.68</v>
      </c>
      <c r="AR114" s="39">
        <f t="shared" si="191"/>
        <v>34.72</v>
      </c>
      <c r="AS114" s="39">
        <f t="shared" si="191"/>
        <v>35.773333333333333</v>
      </c>
      <c r="AT114" s="39">
        <f t="shared" si="191"/>
        <v>36.826666666666668</v>
      </c>
      <c r="AU114" s="39">
        <f t="shared" si="191"/>
        <v>37.880000000000003</v>
      </c>
      <c r="AV114" s="39">
        <f t="shared" si="191"/>
        <v>39.999999441861334</v>
      </c>
      <c r="AW114" s="39">
        <f t="shared" si="191"/>
        <v>39.999999441861334</v>
      </c>
      <c r="AX114" s="39">
        <f t="shared" si="191"/>
        <v>39.999999441861334</v>
      </c>
      <c r="AY114" s="39">
        <f t="shared" si="191"/>
        <v>39.999999441861334</v>
      </c>
      <c r="AZ114" s="39">
        <f t="shared" si="191"/>
        <v>39.999999441861334</v>
      </c>
      <c r="BA114" s="39">
        <f t="shared" si="191"/>
        <v>443.07999720930667</v>
      </c>
      <c r="BB114" s="39">
        <f t="shared" si="191"/>
        <v>36.923333100775558</v>
      </c>
      <c r="BC114" s="39">
        <f t="shared" si="191"/>
        <v>36.923333100775558</v>
      </c>
      <c r="BD114" s="39">
        <f t="shared" si="191"/>
        <v>36.923333100775558</v>
      </c>
      <c r="BE114" s="39">
        <f t="shared" si="191"/>
        <v>36.923333100775558</v>
      </c>
      <c r="BF114" s="39">
        <f t="shared" si="191"/>
        <v>36.923333100775558</v>
      </c>
      <c r="BG114" s="39">
        <f t="shared" si="191"/>
        <v>36.923333100775558</v>
      </c>
      <c r="BH114" s="39">
        <f t="shared" si="191"/>
        <v>36.923333100775558</v>
      </c>
      <c r="BI114" s="39">
        <f t="shared" si="191"/>
        <v>36.923333100775558</v>
      </c>
      <c r="BJ114" s="39">
        <f t="shared" si="191"/>
        <v>36.923333100775558</v>
      </c>
      <c r="BK114" s="39">
        <f t="shared" si="191"/>
        <v>36.923333100775558</v>
      </c>
      <c r="BL114" s="39">
        <f t="shared" si="191"/>
        <v>36.923333100775558</v>
      </c>
      <c r="BM114" s="39">
        <f t="shared" si="191"/>
        <v>36.923333100775558</v>
      </c>
      <c r="BN114" s="39">
        <f t="shared" si="191"/>
        <v>443.07999720930667</v>
      </c>
    </row>
    <row r="115" spans="2:66" x14ac:dyDescent="0.2">
      <c r="B115" t="s">
        <v>34</v>
      </c>
      <c r="C115" t="s">
        <v>35</v>
      </c>
      <c r="G115" s="46">
        <f>G105</f>
        <v>4.2857142857142856</v>
      </c>
      <c r="H115" s="46">
        <f t="shared" ref="H115:BN115" si="192">H105</f>
        <v>4.4285714285714288</v>
      </c>
      <c r="I115" s="46">
        <f t="shared" si="192"/>
        <v>4.4285714285714288</v>
      </c>
      <c r="J115" s="46">
        <f t="shared" si="192"/>
        <v>4.2857142857142856</v>
      </c>
      <c r="K115" s="46">
        <f t="shared" si="192"/>
        <v>4.4285714285714288</v>
      </c>
      <c r="L115" s="46">
        <f t="shared" si="192"/>
        <v>4.2857142857142856</v>
      </c>
      <c r="M115" s="46">
        <f t="shared" si="192"/>
        <v>4.4285714285714288</v>
      </c>
      <c r="N115" s="46">
        <f t="shared" si="192"/>
        <v>0</v>
      </c>
      <c r="O115" s="46">
        <f t="shared" si="192"/>
        <v>4.4285714285714288</v>
      </c>
      <c r="P115" s="46">
        <f t="shared" si="192"/>
        <v>4</v>
      </c>
      <c r="Q115" s="46">
        <f t="shared" si="192"/>
        <v>4.4285714285714288</v>
      </c>
      <c r="R115" s="46">
        <f t="shared" si="192"/>
        <v>4.2857142857142856</v>
      </c>
      <c r="S115" s="46">
        <f t="shared" si="192"/>
        <v>4.4285714285714288</v>
      </c>
      <c r="T115" s="46">
        <f t="shared" si="192"/>
        <v>4.2857142857142856</v>
      </c>
      <c r="U115" s="46">
        <f t="shared" si="192"/>
        <v>4.4285714285714288</v>
      </c>
      <c r="V115" s="46">
        <f t="shared" si="192"/>
        <v>4.4285714285714288</v>
      </c>
      <c r="W115" s="46">
        <f t="shared" si="192"/>
        <v>4.2857142857142856</v>
      </c>
      <c r="X115" s="46">
        <f t="shared" si="192"/>
        <v>4.4285714285714288</v>
      </c>
      <c r="Y115" s="46">
        <f t="shared" si="192"/>
        <v>4.2857142857142856</v>
      </c>
      <c r="Z115" s="46">
        <f t="shared" si="192"/>
        <v>4.4285714285714288</v>
      </c>
      <c r="AA115" s="46">
        <f t="shared" si="192"/>
        <v>4.3452380952380958</v>
      </c>
      <c r="AB115" s="46">
        <f t="shared" si="192"/>
        <v>4.4285714285714288</v>
      </c>
      <c r="AC115" s="46">
        <f t="shared" si="192"/>
        <v>4</v>
      </c>
      <c r="AD115" s="46">
        <f t="shared" si="192"/>
        <v>4.4285714285714288</v>
      </c>
      <c r="AE115" s="46">
        <f t="shared" si="192"/>
        <v>4.2857142857142856</v>
      </c>
      <c r="AF115" s="46">
        <f t="shared" si="192"/>
        <v>4.4285714285714288</v>
      </c>
      <c r="AG115" s="46">
        <f t="shared" si="192"/>
        <v>4.2857142857142856</v>
      </c>
      <c r="AH115" s="46">
        <f t="shared" si="192"/>
        <v>4.4285714285714288</v>
      </c>
      <c r="AI115" s="46">
        <f t="shared" si="192"/>
        <v>4.4285714285714288</v>
      </c>
      <c r="AJ115" s="46">
        <f t="shared" si="192"/>
        <v>4.2857142857142856</v>
      </c>
      <c r="AK115" s="46">
        <f t="shared" si="192"/>
        <v>4.4285714285714288</v>
      </c>
      <c r="AL115" s="46">
        <f t="shared" si="192"/>
        <v>4.2857142857142856</v>
      </c>
      <c r="AM115" s="46">
        <f t="shared" si="192"/>
        <v>4.4285714285714288</v>
      </c>
      <c r="AN115" s="46">
        <f t="shared" si="192"/>
        <v>4.3452380952380958</v>
      </c>
      <c r="AO115" s="46">
        <f t="shared" si="192"/>
        <v>4.4285714285714288</v>
      </c>
      <c r="AP115" s="46">
        <f t="shared" si="192"/>
        <v>4.1428571428571432</v>
      </c>
      <c r="AQ115" s="46">
        <f t="shared" si="192"/>
        <v>4.4285714285714288</v>
      </c>
      <c r="AR115" s="46">
        <f t="shared" si="192"/>
        <v>4.2857142857142856</v>
      </c>
      <c r="AS115" s="46">
        <f t="shared" si="192"/>
        <v>4.4285714285714288</v>
      </c>
      <c r="AT115" s="46">
        <f t="shared" si="192"/>
        <v>4.2857142857142856</v>
      </c>
      <c r="AU115" s="46">
        <f t="shared" si="192"/>
        <v>4.4285714285714288</v>
      </c>
      <c r="AV115" s="46">
        <f t="shared" si="192"/>
        <v>4.4285714285714288</v>
      </c>
      <c r="AW115" s="46">
        <f t="shared" si="192"/>
        <v>4.2857142857142856</v>
      </c>
      <c r="AX115" s="46">
        <f t="shared" si="192"/>
        <v>4.4285714285714288</v>
      </c>
      <c r="AY115" s="46">
        <f t="shared" si="192"/>
        <v>4.2857142857142856</v>
      </c>
      <c r="AZ115" s="46">
        <f t="shared" si="192"/>
        <v>4.4285714285714288</v>
      </c>
      <c r="BA115" s="46">
        <f t="shared" si="192"/>
        <v>4.3571428571428577</v>
      </c>
      <c r="BB115" s="46">
        <f t="shared" si="192"/>
        <v>4.4285714285714288</v>
      </c>
      <c r="BC115" s="46">
        <f t="shared" si="192"/>
        <v>4</v>
      </c>
      <c r="BD115" s="46">
        <f t="shared" si="192"/>
        <v>4.4285714285714288</v>
      </c>
      <c r="BE115" s="46">
        <f t="shared" si="192"/>
        <v>4.2857142857142856</v>
      </c>
      <c r="BF115" s="46">
        <f t="shared" si="192"/>
        <v>4.4285714285714288</v>
      </c>
      <c r="BG115" s="46">
        <f t="shared" si="192"/>
        <v>4.2857142857142856</v>
      </c>
      <c r="BH115" s="46">
        <f t="shared" si="192"/>
        <v>4.4285714285714288</v>
      </c>
      <c r="BI115" s="46">
        <f t="shared" si="192"/>
        <v>4.4285714285714288</v>
      </c>
      <c r="BJ115" s="46">
        <f t="shared" si="192"/>
        <v>4.2857142857142856</v>
      </c>
      <c r="BK115" s="46">
        <f t="shared" si="192"/>
        <v>4.4285714285714288</v>
      </c>
      <c r="BL115" s="46">
        <f t="shared" si="192"/>
        <v>4.2857142857142856</v>
      </c>
      <c r="BM115" s="46">
        <f t="shared" si="192"/>
        <v>4.4285714285714288</v>
      </c>
      <c r="BN115" s="46">
        <f t="shared" si="192"/>
        <v>4.3452380952380958</v>
      </c>
    </row>
    <row r="116" spans="2:66" x14ac:dyDescent="0.2">
      <c r="B116" t="s">
        <v>43</v>
      </c>
      <c r="C116" t="s">
        <v>51</v>
      </c>
      <c r="G116" s="23">
        <v>7</v>
      </c>
      <c r="H116" s="23">
        <v>7</v>
      </c>
      <c r="I116" s="23">
        <v>7</v>
      </c>
      <c r="J116" s="23">
        <v>7</v>
      </c>
      <c r="K116" s="23">
        <v>7</v>
      </c>
      <c r="L116" s="23">
        <v>7</v>
      </c>
      <c r="M116" s="23">
        <v>7</v>
      </c>
      <c r="N116" s="23">
        <v>7</v>
      </c>
      <c r="O116" s="23">
        <v>7</v>
      </c>
      <c r="P116" s="23">
        <v>7</v>
      </c>
      <c r="Q116" s="23">
        <v>7</v>
      </c>
      <c r="R116" s="23">
        <v>7</v>
      </c>
      <c r="S116" s="23">
        <v>7</v>
      </c>
      <c r="T116" s="23">
        <v>7</v>
      </c>
      <c r="U116" s="23">
        <v>7</v>
      </c>
      <c r="V116" s="23">
        <v>7</v>
      </c>
      <c r="W116" s="23">
        <v>7</v>
      </c>
      <c r="X116" s="23">
        <v>7</v>
      </c>
      <c r="Y116" s="23">
        <v>7</v>
      </c>
      <c r="Z116" s="23">
        <v>7</v>
      </c>
      <c r="AA116" s="23">
        <v>7</v>
      </c>
      <c r="AB116" s="23">
        <v>7</v>
      </c>
      <c r="AC116" s="23">
        <v>7</v>
      </c>
      <c r="AD116" s="23">
        <v>7</v>
      </c>
      <c r="AE116" s="23">
        <v>7</v>
      </c>
      <c r="AF116" s="23">
        <v>7</v>
      </c>
      <c r="AG116" s="23">
        <v>7</v>
      </c>
      <c r="AH116" s="23">
        <v>7</v>
      </c>
      <c r="AI116" s="23">
        <v>7</v>
      </c>
      <c r="AJ116" s="23">
        <v>7</v>
      </c>
      <c r="AK116" s="23">
        <v>7</v>
      </c>
      <c r="AL116" s="23">
        <v>7</v>
      </c>
      <c r="AM116" s="23">
        <v>7</v>
      </c>
      <c r="AN116" s="23">
        <v>7</v>
      </c>
      <c r="AO116" s="23">
        <v>7</v>
      </c>
      <c r="AP116" s="23">
        <v>7</v>
      </c>
      <c r="AQ116" s="23">
        <v>7</v>
      </c>
      <c r="AR116" s="23">
        <v>7</v>
      </c>
      <c r="AS116" s="23">
        <v>7</v>
      </c>
      <c r="AT116" s="23">
        <v>7</v>
      </c>
      <c r="AU116" s="23">
        <v>7</v>
      </c>
      <c r="AV116" s="23">
        <v>7</v>
      </c>
      <c r="AW116" s="23">
        <v>7</v>
      </c>
      <c r="AX116" s="23">
        <v>7</v>
      </c>
      <c r="AY116" s="23">
        <v>7</v>
      </c>
      <c r="AZ116" s="23">
        <v>7</v>
      </c>
      <c r="BA116" s="23">
        <v>7</v>
      </c>
      <c r="BB116" s="23">
        <v>7</v>
      </c>
      <c r="BC116" s="23">
        <v>7</v>
      </c>
      <c r="BD116" s="23">
        <v>7</v>
      </c>
      <c r="BE116" s="23">
        <v>7</v>
      </c>
      <c r="BF116" s="23">
        <v>7</v>
      </c>
      <c r="BG116" s="23">
        <v>7</v>
      </c>
      <c r="BH116" s="23">
        <v>7</v>
      </c>
      <c r="BI116" s="23">
        <v>7</v>
      </c>
      <c r="BJ116" s="23">
        <v>7</v>
      </c>
      <c r="BK116" s="23">
        <v>7</v>
      </c>
      <c r="BL116" s="23">
        <v>7</v>
      </c>
      <c r="BM116" s="23">
        <v>7</v>
      </c>
      <c r="BN116" s="23">
        <v>7</v>
      </c>
    </row>
    <row r="117" spans="2:66" x14ac:dyDescent="0.2">
      <c r="G117" s="24"/>
      <c r="H117" s="24"/>
      <c r="I117" s="24"/>
      <c r="J117" s="24"/>
      <c r="K117" s="24"/>
      <c r="L117" s="24"/>
      <c r="M117" s="24"/>
      <c r="N117" s="23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</row>
    <row r="118" spans="2:66" x14ac:dyDescent="0.2">
      <c r="G118" s="24"/>
      <c r="H118" s="24"/>
      <c r="I118" s="24"/>
      <c r="J118" s="24"/>
      <c r="K118" s="24"/>
      <c r="L118" s="24"/>
      <c r="M118" s="24"/>
      <c r="N118" s="23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</row>
    <row r="119" spans="2:66" x14ac:dyDescent="0.2">
      <c r="B119" s="6" t="s">
        <v>58</v>
      </c>
    </row>
    <row r="120" spans="2:66" x14ac:dyDescent="0.2">
      <c r="B120" t="s">
        <v>31</v>
      </c>
      <c r="C120" t="s">
        <v>33</v>
      </c>
      <c r="G120" s="24">
        <f>G110</f>
        <v>1.6</v>
      </c>
      <c r="H120" s="24">
        <f t="shared" ref="H120:Z120" si="193">H110</f>
        <v>1.6</v>
      </c>
      <c r="I120" s="24">
        <f t="shared" si="193"/>
        <v>1.6</v>
      </c>
      <c r="J120" s="24">
        <f t="shared" si="193"/>
        <v>1.6</v>
      </c>
      <c r="K120" s="24">
        <f t="shared" si="193"/>
        <v>1.6</v>
      </c>
      <c r="L120" s="24">
        <f t="shared" si="193"/>
        <v>1.6</v>
      </c>
      <c r="M120" s="24">
        <f t="shared" si="193"/>
        <v>1.6</v>
      </c>
      <c r="N120" s="24">
        <f t="shared" si="193"/>
        <v>1.6</v>
      </c>
      <c r="O120" s="24">
        <f t="shared" si="193"/>
        <v>1.6</v>
      </c>
      <c r="P120" s="24">
        <f t="shared" si="193"/>
        <v>1.6</v>
      </c>
      <c r="Q120" s="81">
        <f>Q110</f>
        <v>1.6335999999999999</v>
      </c>
      <c r="R120" s="24">
        <f t="shared" si="193"/>
        <v>1.6335999999999999</v>
      </c>
      <c r="S120" s="24">
        <f t="shared" si="193"/>
        <v>1.6335999999999999</v>
      </c>
      <c r="T120" s="24">
        <f t="shared" si="193"/>
        <v>1.6335999999999999</v>
      </c>
      <c r="U120" s="24">
        <f t="shared" si="193"/>
        <v>1.6335999999999999</v>
      </c>
      <c r="V120" s="24">
        <f>V110</f>
        <v>1.6335999999999999</v>
      </c>
      <c r="W120" s="24">
        <f t="shared" si="193"/>
        <v>1.6335999999999999</v>
      </c>
      <c r="X120" s="24">
        <f t="shared" si="193"/>
        <v>1.6335999999999999</v>
      </c>
      <c r="Y120" s="24">
        <f t="shared" si="193"/>
        <v>1.6335999999999999</v>
      </c>
      <c r="Z120" s="24">
        <f t="shared" si="193"/>
        <v>1.6335999999999999</v>
      </c>
      <c r="AA120" s="46">
        <f>AA110</f>
        <v>1.6335999999999999</v>
      </c>
      <c r="AB120" s="24">
        <f t="shared" ref="AB120:BN120" si="194">AB110</f>
        <v>1.666272</v>
      </c>
      <c r="AC120" s="24">
        <f t="shared" si="194"/>
        <v>1.666272</v>
      </c>
      <c r="AD120" s="24">
        <f t="shared" si="194"/>
        <v>1.666272</v>
      </c>
      <c r="AE120" s="24">
        <f t="shared" si="194"/>
        <v>1.666272</v>
      </c>
      <c r="AF120" s="24">
        <f t="shared" si="194"/>
        <v>1.666272</v>
      </c>
      <c r="AG120" s="24">
        <f t="shared" si="194"/>
        <v>1.666272</v>
      </c>
      <c r="AH120" s="24">
        <f t="shared" si="194"/>
        <v>1.666272</v>
      </c>
      <c r="AI120" s="24">
        <f t="shared" si="194"/>
        <v>1.666272</v>
      </c>
      <c r="AJ120" s="24">
        <f t="shared" si="194"/>
        <v>1.666272</v>
      </c>
      <c r="AK120" s="24">
        <f t="shared" si="194"/>
        <v>1.666272</v>
      </c>
      <c r="AL120" s="24">
        <f t="shared" si="194"/>
        <v>1.666272</v>
      </c>
      <c r="AM120" s="24">
        <f t="shared" si="194"/>
        <v>1.666272</v>
      </c>
      <c r="AN120" s="46">
        <f t="shared" si="194"/>
        <v>1.666272</v>
      </c>
      <c r="AO120" s="46">
        <f t="shared" si="194"/>
        <v>1.69959744</v>
      </c>
      <c r="AP120" s="46">
        <f t="shared" si="194"/>
        <v>1.69959744</v>
      </c>
      <c r="AQ120" s="46">
        <f t="shared" si="194"/>
        <v>1.69959744</v>
      </c>
      <c r="AR120" s="46">
        <f t="shared" si="194"/>
        <v>1.69959744</v>
      </c>
      <c r="AS120" s="46">
        <f t="shared" si="194"/>
        <v>1.69959744</v>
      </c>
      <c r="AT120" s="46">
        <f t="shared" si="194"/>
        <v>1.69959744</v>
      </c>
      <c r="AU120" s="46">
        <f t="shared" si="194"/>
        <v>1.69959744</v>
      </c>
      <c r="AV120" s="46">
        <f t="shared" si="194"/>
        <v>1.69959744</v>
      </c>
      <c r="AW120" s="46">
        <f t="shared" si="194"/>
        <v>1.69959744</v>
      </c>
      <c r="AX120" s="46">
        <f t="shared" si="194"/>
        <v>1.69959744</v>
      </c>
      <c r="AY120" s="46">
        <f t="shared" si="194"/>
        <v>1.69959744</v>
      </c>
      <c r="AZ120" s="46">
        <f t="shared" si="194"/>
        <v>1.69959744</v>
      </c>
      <c r="BA120" s="46">
        <f t="shared" si="194"/>
        <v>1.69959744</v>
      </c>
      <c r="BB120" s="46">
        <f t="shared" si="194"/>
        <v>1.7335893888</v>
      </c>
      <c r="BC120" s="46">
        <f t="shared" si="194"/>
        <v>1.7335893888</v>
      </c>
      <c r="BD120" s="46">
        <f t="shared" si="194"/>
        <v>1.7335893888</v>
      </c>
      <c r="BE120" s="46">
        <f t="shared" si="194"/>
        <v>1.7335893888</v>
      </c>
      <c r="BF120" s="46">
        <f t="shared" si="194"/>
        <v>1.7335893888</v>
      </c>
      <c r="BG120" s="46">
        <f t="shared" si="194"/>
        <v>1.7335893888</v>
      </c>
      <c r="BH120" s="46">
        <f t="shared" si="194"/>
        <v>1.7335893888</v>
      </c>
      <c r="BI120" s="46">
        <f t="shared" si="194"/>
        <v>1.7335893888</v>
      </c>
      <c r="BJ120" s="46">
        <f t="shared" si="194"/>
        <v>1.7335893888</v>
      </c>
      <c r="BK120" s="46">
        <f t="shared" si="194"/>
        <v>1.7335893888</v>
      </c>
      <c r="BL120" s="46">
        <f t="shared" si="194"/>
        <v>1.7335893888</v>
      </c>
      <c r="BM120" s="46">
        <f t="shared" si="194"/>
        <v>1.7335893888</v>
      </c>
      <c r="BN120" s="46">
        <f t="shared" si="194"/>
        <v>1.7335893888</v>
      </c>
    </row>
    <row r="121" spans="2:66" x14ac:dyDescent="0.2">
      <c r="B121" t="s">
        <v>31</v>
      </c>
      <c r="C121" t="s">
        <v>50</v>
      </c>
      <c r="G121" s="50">
        <f>G111</f>
        <v>0.22857142857142859</v>
      </c>
      <c r="H121" s="50">
        <f t="shared" ref="H121:BN121" si="195">H111</f>
        <v>0.22857142857142859</v>
      </c>
      <c r="I121" s="50">
        <f t="shared" si="195"/>
        <v>0.22857142857142859</v>
      </c>
      <c r="J121" s="50">
        <f t="shared" si="195"/>
        <v>0.22857142857142859</v>
      </c>
      <c r="K121" s="50">
        <f t="shared" si="195"/>
        <v>0.22857142857142859</v>
      </c>
      <c r="L121" s="50">
        <f t="shared" si="195"/>
        <v>0.22857142857142859</v>
      </c>
      <c r="M121" s="50">
        <f t="shared" si="195"/>
        <v>0.22857142857142859</v>
      </c>
      <c r="N121" s="50">
        <f t="shared" si="195"/>
        <v>0.22857142857142859</v>
      </c>
      <c r="O121" s="50">
        <f t="shared" si="195"/>
        <v>0.22857142857142859</v>
      </c>
      <c r="P121" s="50">
        <f t="shared" si="195"/>
        <v>0.22857142857142859</v>
      </c>
      <c r="Q121" s="50">
        <f t="shared" si="195"/>
        <v>0.23337142857142856</v>
      </c>
      <c r="R121" s="50">
        <f t="shared" si="195"/>
        <v>0.23337142857142856</v>
      </c>
      <c r="S121" s="50">
        <f t="shared" si="195"/>
        <v>0.23337142857142856</v>
      </c>
      <c r="T121" s="50">
        <f t="shared" si="195"/>
        <v>0.23337142857142856</v>
      </c>
      <c r="U121" s="50">
        <f t="shared" si="195"/>
        <v>0.23337142857142856</v>
      </c>
      <c r="V121" s="50">
        <f t="shared" si="195"/>
        <v>0.23337142857142856</v>
      </c>
      <c r="W121" s="50">
        <f t="shared" si="195"/>
        <v>0.23337142857142856</v>
      </c>
      <c r="X121" s="50">
        <f t="shared" si="195"/>
        <v>0.23337142857142856</v>
      </c>
      <c r="Y121" s="50">
        <f t="shared" si="195"/>
        <v>0.23337142857142856</v>
      </c>
      <c r="Z121" s="50">
        <f t="shared" si="195"/>
        <v>0.23337142857142856</v>
      </c>
      <c r="AA121" s="50">
        <f t="shared" si="195"/>
        <v>0.23337142857142856</v>
      </c>
      <c r="AB121" s="50">
        <f t="shared" si="195"/>
        <v>0.23803885714285714</v>
      </c>
      <c r="AC121" s="50">
        <f t="shared" si="195"/>
        <v>0.23803885714285714</v>
      </c>
      <c r="AD121" s="50">
        <f t="shared" si="195"/>
        <v>0.23803885714285714</v>
      </c>
      <c r="AE121" s="50">
        <f t="shared" si="195"/>
        <v>0.23803885714285714</v>
      </c>
      <c r="AF121" s="50">
        <f t="shared" si="195"/>
        <v>0.23803885714285714</v>
      </c>
      <c r="AG121" s="50">
        <f t="shared" si="195"/>
        <v>0.23803885714285714</v>
      </c>
      <c r="AH121" s="50">
        <f t="shared" si="195"/>
        <v>0.23803885714285714</v>
      </c>
      <c r="AI121" s="50">
        <f t="shared" si="195"/>
        <v>0.23803885714285714</v>
      </c>
      <c r="AJ121" s="50">
        <f t="shared" si="195"/>
        <v>0.23803885714285714</v>
      </c>
      <c r="AK121" s="50">
        <f t="shared" si="195"/>
        <v>0.23803885714285714</v>
      </c>
      <c r="AL121" s="50">
        <f t="shared" si="195"/>
        <v>0.23803885714285714</v>
      </c>
      <c r="AM121" s="50">
        <f t="shared" si="195"/>
        <v>0.23803885714285714</v>
      </c>
      <c r="AN121" s="50">
        <f t="shared" si="195"/>
        <v>0.23803885714285714</v>
      </c>
      <c r="AO121" s="50">
        <f t="shared" si="195"/>
        <v>0.2427996342857143</v>
      </c>
      <c r="AP121" s="50">
        <f t="shared" si="195"/>
        <v>0.2427996342857143</v>
      </c>
      <c r="AQ121" s="50">
        <f t="shared" si="195"/>
        <v>0.2427996342857143</v>
      </c>
      <c r="AR121" s="50">
        <f t="shared" si="195"/>
        <v>0.2427996342857143</v>
      </c>
      <c r="AS121" s="50">
        <f t="shared" si="195"/>
        <v>0.2427996342857143</v>
      </c>
      <c r="AT121" s="50">
        <f t="shared" si="195"/>
        <v>0.2427996342857143</v>
      </c>
      <c r="AU121" s="50">
        <f t="shared" si="195"/>
        <v>0.2427996342857143</v>
      </c>
      <c r="AV121" s="50">
        <f t="shared" si="195"/>
        <v>0.2427996342857143</v>
      </c>
      <c r="AW121" s="50">
        <f t="shared" si="195"/>
        <v>0.2427996342857143</v>
      </c>
      <c r="AX121" s="50">
        <f t="shared" si="195"/>
        <v>0.2427996342857143</v>
      </c>
      <c r="AY121" s="50">
        <f t="shared" si="195"/>
        <v>0.2427996342857143</v>
      </c>
      <c r="AZ121" s="50">
        <f t="shared" si="195"/>
        <v>0.2427996342857143</v>
      </c>
      <c r="BA121" s="50">
        <f t="shared" si="195"/>
        <v>0.2427996342857143</v>
      </c>
      <c r="BB121" s="50">
        <f t="shared" si="195"/>
        <v>0.24765562697142857</v>
      </c>
      <c r="BC121" s="50">
        <f t="shared" si="195"/>
        <v>0.24765562697142857</v>
      </c>
      <c r="BD121" s="50">
        <f t="shared" si="195"/>
        <v>0.24765562697142857</v>
      </c>
      <c r="BE121" s="50">
        <f t="shared" si="195"/>
        <v>0.24765562697142857</v>
      </c>
      <c r="BF121" s="50">
        <f t="shared" si="195"/>
        <v>0.24765562697142857</v>
      </c>
      <c r="BG121" s="50">
        <f t="shared" si="195"/>
        <v>0.24765562697142857</v>
      </c>
      <c r="BH121" s="50">
        <f t="shared" si="195"/>
        <v>0.24765562697142857</v>
      </c>
      <c r="BI121" s="50">
        <f t="shared" si="195"/>
        <v>0.24765562697142857</v>
      </c>
      <c r="BJ121" s="50">
        <f t="shared" si="195"/>
        <v>0.24765562697142857</v>
      </c>
      <c r="BK121" s="50">
        <f t="shared" si="195"/>
        <v>0.24765562697142857</v>
      </c>
      <c r="BL121" s="50">
        <f t="shared" si="195"/>
        <v>0.24765562697142857</v>
      </c>
      <c r="BM121" s="50">
        <f t="shared" si="195"/>
        <v>0.24765562697142857</v>
      </c>
      <c r="BN121" s="50">
        <f t="shared" si="195"/>
        <v>0.24765562697142857</v>
      </c>
    </row>
    <row r="122" spans="2:66" x14ac:dyDescent="0.2">
      <c r="B122" t="s">
        <v>31</v>
      </c>
      <c r="C122" t="s">
        <v>54</v>
      </c>
      <c r="G122" s="50">
        <f>G112</f>
        <v>2.1333333333333336E-2</v>
      </c>
      <c r="H122" s="50">
        <f t="shared" ref="H122:BN122" si="196">H112</f>
        <v>2.1333333333333336E-2</v>
      </c>
      <c r="I122" s="50">
        <f t="shared" si="196"/>
        <v>2.1333333333333336E-2</v>
      </c>
      <c r="J122" s="50">
        <f t="shared" si="196"/>
        <v>2.1333333333333336E-2</v>
      </c>
      <c r="K122" s="50">
        <f t="shared" si="196"/>
        <v>2.1333333333333336E-2</v>
      </c>
      <c r="L122" s="50">
        <f t="shared" si="196"/>
        <v>2.1333333333333336E-2</v>
      </c>
      <c r="M122" s="50">
        <f t="shared" si="196"/>
        <v>2.1333333333333336E-2</v>
      </c>
      <c r="N122" s="50">
        <f t="shared" si="196"/>
        <v>2.1333333333333336E-2</v>
      </c>
      <c r="O122" s="50">
        <f t="shared" si="196"/>
        <v>2.1333333333333336E-2</v>
      </c>
      <c r="P122" s="50">
        <f t="shared" si="196"/>
        <v>2.1333333333333336E-2</v>
      </c>
      <c r="Q122" s="50">
        <f t="shared" si="196"/>
        <v>2.1781333333333333E-2</v>
      </c>
      <c r="R122" s="50">
        <f t="shared" si="196"/>
        <v>2.1781333333333333E-2</v>
      </c>
      <c r="S122" s="50">
        <f t="shared" si="196"/>
        <v>2.1781333333333333E-2</v>
      </c>
      <c r="T122" s="50">
        <f t="shared" si="196"/>
        <v>2.1781333333333333E-2</v>
      </c>
      <c r="U122" s="50">
        <f t="shared" si="196"/>
        <v>2.1781333333333333E-2</v>
      </c>
      <c r="V122" s="50">
        <f t="shared" si="196"/>
        <v>2.1781333333333333E-2</v>
      </c>
      <c r="W122" s="50">
        <f t="shared" si="196"/>
        <v>2.1781333333333333E-2</v>
      </c>
      <c r="X122" s="50">
        <f t="shared" si="196"/>
        <v>2.1781333333333333E-2</v>
      </c>
      <c r="Y122" s="50">
        <f t="shared" si="196"/>
        <v>2.1781333333333333E-2</v>
      </c>
      <c r="Z122" s="50">
        <f t="shared" si="196"/>
        <v>2.1781333333333333E-2</v>
      </c>
      <c r="AA122" s="50">
        <f t="shared" si="196"/>
        <v>2.1781333333333333E-2</v>
      </c>
      <c r="AB122" s="50">
        <f t="shared" si="196"/>
        <v>2.2216960000000001E-2</v>
      </c>
      <c r="AC122" s="50">
        <f t="shared" si="196"/>
        <v>2.2216960000000001E-2</v>
      </c>
      <c r="AD122" s="50">
        <f t="shared" si="196"/>
        <v>2.2216960000000001E-2</v>
      </c>
      <c r="AE122" s="50">
        <f t="shared" si="196"/>
        <v>2.2216960000000001E-2</v>
      </c>
      <c r="AF122" s="50">
        <f t="shared" si="196"/>
        <v>2.2216960000000001E-2</v>
      </c>
      <c r="AG122" s="50">
        <f t="shared" si="196"/>
        <v>2.2216960000000001E-2</v>
      </c>
      <c r="AH122" s="50">
        <f t="shared" si="196"/>
        <v>2.2216960000000001E-2</v>
      </c>
      <c r="AI122" s="50">
        <f t="shared" si="196"/>
        <v>2.2216960000000001E-2</v>
      </c>
      <c r="AJ122" s="50">
        <f t="shared" si="196"/>
        <v>2.2216960000000001E-2</v>
      </c>
      <c r="AK122" s="50">
        <f t="shared" si="196"/>
        <v>2.2216960000000001E-2</v>
      </c>
      <c r="AL122" s="50">
        <f t="shared" si="196"/>
        <v>2.2216960000000001E-2</v>
      </c>
      <c r="AM122" s="50">
        <f t="shared" si="196"/>
        <v>2.2216960000000001E-2</v>
      </c>
      <c r="AN122" s="50">
        <f t="shared" si="196"/>
        <v>2.2216960000000001E-2</v>
      </c>
      <c r="AO122" s="50">
        <f t="shared" si="196"/>
        <v>2.2661299199999999E-2</v>
      </c>
      <c r="AP122" s="50">
        <f t="shared" si="196"/>
        <v>2.2661299199999999E-2</v>
      </c>
      <c r="AQ122" s="50">
        <f t="shared" si="196"/>
        <v>2.2661299199999999E-2</v>
      </c>
      <c r="AR122" s="50">
        <f t="shared" si="196"/>
        <v>2.2661299199999999E-2</v>
      </c>
      <c r="AS122" s="50">
        <f t="shared" si="196"/>
        <v>2.2661299199999999E-2</v>
      </c>
      <c r="AT122" s="50">
        <f t="shared" si="196"/>
        <v>2.2661299199999999E-2</v>
      </c>
      <c r="AU122" s="50">
        <f t="shared" si="196"/>
        <v>2.2661299199999999E-2</v>
      </c>
      <c r="AV122" s="50">
        <f t="shared" si="196"/>
        <v>2.2661299199999999E-2</v>
      </c>
      <c r="AW122" s="50">
        <f t="shared" si="196"/>
        <v>2.2661299199999999E-2</v>
      </c>
      <c r="AX122" s="50">
        <f t="shared" si="196"/>
        <v>2.2661299199999999E-2</v>
      </c>
      <c r="AY122" s="50">
        <f t="shared" si="196"/>
        <v>2.2661299199999999E-2</v>
      </c>
      <c r="AZ122" s="50">
        <f t="shared" si="196"/>
        <v>2.2661299199999999E-2</v>
      </c>
      <c r="BA122" s="50">
        <f t="shared" si="196"/>
        <v>2.2661299199999999E-2</v>
      </c>
      <c r="BB122" s="50">
        <f t="shared" si="196"/>
        <v>2.3114525184E-2</v>
      </c>
      <c r="BC122" s="50">
        <f t="shared" si="196"/>
        <v>2.3114525184E-2</v>
      </c>
      <c r="BD122" s="50">
        <f t="shared" si="196"/>
        <v>2.3114525184E-2</v>
      </c>
      <c r="BE122" s="50">
        <f t="shared" si="196"/>
        <v>2.3114525184E-2</v>
      </c>
      <c r="BF122" s="50">
        <f t="shared" si="196"/>
        <v>2.3114525184E-2</v>
      </c>
      <c r="BG122" s="50">
        <f t="shared" si="196"/>
        <v>2.3114525184E-2</v>
      </c>
      <c r="BH122" s="50">
        <f t="shared" si="196"/>
        <v>2.3114525184E-2</v>
      </c>
      <c r="BI122" s="50">
        <f t="shared" si="196"/>
        <v>2.3114525184E-2</v>
      </c>
      <c r="BJ122" s="50">
        <f t="shared" si="196"/>
        <v>2.3114525184E-2</v>
      </c>
      <c r="BK122" s="50">
        <f t="shared" si="196"/>
        <v>2.3114525184E-2</v>
      </c>
      <c r="BL122" s="50">
        <f t="shared" si="196"/>
        <v>2.3114525184E-2</v>
      </c>
      <c r="BM122" s="50">
        <f t="shared" si="196"/>
        <v>2.3114525184E-2</v>
      </c>
      <c r="BN122" s="50">
        <f t="shared" si="196"/>
        <v>2.3114525184E-2</v>
      </c>
    </row>
    <row r="123" spans="2:66" x14ac:dyDescent="0.2">
      <c r="B123" t="s">
        <v>31</v>
      </c>
      <c r="C123" t="s">
        <v>55</v>
      </c>
      <c r="G123" s="51">
        <f>G113</f>
        <v>3.0476190476190481E-3</v>
      </c>
      <c r="H123" s="51">
        <f t="shared" ref="H123:BN123" si="197">H113</f>
        <v>3.0476190476190481E-3</v>
      </c>
      <c r="I123" s="51">
        <f t="shared" si="197"/>
        <v>3.0476190476190481E-3</v>
      </c>
      <c r="J123" s="51">
        <f t="shared" si="197"/>
        <v>3.0476190476190481E-3</v>
      </c>
      <c r="K123" s="51">
        <f t="shared" si="197"/>
        <v>3.0476190476190481E-3</v>
      </c>
      <c r="L123" s="51">
        <f t="shared" si="197"/>
        <v>3.0476190476190481E-3</v>
      </c>
      <c r="M123" s="51">
        <f t="shared" si="197"/>
        <v>3.0476190476190481E-3</v>
      </c>
      <c r="N123" s="51">
        <f t="shared" si="197"/>
        <v>3.0476190476190481E-3</v>
      </c>
      <c r="O123" s="51">
        <f t="shared" si="197"/>
        <v>3.0476190476190481E-3</v>
      </c>
      <c r="P123" s="51">
        <f t="shared" si="197"/>
        <v>3.0476190476190481E-3</v>
      </c>
      <c r="Q123" s="51">
        <f t="shared" si="197"/>
        <v>3.1116190476190475E-3</v>
      </c>
      <c r="R123" s="51">
        <f t="shared" si="197"/>
        <v>3.1116190476190475E-3</v>
      </c>
      <c r="S123" s="51">
        <f t="shared" si="197"/>
        <v>3.1116190476190475E-3</v>
      </c>
      <c r="T123" s="51">
        <f t="shared" si="197"/>
        <v>3.1116190476190475E-3</v>
      </c>
      <c r="U123" s="51">
        <f t="shared" si="197"/>
        <v>3.1116190476190475E-3</v>
      </c>
      <c r="V123" s="51">
        <f t="shared" si="197"/>
        <v>3.1116190476190475E-3</v>
      </c>
      <c r="W123" s="51">
        <f t="shared" si="197"/>
        <v>3.1116190476190475E-3</v>
      </c>
      <c r="X123" s="51">
        <f t="shared" si="197"/>
        <v>3.1116190476190475E-3</v>
      </c>
      <c r="Y123" s="51">
        <f t="shared" si="197"/>
        <v>3.1116190476190475E-3</v>
      </c>
      <c r="Z123" s="51">
        <f t="shared" si="197"/>
        <v>3.1116190476190475E-3</v>
      </c>
      <c r="AA123" s="51">
        <f t="shared" si="197"/>
        <v>3.1116190476190475E-3</v>
      </c>
      <c r="AB123" s="51">
        <f t="shared" si="197"/>
        <v>3.1738514285714289E-3</v>
      </c>
      <c r="AC123" s="51">
        <f t="shared" si="197"/>
        <v>3.1738514285714289E-3</v>
      </c>
      <c r="AD123" s="51">
        <f t="shared" si="197"/>
        <v>3.1738514285714289E-3</v>
      </c>
      <c r="AE123" s="51">
        <f t="shared" si="197"/>
        <v>3.1738514285714289E-3</v>
      </c>
      <c r="AF123" s="51">
        <f t="shared" si="197"/>
        <v>3.1738514285714289E-3</v>
      </c>
      <c r="AG123" s="51">
        <f t="shared" si="197"/>
        <v>3.1738514285714289E-3</v>
      </c>
      <c r="AH123" s="51">
        <f t="shared" si="197"/>
        <v>3.1738514285714289E-3</v>
      </c>
      <c r="AI123" s="51">
        <f t="shared" si="197"/>
        <v>3.1738514285714289E-3</v>
      </c>
      <c r="AJ123" s="51">
        <f t="shared" si="197"/>
        <v>3.1738514285714289E-3</v>
      </c>
      <c r="AK123" s="51">
        <f t="shared" si="197"/>
        <v>3.1738514285714289E-3</v>
      </c>
      <c r="AL123" s="51">
        <f t="shared" si="197"/>
        <v>3.1738514285714289E-3</v>
      </c>
      <c r="AM123" s="51">
        <f t="shared" si="197"/>
        <v>3.1738514285714289E-3</v>
      </c>
      <c r="AN123" s="51">
        <f t="shared" si="197"/>
        <v>3.1738514285714289E-3</v>
      </c>
      <c r="AO123" s="51">
        <f t="shared" si="197"/>
        <v>3.2373284571428568E-3</v>
      </c>
      <c r="AP123" s="51">
        <f t="shared" si="197"/>
        <v>3.2373284571428568E-3</v>
      </c>
      <c r="AQ123" s="51">
        <f t="shared" si="197"/>
        <v>3.2373284571428568E-3</v>
      </c>
      <c r="AR123" s="51">
        <f t="shared" si="197"/>
        <v>3.2373284571428568E-3</v>
      </c>
      <c r="AS123" s="51">
        <f t="shared" si="197"/>
        <v>3.2373284571428568E-3</v>
      </c>
      <c r="AT123" s="51">
        <f t="shared" si="197"/>
        <v>3.2373284571428568E-3</v>
      </c>
      <c r="AU123" s="51">
        <f t="shared" si="197"/>
        <v>3.2373284571428568E-3</v>
      </c>
      <c r="AV123" s="51">
        <f t="shared" si="197"/>
        <v>3.2373284571428568E-3</v>
      </c>
      <c r="AW123" s="51">
        <f t="shared" si="197"/>
        <v>3.2373284571428568E-3</v>
      </c>
      <c r="AX123" s="51">
        <f t="shared" si="197"/>
        <v>3.2373284571428568E-3</v>
      </c>
      <c r="AY123" s="51">
        <f t="shared" si="197"/>
        <v>3.2373284571428568E-3</v>
      </c>
      <c r="AZ123" s="51">
        <f t="shared" si="197"/>
        <v>3.2373284571428568E-3</v>
      </c>
      <c r="BA123" s="51">
        <f t="shared" si="197"/>
        <v>3.2373284571428568E-3</v>
      </c>
      <c r="BB123" s="51">
        <f t="shared" si="197"/>
        <v>3.3020750262857143E-3</v>
      </c>
      <c r="BC123" s="51">
        <f t="shared" si="197"/>
        <v>3.3020750262857143E-3</v>
      </c>
      <c r="BD123" s="51">
        <f t="shared" si="197"/>
        <v>3.3020750262857143E-3</v>
      </c>
      <c r="BE123" s="51">
        <f t="shared" si="197"/>
        <v>3.3020750262857143E-3</v>
      </c>
      <c r="BF123" s="51">
        <f t="shared" si="197"/>
        <v>3.3020750262857143E-3</v>
      </c>
      <c r="BG123" s="51">
        <f t="shared" si="197"/>
        <v>3.3020750262857143E-3</v>
      </c>
      <c r="BH123" s="51">
        <f t="shared" si="197"/>
        <v>3.3020750262857143E-3</v>
      </c>
      <c r="BI123" s="51">
        <f t="shared" si="197"/>
        <v>3.3020750262857143E-3</v>
      </c>
      <c r="BJ123" s="51">
        <f t="shared" si="197"/>
        <v>3.3020750262857143E-3</v>
      </c>
      <c r="BK123" s="51">
        <f t="shared" si="197"/>
        <v>3.3020750262857143E-3</v>
      </c>
      <c r="BL123" s="51">
        <f t="shared" si="197"/>
        <v>3.3020750262857143E-3</v>
      </c>
      <c r="BM123" s="51">
        <f t="shared" si="197"/>
        <v>3.3020750262857143E-3</v>
      </c>
      <c r="BN123" s="51">
        <f t="shared" si="197"/>
        <v>3.3020750262857143E-3</v>
      </c>
    </row>
    <row r="124" spans="2:66" x14ac:dyDescent="0.2">
      <c r="B124" t="s">
        <v>23</v>
      </c>
      <c r="C124" t="s">
        <v>28</v>
      </c>
      <c r="G124" s="39">
        <f>ROUNDUP(G21/G79,0)</f>
        <v>6</v>
      </c>
      <c r="H124" s="39">
        <f t="shared" ref="H124:I124" si="198">ROUNDUP(H21/H79,0)</f>
        <v>6</v>
      </c>
      <c r="I124" s="39">
        <f t="shared" si="198"/>
        <v>6</v>
      </c>
      <c r="J124" s="39">
        <f>J21/J79</f>
        <v>5.4533333333333331</v>
      </c>
      <c r="K124" s="39">
        <f t="shared" ref="K124:BN124" si="199">K21/K79</f>
        <v>8.36</v>
      </c>
      <c r="L124" s="39">
        <f t="shared" si="199"/>
        <v>11.266666666666667</v>
      </c>
      <c r="M124" s="39">
        <f>M21/M79</f>
        <v>14.173333333333334</v>
      </c>
      <c r="N124" s="39">
        <f t="shared" si="199"/>
        <v>39.25333333333333</v>
      </c>
      <c r="O124" s="39">
        <f>O21/O79</f>
        <v>17.093333333333334</v>
      </c>
      <c r="P124" s="39">
        <f t="shared" si="199"/>
        <v>20</v>
      </c>
      <c r="Q124" s="39">
        <f t="shared" si="199"/>
        <v>20</v>
      </c>
      <c r="R124" s="39">
        <f t="shared" si="199"/>
        <v>20</v>
      </c>
      <c r="S124" s="39">
        <f t="shared" si="199"/>
        <v>20</v>
      </c>
      <c r="T124" s="39">
        <f t="shared" si="199"/>
        <v>20</v>
      </c>
      <c r="U124" s="39">
        <f t="shared" si="199"/>
        <v>20</v>
      </c>
      <c r="V124" s="39">
        <f t="shared" si="199"/>
        <v>20</v>
      </c>
      <c r="W124" s="39">
        <f t="shared" si="199"/>
        <v>20</v>
      </c>
      <c r="X124" s="39">
        <f t="shared" si="199"/>
        <v>20</v>
      </c>
      <c r="Y124" s="39">
        <f t="shared" si="199"/>
        <v>20</v>
      </c>
      <c r="Z124" s="39">
        <f t="shared" si="199"/>
        <v>20</v>
      </c>
      <c r="AA124" s="39">
        <f t="shared" si="199"/>
        <v>237.09333333333333</v>
      </c>
      <c r="AB124" s="39">
        <f t="shared" si="199"/>
        <v>20</v>
      </c>
      <c r="AC124" s="39">
        <f t="shared" si="199"/>
        <v>20</v>
      </c>
      <c r="AD124" s="39">
        <f t="shared" si="199"/>
        <v>21.053333333333335</v>
      </c>
      <c r="AE124" s="39">
        <f t="shared" si="199"/>
        <v>22.106666666666666</v>
      </c>
      <c r="AF124" s="39">
        <f t="shared" si="199"/>
        <v>23.146666666666668</v>
      </c>
      <c r="AG124" s="39">
        <f t="shared" si="199"/>
        <v>24.2</v>
      </c>
      <c r="AH124" s="39">
        <f t="shared" si="199"/>
        <v>25.253333333333334</v>
      </c>
      <c r="AI124" s="39">
        <f t="shared" si="199"/>
        <v>26.306666666666668</v>
      </c>
      <c r="AJ124" s="39">
        <f t="shared" si="199"/>
        <v>27.36</v>
      </c>
      <c r="AK124" s="39">
        <f t="shared" si="199"/>
        <v>28.413333333333334</v>
      </c>
      <c r="AL124" s="39">
        <f t="shared" si="199"/>
        <v>29.48</v>
      </c>
      <c r="AM124" s="39">
        <f t="shared" si="199"/>
        <v>30.533333333333335</v>
      </c>
      <c r="AN124" s="39">
        <f t="shared" si="199"/>
        <v>297.85333333333335</v>
      </c>
      <c r="AO124" s="39">
        <f t="shared" si="199"/>
        <v>31.573333333333334</v>
      </c>
      <c r="AP124" s="39">
        <f t="shared" si="199"/>
        <v>32.626666666666665</v>
      </c>
      <c r="AQ124" s="39">
        <f t="shared" si="199"/>
        <v>33.68</v>
      </c>
      <c r="AR124" s="39">
        <f t="shared" si="199"/>
        <v>34.733333333333334</v>
      </c>
      <c r="AS124" s="39">
        <f t="shared" si="199"/>
        <v>35.786666666666669</v>
      </c>
      <c r="AT124" s="39">
        <f t="shared" si="199"/>
        <v>36.840000000000003</v>
      </c>
      <c r="AU124" s="39">
        <f t="shared" si="199"/>
        <v>37.893333333333331</v>
      </c>
      <c r="AV124" s="39">
        <f t="shared" si="199"/>
        <v>39.999999441861334</v>
      </c>
      <c r="AW124" s="39">
        <f t="shared" si="199"/>
        <v>39.999999441861334</v>
      </c>
      <c r="AX124" s="39">
        <f t="shared" si="199"/>
        <v>39.999999441861334</v>
      </c>
      <c r="AY124" s="39">
        <f t="shared" si="199"/>
        <v>39.999999441861334</v>
      </c>
      <c r="AZ124" s="39">
        <f t="shared" si="199"/>
        <v>39.999999441861334</v>
      </c>
      <c r="BA124" s="39">
        <f t="shared" si="199"/>
        <v>443.13333054264001</v>
      </c>
      <c r="BB124" s="39">
        <f t="shared" si="199"/>
        <v>36.927777545219996</v>
      </c>
      <c r="BC124" s="39">
        <f t="shared" si="199"/>
        <v>36.927777545219996</v>
      </c>
      <c r="BD124" s="39">
        <f t="shared" si="199"/>
        <v>36.927777545219996</v>
      </c>
      <c r="BE124" s="39">
        <f t="shared" si="199"/>
        <v>36.927777545219996</v>
      </c>
      <c r="BF124" s="39">
        <f t="shared" si="199"/>
        <v>36.927777545219996</v>
      </c>
      <c r="BG124" s="39">
        <f t="shared" si="199"/>
        <v>36.927777545219996</v>
      </c>
      <c r="BH124" s="39">
        <f t="shared" si="199"/>
        <v>36.927777545219996</v>
      </c>
      <c r="BI124" s="39">
        <f t="shared" si="199"/>
        <v>36.927777545219996</v>
      </c>
      <c r="BJ124" s="39">
        <f t="shared" si="199"/>
        <v>36.927777545219996</v>
      </c>
      <c r="BK124" s="39">
        <f t="shared" si="199"/>
        <v>36.927777545219996</v>
      </c>
      <c r="BL124" s="39">
        <f t="shared" si="199"/>
        <v>36.927777545219996</v>
      </c>
      <c r="BM124" s="39">
        <f t="shared" si="199"/>
        <v>36.927777545219996</v>
      </c>
      <c r="BN124" s="39">
        <f t="shared" si="199"/>
        <v>443.13333054264001</v>
      </c>
    </row>
    <row r="125" spans="2:66" x14ac:dyDescent="0.2">
      <c r="B125" t="s">
        <v>34</v>
      </c>
      <c r="C125" t="s">
        <v>35</v>
      </c>
      <c r="G125" s="46">
        <f>G115</f>
        <v>4.2857142857142856</v>
      </c>
      <c r="H125" s="46">
        <f t="shared" ref="H125:BN125" si="200">H115</f>
        <v>4.4285714285714288</v>
      </c>
      <c r="I125" s="46">
        <f t="shared" si="200"/>
        <v>4.4285714285714288</v>
      </c>
      <c r="J125" s="46">
        <f t="shared" si="200"/>
        <v>4.2857142857142856</v>
      </c>
      <c r="K125" s="46">
        <f t="shared" si="200"/>
        <v>4.4285714285714288</v>
      </c>
      <c r="L125" s="46">
        <f t="shared" si="200"/>
        <v>4.2857142857142856</v>
      </c>
      <c r="M125" s="46">
        <f t="shared" si="200"/>
        <v>4.4285714285714288</v>
      </c>
      <c r="N125" s="46">
        <f t="shared" si="200"/>
        <v>0</v>
      </c>
      <c r="O125" s="46">
        <f>O115</f>
        <v>4.4285714285714288</v>
      </c>
      <c r="P125" s="46">
        <f t="shared" si="200"/>
        <v>4</v>
      </c>
      <c r="Q125" s="46">
        <f t="shared" si="200"/>
        <v>4.4285714285714288</v>
      </c>
      <c r="R125" s="46">
        <f t="shared" si="200"/>
        <v>4.2857142857142856</v>
      </c>
      <c r="S125" s="46">
        <f t="shared" si="200"/>
        <v>4.4285714285714288</v>
      </c>
      <c r="T125" s="46">
        <f t="shared" si="200"/>
        <v>4.2857142857142856</v>
      </c>
      <c r="U125" s="46">
        <f t="shared" si="200"/>
        <v>4.4285714285714288</v>
      </c>
      <c r="V125" s="46">
        <f t="shared" si="200"/>
        <v>4.4285714285714288</v>
      </c>
      <c r="W125" s="46">
        <f t="shared" si="200"/>
        <v>4.2857142857142856</v>
      </c>
      <c r="X125" s="46">
        <f t="shared" si="200"/>
        <v>4.4285714285714288</v>
      </c>
      <c r="Y125" s="46">
        <f t="shared" si="200"/>
        <v>4.2857142857142856</v>
      </c>
      <c r="Z125" s="46">
        <f t="shared" si="200"/>
        <v>4.4285714285714288</v>
      </c>
      <c r="AA125" s="46">
        <f t="shared" si="200"/>
        <v>4.3452380952380958</v>
      </c>
      <c r="AB125" s="46">
        <f t="shared" si="200"/>
        <v>4.4285714285714288</v>
      </c>
      <c r="AC125" s="46">
        <f t="shared" si="200"/>
        <v>4</v>
      </c>
      <c r="AD125" s="46">
        <f t="shared" si="200"/>
        <v>4.4285714285714288</v>
      </c>
      <c r="AE125" s="46">
        <f t="shared" si="200"/>
        <v>4.2857142857142856</v>
      </c>
      <c r="AF125" s="46">
        <f t="shared" si="200"/>
        <v>4.4285714285714288</v>
      </c>
      <c r="AG125" s="46">
        <f t="shared" si="200"/>
        <v>4.2857142857142856</v>
      </c>
      <c r="AH125" s="46">
        <f t="shared" si="200"/>
        <v>4.4285714285714288</v>
      </c>
      <c r="AI125" s="46">
        <f t="shared" si="200"/>
        <v>4.4285714285714288</v>
      </c>
      <c r="AJ125" s="46">
        <f t="shared" si="200"/>
        <v>4.2857142857142856</v>
      </c>
      <c r="AK125" s="46">
        <f t="shared" si="200"/>
        <v>4.4285714285714288</v>
      </c>
      <c r="AL125" s="46">
        <f t="shared" si="200"/>
        <v>4.2857142857142856</v>
      </c>
      <c r="AM125" s="46">
        <f t="shared" si="200"/>
        <v>4.4285714285714288</v>
      </c>
      <c r="AN125" s="46">
        <f t="shared" si="200"/>
        <v>4.3452380952380958</v>
      </c>
      <c r="AO125" s="46">
        <f t="shared" si="200"/>
        <v>4.4285714285714288</v>
      </c>
      <c r="AP125" s="46">
        <f t="shared" si="200"/>
        <v>4.1428571428571432</v>
      </c>
      <c r="AQ125" s="46">
        <f t="shared" si="200"/>
        <v>4.4285714285714288</v>
      </c>
      <c r="AR125" s="46">
        <f t="shared" si="200"/>
        <v>4.2857142857142856</v>
      </c>
      <c r="AS125" s="46">
        <f t="shared" si="200"/>
        <v>4.4285714285714288</v>
      </c>
      <c r="AT125" s="46">
        <f t="shared" si="200"/>
        <v>4.2857142857142856</v>
      </c>
      <c r="AU125" s="46">
        <f t="shared" si="200"/>
        <v>4.4285714285714288</v>
      </c>
      <c r="AV125" s="46">
        <f t="shared" si="200"/>
        <v>4.4285714285714288</v>
      </c>
      <c r="AW125" s="46">
        <f t="shared" si="200"/>
        <v>4.2857142857142856</v>
      </c>
      <c r="AX125" s="46">
        <f t="shared" si="200"/>
        <v>4.4285714285714288</v>
      </c>
      <c r="AY125" s="46">
        <f t="shared" si="200"/>
        <v>4.2857142857142856</v>
      </c>
      <c r="AZ125" s="46">
        <f t="shared" si="200"/>
        <v>4.4285714285714288</v>
      </c>
      <c r="BA125" s="46">
        <f t="shared" si="200"/>
        <v>4.3571428571428577</v>
      </c>
      <c r="BB125" s="46">
        <f t="shared" si="200"/>
        <v>4.4285714285714288</v>
      </c>
      <c r="BC125" s="46">
        <f t="shared" si="200"/>
        <v>4</v>
      </c>
      <c r="BD125" s="46">
        <f t="shared" si="200"/>
        <v>4.4285714285714288</v>
      </c>
      <c r="BE125" s="46">
        <f t="shared" si="200"/>
        <v>4.2857142857142856</v>
      </c>
      <c r="BF125" s="46">
        <f t="shared" si="200"/>
        <v>4.4285714285714288</v>
      </c>
      <c r="BG125" s="46">
        <f t="shared" si="200"/>
        <v>4.2857142857142856</v>
      </c>
      <c r="BH125" s="46">
        <f t="shared" si="200"/>
        <v>4.4285714285714288</v>
      </c>
      <c r="BI125" s="46">
        <f t="shared" si="200"/>
        <v>4.4285714285714288</v>
      </c>
      <c r="BJ125" s="46">
        <f t="shared" si="200"/>
        <v>4.2857142857142856</v>
      </c>
      <c r="BK125" s="46">
        <f t="shared" si="200"/>
        <v>4.4285714285714288</v>
      </c>
      <c r="BL125" s="46">
        <f t="shared" si="200"/>
        <v>4.2857142857142856</v>
      </c>
      <c r="BM125" s="46">
        <f t="shared" si="200"/>
        <v>4.4285714285714288</v>
      </c>
      <c r="BN125" s="46">
        <f t="shared" si="200"/>
        <v>4.3452380952380958</v>
      </c>
    </row>
    <row r="126" spans="2:66" x14ac:dyDescent="0.2">
      <c r="B126" t="s">
        <v>43</v>
      </c>
      <c r="C126" t="s">
        <v>51</v>
      </c>
      <c r="G126" s="23">
        <v>7</v>
      </c>
      <c r="H126" s="23">
        <v>7</v>
      </c>
      <c r="I126" s="23">
        <v>7</v>
      </c>
      <c r="J126" s="23">
        <v>7</v>
      </c>
      <c r="K126" s="23">
        <v>7</v>
      </c>
      <c r="L126" s="23">
        <v>7</v>
      </c>
      <c r="M126" s="23">
        <v>7</v>
      </c>
      <c r="N126" s="23">
        <v>7</v>
      </c>
      <c r="O126" s="23">
        <v>7</v>
      </c>
      <c r="P126" s="23">
        <v>7</v>
      </c>
      <c r="Q126" s="23">
        <v>7</v>
      </c>
      <c r="R126" s="23">
        <v>7</v>
      </c>
      <c r="S126" s="23">
        <v>7</v>
      </c>
      <c r="T126" s="23">
        <v>7</v>
      </c>
      <c r="U126" s="23">
        <v>7</v>
      </c>
      <c r="V126" s="23">
        <v>7</v>
      </c>
      <c r="W126" s="23">
        <v>7</v>
      </c>
      <c r="X126" s="23">
        <v>7</v>
      </c>
      <c r="Y126" s="23">
        <v>7</v>
      </c>
      <c r="Z126" s="23">
        <v>7</v>
      </c>
      <c r="AA126" s="23">
        <v>7</v>
      </c>
      <c r="AB126" s="23">
        <v>7</v>
      </c>
      <c r="AC126" s="23">
        <v>7</v>
      </c>
      <c r="AD126" s="23">
        <v>7</v>
      </c>
      <c r="AE126" s="23">
        <v>7</v>
      </c>
      <c r="AF126" s="23">
        <v>7</v>
      </c>
      <c r="AG126" s="23">
        <v>7</v>
      </c>
      <c r="AH126" s="23">
        <v>7</v>
      </c>
      <c r="AI126" s="23">
        <v>7</v>
      </c>
      <c r="AJ126" s="23">
        <v>7</v>
      </c>
      <c r="AK126" s="23">
        <v>7</v>
      </c>
      <c r="AL126" s="23">
        <v>7</v>
      </c>
      <c r="AM126" s="23">
        <v>7</v>
      </c>
      <c r="AN126" s="23">
        <v>7</v>
      </c>
      <c r="AO126" s="23">
        <v>7</v>
      </c>
      <c r="AP126" s="23">
        <v>7</v>
      </c>
      <c r="AQ126" s="23">
        <v>7</v>
      </c>
      <c r="AR126" s="23">
        <v>7</v>
      </c>
      <c r="AS126" s="23">
        <v>7</v>
      </c>
      <c r="AT126" s="23">
        <v>7</v>
      </c>
      <c r="AU126" s="23">
        <v>7</v>
      </c>
      <c r="AV126" s="23">
        <v>7</v>
      </c>
      <c r="AW126" s="23">
        <v>7</v>
      </c>
      <c r="AX126" s="23">
        <v>7</v>
      </c>
      <c r="AY126" s="23">
        <v>7</v>
      </c>
      <c r="AZ126" s="23">
        <v>7</v>
      </c>
      <c r="BA126" s="23">
        <v>7</v>
      </c>
      <c r="BB126" s="23">
        <v>7</v>
      </c>
      <c r="BC126" s="23">
        <v>7</v>
      </c>
      <c r="BD126" s="23">
        <v>7</v>
      </c>
      <c r="BE126" s="23">
        <v>7</v>
      </c>
      <c r="BF126" s="23">
        <v>7</v>
      </c>
      <c r="BG126" s="23">
        <v>7</v>
      </c>
      <c r="BH126" s="23">
        <v>7</v>
      </c>
      <c r="BI126" s="23">
        <v>7</v>
      </c>
      <c r="BJ126" s="23">
        <v>7</v>
      </c>
      <c r="BK126" s="23">
        <v>7</v>
      </c>
      <c r="BL126" s="23">
        <v>7</v>
      </c>
      <c r="BM126" s="23">
        <v>7</v>
      </c>
      <c r="BN126" s="23">
        <v>7</v>
      </c>
    </row>
    <row r="127" spans="2:66" x14ac:dyDescent="0.2">
      <c r="G127" s="24"/>
      <c r="H127" s="24"/>
      <c r="I127" s="24"/>
      <c r="J127" s="24"/>
      <c r="K127" s="24"/>
      <c r="L127" s="24"/>
      <c r="M127" s="24"/>
      <c r="N127" s="23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</row>
    <row r="129" spans="2:23" x14ac:dyDescent="0.2">
      <c r="B129" s="6" t="s">
        <v>60</v>
      </c>
    </row>
    <row r="130" spans="2:23" x14ac:dyDescent="0.2">
      <c r="B130" s="53" t="s">
        <v>62</v>
      </c>
    </row>
    <row r="131" spans="2:23" x14ac:dyDescent="0.2">
      <c r="B131" s="10" t="s">
        <v>63</v>
      </c>
      <c r="C131" s="10"/>
      <c r="D131" s="10">
        <v>1</v>
      </c>
      <c r="E131" s="10">
        <v>2</v>
      </c>
      <c r="F131" s="10">
        <v>3</v>
      </c>
      <c r="G131" s="10">
        <v>4</v>
      </c>
      <c r="H131" s="10">
        <v>5</v>
      </c>
      <c r="I131" s="10">
        <v>6</v>
      </c>
      <c r="J131" s="10">
        <v>7</v>
      </c>
      <c r="K131" s="10">
        <v>8</v>
      </c>
      <c r="L131" s="10">
        <v>9</v>
      </c>
      <c r="M131" s="10">
        <v>10</v>
      </c>
      <c r="N131" s="10">
        <v>11</v>
      </c>
      <c r="O131" s="10">
        <v>12</v>
      </c>
      <c r="P131" s="10">
        <v>13</v>
      </c>
      <c r="Q131" s="10">
        <v>14</v>
      </c>
      <c r="R131" s="10">
        <v>15</v>
      </c>
      <c r="S131" s="10">
        <v>16</v>
      </c>
      <c r="T131" s="10">
        <v>17</v>
      </c>
      <c r="U131" s="10">
        <v>18</v>
      </c>
      <c r="V131" s="60">
        <v>19</v>
      </c>
      <c r="W131" s="10">
        <v>18</v>
      </c>
    </row>
    <row r="132" spans="2:23" s="24" customFormat="1" ht="20" x14ac:dyDescent="0.2">
      <c r="B132" s="54"/>
      <c r="C132" s="56">
        <v>1</v>
      </c>
      <c r="D132" s="24">
        <v>50</v>
      </c>
      <c r="E132" s="24">
        <v>85.5</v>
      </c>
      <c r="F132" s="24">
        <v>118</v>
      </c>
      <c r="G132" s="24">
        <v>141</v>
      </c>
      <c r="H132" s="24">
        <v>157</v>
      </c>
      <c r="I132" s="24">
        <v>166</v>
      </c>
      <c r="J132" s="24">
        <v>173.5</v>
      </c>
      <c r="K132" s="24">
        <v>179.5</v>
      </c>
      <c r="L132" s="24">
        <v>188</v>
      </c>
      <c r="M132" s="24">
        <v>194.5</v>
      </c>
      <c r="N132" s="24">
        <v>200.5</v>
      </c>
      <c r="O132" s="24">
        <v>207</v>
      </c>
      <c r="P132" s="24">
        <v>214</v>
      </c>
      <c r="Q132" s="24">
        <v>220.5</v>
      </c>
      <c r="R132" s="24">
        <v>225.5</v>
      </c>
      <c r="S132" s="24">
        <v>231</v>
      </c>
      <c r="T132" s="24">
        <v>235</v>
      </c>
      <c r="U132" s="24">
        <v>240.5</v>
      </c>
      <c r="V132" s="24">
        <v>256</v>
      </c>
    </row>
    <row r="133" spans="2:23" s="24" customFormat="1" x14ac:dyDescent="0.2">
      <c r="B133" s="55" t="s">
        <v>65</v>
      </c>
      <c r="C133" s="57">
        <v>2</v>
      </c>
      <c r="D133" s="24">
        <v>52.5</v>
      </c>
      <c r="E133" s="24">
        <v>99.5</v>
      </c>
      <c r="F133" s="24">
        <v>127.5</v>
      </c>
      <c r="G133" s="24">
        <v>150.5</v>
      </c>
      <c r="H133" s="24">
        <v>172.5</v>
      </c>
      <c r="I133" s="24">
        <v>187</v>
      </c>
      <c r="J133" s="24">
        <v>197.5</v>
      </c>
      <c r="K133" s="24">
        <v>207</v>
      </c>
      <c r="L133" s="24">
        <v>214</v>
      </c>
      <c r="M133" s="24">
        <v>218.5</v>
      </c>
      <c r="N133" s="24">
        <v>222.5</v>
      </c>
      <c r="O133" s="24">
        <v>229</v>
      </c>
      <c r="P133" s="24">
        <v>234</v>
      </c>
      <c r="Q133" s="24">
        <v>241.5</v>
      </c>
      <c r="R133" s="24">
        <v>248.5</v>
      </c>
      <c r="S133" s="24">
        <v>256</v>
      </c>
      <c r="T133" s="24">
        <v>261.5</v>
      </c>
      <c r="U133" s="24">
        <v>269.5</v>
      </c>
      <c r="V133" s="24">
        <v>307</v>
      </c>
    </row>
    <row r="134" spans="2:23" x14ac:dyDescent="0.2">
      <c r="B134" s="55"/>
      <c r="C134" s="58">
        <v>3</v>
      </c>
      <c r="D134" s="24">
        <v>52.5</v>
      </c>
      <c r="E134" s="24">
        <v>99.5</v>
      </c>
      <c r="F134" s="24">
        <v>141</v>
      </c>
      <c r="G134" s="24">
        <v>170.5</v>
      </c>
      <c r="H134" s="24">
        <v>190</v>
      </c>
      <c r="I134" s="24">
        <v>205</v>
      </c>
      <c r="J134" s="24">
        <v>218.5</v>
      </c>
      <c r="K134" s="24">
        <v>230</v>
      </c>
      <c r="L134" s="24">
        <v>241.5</v>
      </c>
      <c r="M134" s="24">
        <v>248.5</v>
      </c>
      <c r="N134" s="24">
        <v>257</v>
      </c>
      <c r="O134" s="24">
        <v>265.5</v>
      </c>
      <c r="P134" s="24">
        <v>274</v>
      </c>
      <c r="Q134" s="24">
        <v>283</v>
      </c>
      <c r="R134" s="24">
        <v>288.5</v>
      </c>
      <c r="S134" s="24">
        <v>298</v>
      </c>
      <c r="T134" s="24">
        <v>303</v>
      </c>
      <c r="U134" s="24">
        <v>310.5</v>
      </c>
      <c r="V134" s="24">
        <v>357.5</v>
      </c>
    </row>
    <row r="135" spans="2:23" x14ac:dyDescent="0.2">
      <c r="B135" s="55" t="s">
        <v>66</v>
      </c>
      <c r="C135" s="58">
        <v>4</v>
      </c>
      <c r="D135" s="24">
        <v>52.5</v>
      </c>
      <c r="E135" s="24">
        <v>99.5</v>
      </c>
      <c r="F135" s="24">
        <v>141</v>
      </c>
      <c r="G135" s="24">
        <v>170.5</v>
      </c>
      <c r="H135" s="24">
        <v>197.5</v>
      </c>
      <c r="I135" s="24">
        <v>225.5</v>
      </c>
      <c r="J135" s="24">
        <v>246.5</v>
      </c>
      <c r="K135" s="24">
        <v>260</v>
      </c>
      <c r="L135" s="24">
        <v>275</v>
      </c>
      <c r="M135" s="24">
        <v>288.5</v>
      </c>
      <c r="N135" s="24">
        <v>301</v>
      </c>
      <c r="O135" s="24">
        <v>310.5</v>
      </c>
      <c r="P135" s="24">
        <v>321</v>
      </c>
      <c r="Q135" s="24">
        <v>330</v>
      </c>
      <c r="R135" s="24">
        <v>339.5</v>
      </c>
      <c r="S135" s="24">
        <v>349</v>
      </c>
      <c r="T135" s="24">
        <v>356.5</v>
      </c>
      <c r="U135" s="24">
        <v>367</v>
      </c>
      <c r="V135" s="24">
        <v>422</v>
      </c>
    </row>
    <row r="136" spans="2:23" x14ac:dyDescent="0.2">
      <c r="B136" s="55"/>
      <c r="C136" s="57">
        <v>5</v>
      </c>
      <c r="D136" s="24">
        <v>52.5</v>
      </c>
      <c r="E136" s="24">
        <v>99.5</v>
      </c>
      <c r="F136" s="24">
        <v>141</v>
      </c>
      <c r="G136" s="24">
        <v>170.5</v>
      </c>
      <c r="H136" s="24">
        <v>212</v>
      </c>
      <c r="I136" s="24">
        <v>246.5</v>
      </c>
      <c r="J136" s="24">
        <v>275</v>
      </c>
      <c r="K136" s="24">
        <v>298</v>
      </c>
      <c r="L136" s="24">
        <v>316.5</v>
      </c>
      <c r="M136" s="24">
        <v>337.5</v>
      </c>
      <c r="N136" s="24">
        <v>351</v>
      </c>
      <c r="O136" s="24">
        <v>361.5</v>
      </c>
      <c r="P136" s="24">
        <v>369</v>
      </c>
      <c r="Q136" s="24">
        <v>378.5</v>
      </c>
      <c r="R136" s="24">
        <v>386.5</v>
      </c>
      <c r="S136" s="24">
        <v>395</v>
      </c>
      <c r="T136" s="24">
        <v>402.5</v>
      </c>
      <c r="U136" s="24">
        <v>409.5</v>
      </c>
      <c r="V136" s="24">
        <v>486</v>
      </c>
    </row>
    <row r="137" spans="2:23" x14ac:dyDescent="0.2">
      <c r="B137" s="55" t="s">
        <v>67</v>
      </c>
      <c r="C137" s="59">
        <v>6</v>
      </c>
      <c r="D137" s="24">
        <v>57.5</v>
      </c>
      <c r="E137" s="24">
        <v>107.5</v>
      </c>
      <c r="F137" s="24">
        <v>153.5</v>
      </c>
      <c r="G137" s="24">
        <v>193.5</v>
      </c>
      <c r="H137" s="24">
        <v>225.5</v>
      </c>
      <c r="I137" s="24">
        <v>265.5</v>
      </c>
      <c r="J137" s="24">
        <v>302</v>
      </c>
      <c r="K137" s="24">
        <v>325</v>
      </c>
      <c r="L137" s="24">
        <v>341.5</v>
      </c>
      <c r="M137" s="24">
        <v>361.5</v>
      </c>
      <c r="N137" s="24">
        <v>376</v>
      </c>
      <c r="O137" s="24">
        <v>390</v>
      </c>
      <c r="P137" s="24">
        <v>403.5</v>
      </c>
      <c r="Q137" s="24">
        <v>417</v>
      </c>
      <c r="R137" s="24">
        <v>428.5</v>
      </c>
      <c r="S137" s="24">
        <v>434.5</v>
      </c>
      <c r="T137" s="24">
        <v>445</v>
      </c>
      <c r="U137" s="24">
        <v>451.5</v>
      </c>
      <c r="V137" s="24">
        <v>538</v>
      </c>
    </row>
    <row r="138" spans="2:23" x14ac:dyDescent="0.2">
      <c r="B138" s="55"/>
      <c r="C138" s="58">
        <v>7</v>
      </c>
      <c r="D138" s="24">
        <v>57.5</v>
      </c>
      <c r="E138" s="24">
        <v>107.5</v>
      </c>
      <c r="F138" s="24">
        <v>153.5</v>
      </c>
      <c r="G138" s="24">
        <v>193.5</v>
      </c>
      <c r="H138" s="24">
        <v>244.5</v>
      </c>
      <c r="I138" s="24">
        <v>291.5</v>
      </c>
      <c r="J138" s="24">
        <v>334.5</v>
      </c>
      <c r="K138" s="24">
        <v>360.5</v>
      </c>
      <c r="L138" s="24">
        <v>381.5</v>
      </c>
      <c r="M138" s="24">
        <v>400</v>
      </c>
      <c r="N138" s="24">
        <v>418</v>
      </c>
      <c r="O138" s="24">
        <v>431.5</v>
      </c>
      <c r="P138" s="24">
        <v>444</v>
      </c>
      <c r="Q138" s="24">
        <v>454.5</v>
      </c>
      <c r="R138" s="24">
        <v>465</v>
      </c>
      <c r="S138" s="24">
        <v>477.5</v>
      </c>
      <c r="T138" s="24">
        <v>485</v>
      </c>
      <c r="U138" s="24">
        <v>493</v>
      </c>
      <c r="V138" s="24">
        <v>577</v>
      </c>
    </row>
    <row r="139" spans="2:23" x14ac:dyDescent="0.2">
      <c r="B139" s="55" t="s">
        <v>68</v>
      </c>
      <c r="C139" s="59">
        <v>8</v>
      </c>
      <c r="D139" s="24">
        <v>73</v>
      </c>
      <c r="E139" s="24">
        <v>141</v>
      </c>
      <c r="F139" s="24">
        <v>194.5</v>
      </c>
      <c r="G139" s="24">
        <v>250</v>
      </c>
      <c r="H139" s="24">
        <v>291.5</v>
      </c>
      <c r="I139" s="24">
        <v>328</v>
      </c>
      <c r="J139" s="24">
        <v>355.5</v>
      </c>
      <c r="K139" s="24">
        <v>383.5</v>
      </c>
      <c r="L139" s="24">
        <v>409.5</v>
      </c>
      <c r="M139" s="24">
        <v>430.5</v>
      </c>
      <c r="N139" s="24">
        <v>451.5</v>
      </c>
      <c r="O139" s="24">
        <v>472.5</v>
      </c>
      <c r="P139" s="24">
        <v>488</v>
      </c>
      <c r="Q139" s="24">
        <v>506</v>
      </c>
      <c r="R139" s="24">
        <v>516</v>
      </c>
      <c r="S139" s="24">
        <v>531</v>
      </c>
      <c r="T139" s="24">
        <v>540.5</v>
      </c>
      <c r="U139" s="24">
        <v>553</v>
      </c>
      <c r="V139" s="24">
        <v>634.5</v>
      </c>
    </row>
    <row r="140" spans="2:23" x14ac:dyDescent="0.2">
      <c r="B140" s="55"/>
      <c r="C140" s="58">
        <v>9</v>
      </c>
      <c r="D140" s="24">
        <v>82.5</v>
      </c>
      <c r="E140" s="24">
        <v>158</v>
      </c>
      <c r="F140" s="24">
        <v>227</v>
      </c>
      <c r="G140" s="24">
        <v>288.5</v>
      </c>
      <c r="H140" s="24">
        <v>331.5</v>
      </c>
      <c r="I140" s="24">
        <v>367</v>
      </c>
      <c r="J140" s="24">
        <v>395</v>
      </c>
      <c r="K140" s="24">
        <v>422</v>
      </c>
      <c r="L140" s="24">
        <v>449.5</v>
      </c>
      <c r="M140" s="24">
        <v>476.5</v>
      </c>
      <c r="N140" s="24">
        <v>503.5</v>
      </c>
      <c r="O140" s="24">
        <v>530</v>
      </c>
      <c r="P140" s="24">
        <v>556</v>
      </c>
      <c r="Q140" s="24">
        <v>573.5</v>
      </c>
      <c r="R140" s="24">
        <v>593.5</v>
      </c>
      <c r="S140" s="24">
        <v>610.5</v>
      </c>
      <c r="T140" s="24">
        <v>623</v>
      </c>
      <c r="U140" s="24">
        <v>636.5</v>
      </c>
      <c r="V140" s="24">
        <v>704.5</v>
      </c>
    </row>
    <row r="141" spans="2:23" x14ac:dyDescent="0.2">
      <c r="B141" s="55"/>
      <c r="C141" s="58">
        <v>10</v>
      </c>
      <c r="D141" s="24">
        <v>82.5</v>
      </c>
      <c r="E141" s="24">
        <v>158</v>
      </c>
      <c r="F141" s="24">
        <v>227</v>
      </c>
      <c r="G141" s="24">
        <v>288.5</v>
      </c>
      <c r="H141" s="24">
        <v>347</v>
      </c>
      <c r="I141" s="24">
        <v>402.5</v>
      </c>
      <c r="J141" s="24">
        <v>459</v>
      </c>
      <c r="K141" s="24">
        <v>514</v>
      </c>
      <c r="L141" s="24">
        <v>553</v>
      </c>
      <c r="M141" s="24">
        <v>592.5</v>
      </c>
      <c r="N141" s="24">
        <v>636.5</v>
      </c>
      <c r="O141" s="24">
        <v>676</v>
      </c>
      <c r="P141" s="24">
        <v>705.5</v>
      </c>
      <c r="Q141" s="24">
        <v>720</v>
      </c>
      <c r="R141" s="24">
        <v>733.5</v>
      </c>
      <c r="S141" s="24">
        <v>748</v>
      </c>
      <c r="T141" s="24">
        <v>762</v>
      </c>
      <c r="U141" s="24">
        <v>776.5</v>
      </c>
      <c r="V141" s="24">
        <v>869.5</v>
      </c>
    </row>
    <row r="142" spans="2:23" ht="6.75" customHeight="1" x14ac:dyDescent="0.2">
      <c r="B142" s="55"/>
      <c r="C142" s="58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</row>
    <row r="143" spans="2:23" ht="20" x14ac:dyDescent="0.2">
      <c r="B143" s="61" t="s">
        <v>282</v>
      </c>
      <c r="C143" s="62"/>
      <c r="D143" s="63">
        <f>AVERAGE(D132:D142)</f>
        <v>61.3</v>
      </c>
      <c r="E143" s="233">
        <f>AVERAGE(E132:E142)/E131</f>
        <v>57.774999999999999</v>
      </c>
      <c r="F143" s="233">
        <f t="shared" ref="F143:N143" si="201">AVERAGE(F132:F142)/F131</f>
        <v>54.133333333333333</v>
      </c>
      <c r="G143" s="233">
        <f t="shared" si="201"/>
        <v>50.424999999999997</v>
      </c>
      <c r="H143" s="233">
        <f t="shared" si="201"/>
        <v>47.38</v>
      </c>
      <c r="I143" s="233">
        <f t="shared" si="201"/>
        <v>44.741666666666667</v>
      </c>
      <c r="J143" s="233">
        <f t="shared" si="201"/>
        <v>42.24285714285714</v>
      </c>
      <c r="K143" s="233">
        <f t="shared" si="201"/>
        <v>39.743749999999999</v>
      </c>
      <c r="L143" s="233">
        <f t="shared" si="201"/>
        <v>37.444444444444443</v>
      </c>
      <c r="M143" s="233">
        <f t="shared" si="201"/>
        <v>35.484999999999999</v>
      </c>
      <c r="N143" s="233">
        <f t="shared" si="201"/>
        <v>33.795454545454547</v>
      </c>
      <c r="O143" s="233">
        <f t="shared" ref="O143" si="202">AVERAGE(O132:O142)/O131</f>
        <v>32.279166666666669</v>
      </c>
      <c r="P143" s="233">
        <f t="shared" ref="P143" si="203">AVERAGE(P132:P142)/P131</f>
        <v>30.838461538461537</v>
      </c>
      <c r="Q143" s="233">
        <f t="shared" ref="Q143" si="204">AVERAGE(Q132:Q142)/Q131</f>
        <v>29.460714285714285</v>
      </c>
      <c r="R143" s="233">
        <f t="shared" ref="R143" si="205">AVERAGE(R132:R142)/R131</f>
        <v>28.166666666666668</v>
      </c>
      <c r="S143" s="233">
        <f t="shared" ref="S143" si="206">AVERAGE(S132:S142)/S131</f>
        <v>27.065625000000001</v>
      </c>
      <c r="T143" s="233">
        <f t="shared" ref="T143" si="207">AVERAGE(T132:T142)/T131</f>
        <v>25.964705882352941</v>
      </c>
      <c r="U143" s="233">
        <f t="shared" ref="U143" si="208">AVERAGE(U132:U142)/U131</f>
        <v>25.041666666666668</v>
      </c>
      <c r="V143" s="233">
        <f t="shared" ref="V143" si="209">AVERAGE(V132:V142)/V131</f>
        <v>27.115789473684213</v>
      </c>
    </row>
    <row r="144" spans="2:23" x14ac:dyDescent="0.2">
      <c r="B144" s="6"/>
    </row>
    <row r="145" spans="2:22" x14ac:dyDescent="0.2">
      <c r="B145" s="53" t="s">
        <v>69</v>
      </c>
    </row>
    <row r="146" spans="2:22" x14ac:dyDescent="0.2">
      <c r="B146" s="10" t="s">
        <v>70</v>
      </c>
      <c r="C146" s="10"/>
      <c r="D146" s="10">
        <v>1</v>
      </c>
      <c r="E146" s="10">
        <v>2</v>
      </c>
      <c r="F146" s="10">
        <v>3</v>
      </c>
      <c r="G146" s="10">
        <v>4</v>
      </c>
      <c r="H146" s="10">
        <v>5</v>
      </c>
      <c r="I146" s="10">
        <v>6</v>
      </c>
      <c r="J146" s="10">
        <v>7</v>
      </c>
      <c r="K146" s="10">
        <v>8</v>
      </c>
      <c r="L146" s="10">
        <v>9</v>
      </c>
      <c r="M146" s="10">
        <v>10</v>
      </c>
      <c r="N146" s="10">
        <v>11</v>
      </c>
      <c r="O146" s="10">
        <v>12</v>
      </c>
      <c r="P146" s="10">
        <v>13</v>
      </c>
      <c r="Q146" s="10">
        <v>14</v>
      </c>
      <c r="R146" s="10">
        <v>15</v>
      </c>
      <c r="S146" s="10">
        <v>16</v>
      </c>
      <c r="T146" s="10">
        <v>17</v>
      </c>
      <c r="U146" s="10">
        <v>18</v>
      </c>
      <c r="V146" s="60" t="s">
        <v>64</v>
      </c>
    </row>
    <row r="147" spans="2:22" ht="20" x14ac:dyDescent="0.2">
      <c r="B147" s="54"/>
      <c r="C147" s="56">
        <v>1</v>
      </c>
      <c r="D147" s="24">
        <v>45</v>
      </c>
      <c r="E147" s="24">
        <v>79.5</v>
      </c>
      <c r="F147" s="24">
        <v>106.5</v>
      </c>
      <c r="G147" s="24">
        <v>127.5</v>
      </c>
      <c r="H147" s="24">
        <v>139</v>
      </c>
      <c r="I147" s="24">
        <v>150.5</v>
      </c>
      <c r="J147" s="24">
        <v>157</v>
      </c>
      <c r="K147" s="24">
        <v>162</v>
      </c>
      <c r="L147" s="24">
        <v>170.5</v>
      </c>
      <c r="M147" s="24">
        <v>175.5</v>
      </c>
      <c r="N147" s="24">
        <v>179.5</v>
      </c>
      <c r="O147" s="24">
        <v>187</v>
      </c>
      <c r="P147" s="24">
        <v>193.5</v>
      </c>
      <c r="Q147" s="24">
        <v>197.5</v>
      </c>
      <c r="R147" s="64" t="s">
        <v>71</v>
      </c>
      <c r="S147" s="64" t="s">
        <v>71</v>
      </c>
      <c r="T147" s="64" t="s">
        <v>71</v>
      </c>
      <c r="U147" s="64" t="s">
        <v>71</v>
      </c>
      <c r="V147" s="64" t="s">
        <v>71</v>
      </c>
    </row>
    <row r="148" spans="2:22" x14ac:dyDescent="0.2">
      <c r="B148" s="55" t="s">
        <v>65</v>
      </c>
      <c r="C148" s="57">
        <v>2</v>
      </c>
      <c r="D148" s="24">
        <v>48</v>
      </c>
      <c r="E148" s="24">
        <v>86.5</v>
      </c>
      <c r="F148" s="24">
        <v>113</v>
      </c>
      <c r="G148" s="24">
        <v>135</v>
      </c>
      <c r="H148" s="24">
        <v>154.5</v>
      </c>
      <c r="I148" s="24">
        <v>168</v>
      </c>
      <c r="J148" s="24">
        <v>177.5</v>
      </c>
      <c r="K148" s="24">
        <v>187</v>
      </c>
      <c r="L148" s="24">
        <v>193.5</v>
      </c>
      <c r="M148" s="24">
        <v>195.5</v>
      </c>
      <c r="N148" s="24">
        <v>200.5</v>
      </c>
      <c r="O148" s="24">
        <v>206</v>
      </c>
      <c r="P148" s="24">
        <v>211</v>
      </c>
      <c r="Q148" s="24">
        <v>218.5</v>
      </c>
      <c r="R148" s="64" t="s">
        <v>71</v>
      </c>
      <c r="S148" s="64" t="s">
        <v>71</v>
      </c>
      <c r="T148" s="64" t="s">
        <v>71</v>
      </c>
      <c r="U148" s="64" t="s">
        <v>71</v>
      </c>
      <c r="V148" s="64" t="s">
        <v>71</v>
      </c>
    </row>
    <row r="149" spans="2:22" x14ac:dyDescent="0.2">
      <c r="B149" s="55"/>
      <c r="C149" s="58">
        <v>3</v>
      </c>
      <c r="D149" s="24">
        <v>48</v>
      </c>
      <c r="E149" s="24">
        <v>86.5</v>
      </c>
      <c r="F149" s="24">
        <v>127.5</v>
      </c>
      <c r="G149" s="24">
        <v>152.5</v>
      </c>
      <c r="H149" s="24">
        <v>172.5</v>
      </c>
      <c r="I149" s="24">
        <v>185</v>
      </c>
      <c r="J149" s="24">
        <v>195.5</v>
      </c>
      <c r="K149" s="24">
        <v>207</v>
      </c>
      <c r="L149" s="24">
        <v>218.5</v>
      </c>
      <c r="M149" s="24">
        <v>222.5</v>
      </c>
      <c r="N149" s="24">
        <v>231</v>
      </c>
      <c r="O149" s="24">
        <v>239.5</v>
      </c>
      <c r="P149" s="24">
        <v>245.5</v>
      </c>
      <c r="Q149" s="24">
        <v>254</v>
      </c>
      <c r="R149" s="64" t="s">
        <v>71</v>
      </c>
      <c r="S149" s="64" t="s">
        <v>71</v>
      </c>
      <c r="T149" s="64" t="s">
        <v>71</v>
      </c>
      <c r="U149" s="64" t="s">
        <v>71</v>
      </c>
      <c r="V149" s="64" t="s">
        <v>71</v>
      </c>
    </row>
    <row r="150" spans="2:22" x14ac:dyDescent="0.2">
      <c r="B150" s="55" t="s">
        <v>66</v>
      </c>
      <c r="C150" s="58">
        <v>4</v>
      </c>
      <c r="D150" s="24">
        <v>48</v>
      </c>
      <c r="E150" s="24">
        <v>86.5</v>
      </c>
      <c r="F150" s="24">
        <v>127.5</v>
      </c>
      <c r="G150" s="24">
        <v>152.5</v>
      </c>
      <c r="H150" s="24">
        <v>177.5</v>
      </c>
      <c r="I150" s="24">
        <v>204</v>
      </c>
      <c r="J150" s="24">
        <v>221.5</v>
      </c>
      <c r="K150" s="24">
        <v>235</v>
      </c>
      <c r="L150" s="24">
        <v>246.5</v>
      </c>
      <c r="M150" s="24">
        <v>260</v>
      </c>
      <c r="N150" s="24">
        <v>270.5</v>
      </c>
      <c r="O150" s="24">
        <v>280</v>
      </c>
      <c r="P150" s="24">
        <v>288.5</v>
      </c>
      <c r="Q150" s="24">
        <v>298</v>
      </c>
      <c r="R150" s="64" t="s">
        <v>71</v>
      </c>
      <c r="S150" s="64" t="s">
        <v>71</v>
      </c>
      <c r="T150" s="64" t="s">
        <v>71</v>
      </c>
      <c r="U150" s="64" t="s">
        <v>71</v>
      </c>
      <c r="V150" s="64" t="s">
        <v>71</v>
      </c>
    </row>
    <row r="151" spans="2:22" x14ac:dyDescent="0.2">
      <c r="B151" s="55"/>
      <c r="C151" s="57">
        <v>5</v>
      </c>
      <c r="D151" s="24">
        <v>48</v>
      </c>
      <c r="E151" s="24">
        <v>86.5</v>
      </c>
      <c r="F151" s="24">
        <v>127.5</v>
      </c>
      <c r="G151" s="24">
        <v>152.5</v>
      </c>
      <c r="H151" s="24">
        <v>190</v>
      </c>
      <c r="I151" s="24">
        <v>221.5</v>
      </c>
      <c r="J151" s="24">
        <v>246.5</v>
      </c>
      <c r="K151" s="24">
        <v>266.5</v>
      </c>
      <c r="L151" s="24">
        <v>286.5</v>
      </c>
      <c r="M151" s="24">
        <v>303</v>
      </c>
      <c r="N151" s="24">
        <v>315.5</v>
      </c>
      <c r="O151" s="24">
        <v>325</v>
      </c>
      <c r="P151" s="24">
        <v>333.5</v>
      </c>
      <c r="Q151" s="24">
        <v>339.5</v>
      </c>
      <c r="R151" s="64" t="s">
        <v>71</v>
      </c>
      <c r="S151" s="64" t="s">
        <v>71</v>
      </c>
      <c r="T151" s="64" t="s">
        <v>71</v>
      </c>
      <c r="U151" s="64" t="s">
        <v>71</v>
      </c>
      <c r="V151" s="64" t="s">
        <v>71</v>
      </c>
    </row>
    <row r="152" spans="2:22" x14ac:dyDescent="0.2">
      <c r="B152" s="55" t="s">
        <v>67</v>
      </c>
      <c r="C152" s="59">
        <v>6</v>
      </c>
      <c r="D152" s="24">
        <v>52.5</v>
      </c>
      <c r="E152" s="24">
        <v>97</v>
      </c>
      <c r="F152" s="24">
        <v>138</v>
      </c>
      <c r="G152" s="24">
        <v>173.5</v>
      </c>
      <c r="H152" s="24">
        <v>204</v>
      </c>
      <c r="I152" s="24">
        <v>239.5</v>
      </c>
      <c r="J152" s="24">
        <v>271.5</v>
      </c>
      <c r="K152" s="24">
        <v>291.5</v>
      </c>
      <c r="L152" s="24">
        <v>309.5</v>
      </c>
      <c r="M152" s="24">
        <v>325</v>
      </c>
      <c r="N152" s="24">
        <v>337.5</v>
      </c>
      <c r="O152" s="24">
        <v>351</v>
      </c>
      <c r="P152" s="24">
        <v>363.5</v>
      </c>
      <c r="Q152" s="24">
        <v>376</v>
      </c>
      <c r="R152" s="64" t="s">
        <v>71</v>
      </c>
      <c r="S152" s="64" t="s">
        <v>71</v>
      </c>
      <c r="T152" s="64" t="s">
        <v>71</v>
      </c>
      <c r="U152" s="64" t="s">
        <v>71</v>
      </c>
      <c r="V152" s="64" t="s">
        <v>71</v>
      </c>
    </row>
    <row r="153" spans="2:22" x14ac:dyDescent="0.2">
      <c r="B153" s="55"/>
      <c r="C153" s="58">
        <v>7</v>
      </c>
      <c r="D153" s="24">
        <v>52.5</v>
      </c>
      <c r="E153" s="24">
        <v>97</v>
      </c>
      <c r="F153" s="24">
        <v>138</v>
      </c>
      <c r="G153" s="24">
        <v>173.5</v>
      </c>
      <c r="H153" s="24">
        <v>219.5</v>
      </c>
      <c r="I153" s="24">
        <v>262.5</v>
      </c>
      <c r="J153" s="24">
        <v>301</v>
      </c>
      <c r="K153" s="24">
        <v>324</v>
      </c>
      <c r="L153" s="24">
        <v>341.5</v>
      </c>
      <c r="M153" s="24">
        <v>357.5</v>
      </c>
      <c r="N153" s="24">
        <v>377</v>
      </c>
      <c r="O153" s="24">
        <v>387.5</v>
      </c>
      <c r="P153" s="24">
        <v>400</v>
      </c>
      <c r="Q153" s="24">
        <v>408.5</v>
      </c>
      <c r="R153" s="64" t="s">
        <v>71</v>
      </c>
      <c r="S153" s="64" t="s">
        <v>71</v>
      </c>
      <c r="T153" s="64" t="s">
        <v>71</v>
      </c>
      <c r="U153" s="64" t="s">
        <v>71</v>
      </c>
      <c r="V153" s="64" t="s">
        <v>71</v>
      </c>
    </row>
    <row r="154" spans="2:22" x14ac:dyDescent="0.2">
      <c r="B154" s="55" t="s">
        <v>68</v>
      </c>
      <c r="C154" s="59">
        <v>8</v>
      </c>
      <c r="D154" s="24">
        <v>65</v>
      </c>
      <c r="E154" s="24">
        <v>127.5</v>
      </c>
      <c r="F154" s="24">
        <v>175.5</v>
      </c>
      <c r="G154" s="24">
        <v>224.5</v>
      </c>
      <c r="H154" s="24">
        <v>262.5</v>
      </c>
      <c r="I154" s="24">
        <v>294.5</v>
      </c>
      <c r="J154" s="24">
        <v>321</v>
      </c>
      <c r="K154" s="24">
        <v>347</v>
      </c>
      <c r="L154" s="24">
        <v>368</v>
      </c>
      <c r="M154" s="24">
        <v>386.5</v>
      </c>
      <c r="N154" s="24">
        <v>405.5</v>
      </c>
      <c r="O154" s="24">
        <v>425.5</v>
      </c>
      <c r="P154" s="24">
        <v>438</v>
      </c>
      <c r="Q154" s="24">
        <v>454.5</v>
      </c>
      <c r="R154" s="64" t="s">
        <v>71</v>
      </c>
      <c r="S154" s="64" t="s">
        <v>71</v>
      </c>
      <c r="T154" s="64" t="s">
        <v>71</v>
      </c>
      <c r="U154" s="64" t="s">
        <v>71</v>
      </c>
      <c r="V154" s="64" t="s">
        <v>71</v>
      </c>
    </row>
    <row r="155" spans="2:22" x14ac:dyDescent="0.2">
      <c r="B155" s="55"/>
      <c r="C155" s="58">
        <v>9</v>
      </c>
      <c r="D155" s="24">
        <v>76.5</v>
      </c>
      <c r="E155" s="24">
        <v>141</v>
      </c>
      <c r="F155" s="24">
        <v>205</v>
      </c>
      <c r="G155" s="24">
        <v>260</v>
      </c>
      <c r="H155" s="24">
        <v>299</v>
      </c>
      <c r="I155" s="24">
        <v>330</v>
      </c>
      <c r="J155" s="24">
        <v>355.5</v>
      </c>
      <c r="K155" s="24">
        <v>380.5</v>
      </c>
      <c r="L155" s="24">
        <v>404.5</v>
      </c>
      <c r="M155" s="24">
        <v>428.5</v>
      </c>
      <c r="N155" s="24">
        <v>451.5</v>
      </c>
      <c r="O155" s="24">
        <v>476.5</v>
      </c>
      <c r="P155" s="24">
        <v>499.5</v>
      </c>
      <c r="Q155" s="24">
        <v>517.5</v>
      </c>
      <c r="R155" s="64" t="s">
        <v>71</v>
      </c>
      <c r="S155" s="64" t="s">
        <v>71</v>
      </c>
      <c r="T155" s="64" t="s">
        <v>71</v>
      </c>
      <c r="U155" s="64" t="s">
        <v>71</v>
      </c>
      <c r="V155" s="64" t="s">
        <v>71</v>
      </c>
    </row>
    <row r="156" spans="2:22" x14ac:dyDescent="0.2">
      <c r="B156" s="55"/>
      <c r="C156" s="58">
        <v>10</v>
      </c>
      <c r="D156" s="24">
        <v>76.5</v>
      </c>
      <c r="E156" s="24">
        <v>141</v>
      </c>
      <c r="F156" s="24">
        <v>205</v>
      </c>
      <c r="G156" s="24">
        <v>260</v>
      </c>
      <c r="H156" s="24">
        <v>312.5</v>
      </c>
      <c r="I156" s="24">
        <v>361.5</v>
      </c>
      <c r="J156" s="24">
        <v>411.5</v>
      </c>
      <c r="K156" s="24">
        <v>463</v>
      </c>
      <c r="L156" s="24">
        <v>495.5</v>
      </c>
      <c r="M156" s="24">
        <v>533</v>
      </c>
      <c r="N156" s="24">
        <v>570.5</v>
      </c>
      <c r="O156" s="24">
        <v>610.5</v>
      </c>
      <c r="P156" s="24">
        <v>636.5</v>
      </c>
      <c r="Q156" s="24">
        <v>648</v>
      </c>
      <c r="R156" s="64" t="s">
        <v>71</v>
      </c>
      <c r="S156" s="64" t="s">
        <v>71</v>
      </c>
      <c r="T156" s="64" t="s">
        <v>71</v>
      </c>
      <c r="U156" s="64" t="s">
        <v>71</v>
      </c>
      <c r="V156" s="64" t="s">
        <v>71</v>
      </c>
    </row>
    <row r="157" spans="2:22" ht="4.5" customHeight="1" x14ac:dyDescent="0.2">
      <c r="B157" s="6"/>
    </row>
    <row r="158" spans="2:22" ht="20" x14ac:dyDescent="0.2">
      <c r="B158" s="61" t="s">
        <v>282</v>
      </c>
      <c r="C158" s="62"/>
      <c r="D158" s="63">
        <f>AVERAGE(D147:D157)</f>
        <v>56</v>
      </c>
      <c r="E158" s="233">
        <f>AVERAGE(E147:E157)/E146</f>
        <v>51.45</v>
      </c>
      <c r="F158" s="233">
        <f t="shared" ref="F158:N158" si="210">AVERAGE(F147:F157)/F146</f>
        <v>48.783333333333331</v>
      </c>
      <c r="G158" s="233">
        <f t="shared" si="210"/>
        <v>45.287500000000001</v>
      </c>
      <c r="H158" s="233">
        <f t="shared" si="210"/>
        <v>42.62</v>
      </c>
      <c r="I158" s="233">
        <f t="shared" si="210"/>
        <v>40.283333333333331</v>
      </c>
      <c r="J158" s="233">
        <f t="shared" si="210"/>
        <v>37.978571428571435</v>
      </c>
      <c r="K158" s="233">
        <f t="shared" si="210"/>
        <v>35.793750000000003</v>
      </c>
      <c r="L158" s="233">
        <f t="shared" si="210"/>
        <v>33.716666666666669</v>
      </c>
      <c r="M158" s="233">
        <f t="shared" si="210"/>
        <v>31.869999999999997</v>
      </c>
      <c r="N158" s="233">
        <f t="shared" si="210"/>
        <v>30.354545454545452</v>
      </c>
      <c r="O158" s="63">
        <f t="shared" ref="O158:Q158" si="211">AVERAGE(O147:O157)</f>
        <v>348.85</v>
      </c>
      <c r="P158" s="63">
        <f t="shared" si="211"/>
        <v>360.95</v>
      </c>
      <c r="Q158" s="63">
        <f t="shared" si="211"/>
        <v>371.2</v>
      </c>
      <c r="R158" s="63"/>
      <c r="S158" s="63"/>
      <c r="T158" s="63"/>
      <c r="U158" s="63"/>
      <c r="V158" s="63"/>
    </row>
    <row r="159" spans="2:22" x14ac:dyDescent="0.2">
      <c r="B159" s="6"/>
    </row>
    <row r="160" spans="2:22" x14ac:dyDescent="0.2">
      <c r="B160" s="6" t="s">
        <v>61</v>
      </c>
    </row>
    <row r="161" spans="2:66" x14ac:dyDescent="0.2">
      <c r="B161" t="s">
        <v>31</v>
      </c>
      <c r="C161" t="s">
        <v>32</v>
      </c>
      <c r="G161">
        <f t="shared" ref="G161:I161" si="212">$D$143</f>
        <v>61.3</v>
      </c>
      <c r="H161">
        <f t="shared" si="212"/>
        <v>61.3</v>
      </c>
      <c r="I161">
        <f t="shared" si="212"/>
        <v>61.3</v>
      </c>
      <c r="J161" s="40">
        <f>$D$143</f>
        <v>61.3</v>
      </c>
      <c r="K161" s="40">
        <f t="shared" ref="K161:BA161" si="213">$D$143</f>
        <v>61.3</v>
      </c>
      <c r="L161" s="40">
        <f t="shared" si="213"/>
        <v>61.3</v>
      </c>
      <c r="M161" s="40">
        <f t="shared" si="213"/>
        <v>61.3</v>
      </c>
      <c r="N161" s="40">
        <f t="shared" si="213"/>
        <v>61.3</v>
      </c>
      <c r="O161" s="40">
        <f t="shared" si="213"/>
        <v>61.3</v>
      </c>
      <c r="P161" s="40">
        <f t="shared" si="213"/>
        <v>61.3</v>
      </c>
      <c r="Q161" s="40">
        <f t="shared" si="213"/>
        <v>61.3</v>
      </c>
      <c r="R161" s="40">
        <f t="shared" si="213"/>
        <v>61.3</v>
      </c>
      <c r="S161" s="40">
        <f t="shared" si="213"/>
        <v>61.3</v>
      </c>
      <c r="T161" s="40">
        <f t="shared" si="213"/>
        <v>61.3</v>
      </c>
      <c r="U161" s="40">
        <f t="shared" si="213"/>
        <v>61.3</v>
      </c>
      <c r="V161" s="40">
        <f t="shared" si="213"/>
        <v>61.3</v>
      </c>
      <c r="W161" s="40">
        <f t="shared" si="213"/>
        <v>61.3</v>
      </c>
      <c r="X161" s="40">
        <f t="shared" si="213"/>
        <v>61.3</v>
      </c>
      <c r="Y161" s="40">
        <f t="shared" si="213"/>
        <v>61.3</v>
      </c>
      <c r="Z161" s="40">
        <f t="shared" si="213"/>
        <v>61.3</v>
      </c>
      <c r="AA161" s="40">
        <f t="shared" si="213"/>
        <v>61.3</v>
      </c>
      <c r="AB161" s="40">
        <f t="shared" si="213"/>
        <v>61.3</v>
      </c>
      <c r="AC161" s="40">
        <f t="shared" si="213"/>
        <v>61.3</v>
      </c>
      <c r="AD161" s="40">
        <f t="shared" si="213"/>
        <v>61.3</v>
      </c>
      <c r="AE161" s="40">
        <f t="shared" si="213"/>
        <v>61.3</v>
      </c>
      <c r="AF161" s="40">
        <f t="shared" si="213"/>
        <v>61.3</v>
      </c>
      <c r="AG161" s="40">
        <f t="shared" si="213"/>
        <v>61.3</v>
      </c>
      <c r="AH161" s="40">
        <f t="shared" si="213"/>
        <v>61.3</v>
      </c>
      <c r="AI161" s="40">
        <f t="shared" si="213"/>
        <v>61.3</v>
      </c>
      <c r="AJ161" s="40">
        <f t="shared" si="213"/>
        <v>61.3</v>
      </c>
      <c r="AK161" s="40">
        <f t="shared" si="213"/>
        <v>61.3</v>
      </c>
      <c r="AL161" s="40">
        <f t="shared" si="213"/>
        <v>61.3</v>
      </c>
      <c r="AM161" s="40">
        <f t="shared" si="213"/>
        <v>61.3</v>
      </c>
      <c r="AN161" s="40">
        <f t="shared" si="213"/>
        <v>61.3</v>
      </c>
      <c r="AO161" s="40">
        <f t="shared" si="213"/>
        <v>61.3</v>
      </c>
      <c r="AP161" s="40">
        <f t="shared" si="213"/>
        <v>61.3</v>
      </c>
      <c r="AQ161" s="40">
        <f t="shared" si="213"/>
        <v>61.3</v>
      </c>
      <c r="AR161" s="40">
        <f t="shared" si="213"/>
        <v>61.3</v>
      </c>
      <c r="AS161" s="40">
        <f t="shared" si="213"/>
        <v>61.3</v>
      </c>
      <c r="AT161" s="40">
        <f t="shared" si="213"/>
        <v>61.3</v>
      </c>
      <c r="AU161" s="40">
        <f t="shared" si="213"/>
        <v>61.3</v>
      </c>
      <c r="AV161" s="40">
        <f t="shared" si="213"/>
        <v>61.3</v>
      </c>
      <c r="AW161" s="40">
        <f t="shared" si="213"/>
        <v>61.3</v>
      </c>
      <c r="AX161" s="40">
        <f t="shared" si="213"/>
        <v>61.3</v>
      </c>
      <c r="AY161" s="40">
        <f t="shared" si="213"/>
        <v>61.3</v>
      </c>
      <c r="AZ161" s="40">
        <f t="shared" si="213"/>
        <v>61.3</v>
      </c>
      <c r="BA161" s="40">
        <f t="shared" si="213"/>
        <v>61.3</v>
      </c>
      <c r="BB161" s="40">
        <f t="shared" ref="BB161:BL161" si="214">BC161</f>
        <v>62.525999999999996</v>
      </c>
      <c r="BC161" s="40">
        <f t="shared" si="214"/>
        <v>62.525999999999996</v>
      </c>
      <c r="BD161" s="40">
        <f t="shared" si="214"/>
        <v>62.525999999999996</v>
      </c>
      <c r="BE161" s="40">
        <f t="shared" si="214"/>
        <v>62.525999999999996</v>
      </c>
      <c r="BF161" s="40">
        <f t="shared" si="214"/>
        <v>62.525999999999996</v>
      </c>
      <c r="BG161" s="40">
        <f t="shared" si="214"/>
        <v>62.525999999999996</v>
      </c>
      <c r="BH161" s="40">
        <f t="shared" si="214"/>
        <v>62.525999999999996</v>
      </c>
      <c r="BI161" s="40">
        <f t="shared" si="214"/>
        <v>62.525999999999996</v>
      </c>
      <c r="BJ161" s="40">
        <f t="shared" si="214"/>
        <v>62.525999999999996</v>
      </c>
      <c r="BK161" s="40">
        <f t="shared" si="214"/>
        <v>62.525999999999996</v>
      </c>
      <c r="BL161" s="40">
        <f t="shared" si="214"/>
        <v>62.525999999999996</v>
      </c>
      <c r="BM161" s="40">
        <f>BN161</f>
        <v>62.525999999999996</v>
      </c>
      <c r="BN161" s="40">
        <f>BA161*(1+BN163)</f>
        <v>62.525999999999996</v>
      </c>
    </row>
    <row r="162" spans="2:66" x14ac:dyDescent="0.2">
      <c r="B162" t="s">
        <v>31</v>
      </c>
      <c r="C162" t="s">
        <v>10</v>
      </c>
      <c r="G162" s="40">
        <f t="shared" ref="G162:AL162" si="215">G161/G79</f>
        <v>0.81733333333333325</v>
      </c>
      <c r="H162" s="40">
        <f t="shared" si="215"/>
        <v>0.81733333333333325</v>
      </c>
      <c r="I162" s="40">
        <f t="shared" si="215"/>
        <v>0.81733333333333325</v>
      </c>
      <c r="J162" s="40">
        <f>J161/J79</f>
        <v>0.81733333333333325</v>
      </c>
      <c r="K162" s="40">
        <f t="shared" si="215"/>
        <v>0.81733333333333325</v>
      </c>
      <c r="L162" s="40">
        <f t="shared" si="215"/>
        <v>0.81733333333333325</v>
      </c>
      <c r="M162" s="40">
        <f t="shared" si="215"/>
        <v>0.81733333333333325</v>
      </c>
      <c r="N162" s="40">
        <f t="shared" si="215"/>
        <v>0.81733333333333325</v>
      </c>
      <c r="O162" s="40">
        <f t="shared" si="215"/>
        <v>0.81733333333333325</v>
      </c>
      <c r="P162" s="40">
        <f t="shared" si="215"/>
        <v>0.81733333333333325</v>
      </c>
      <c r="Q162" s="40">
        <f t="shared" si="215"/>
        <v>0.81733333333333325</v>
      </c>
      <c r="R162" s="40">
        <f t="shared" si="215"/>
        <v>0.81733333333333325</v>
      </c>
      <c r="S162" s="40">
        <f t="shared" si="215"/>
        <v>0.81733333333333325</v>
      </c>
      <c r="T162" s="40">
        <f t="shared" si="215"/>
        <v>0.81733333333333325</v>
      </c>
      <c r="U162" s="40">
        <f t="shared" si="215"/>
        <v>0.81733333333333325</v>
      </c>
      <c r="V162" s="40">
        <f t="shared" si="215"/>
        <v>0.81733333333333325</v>
      </c>
      <c r="W162" s="40">
        <f t="shared" si="215"/>
        <v>0.81733333333333325</v>
      </c>
      <c r="X162" s="40">
        <f t="shared" si="215"/>
        <v>0.81733333333333325</v>
      </c>
      <c r="Y162" s="40">
        <f t="shared" si="215"/>
        <v>0.81733333333333325</v>
      </c>
      <c r="Z162" s="40">
        <f t="shared" si="215"/>
        <v>0.81733333333333325</v>
      </c>
      <c r="AA162" s="40">
        <f t="shared" si="215"/>
        <v>0.81733333333333325</v>
      </c>
      <c r="AB162" s="40">
        <f t="shared" si="215"/>
        <v>0.81733333333333325</v>
      </c>
      <c r="AC162" s="40">
        <f t="shared" si="215"/>
        <v>0.81733333333333325</v>
      </c>
      <c r="AD162" s="40">
        <f t="shared" si="215"/>
        <v>0.81733333333333325</v>
      </c>
      <c r="AE162" s="40">
        <f t="shared" si="215"/>
        <v>0.81733333333333325</v>
      </c>
      <c r="AF162" s="40">
        <f t="shared" si="215"/>
        <v>0.81733333333333325</v>
      </c>
      <c r="AG162" s="40">
        <f t="shared" si="215"/>
        <v>0.81733333333333325</v>
      </c>
      <c r="AH162" s="40">
        <f t="shared" si="215"/>
        <v>0.81733333333333325</v>
      </c>
      <c r="AI162" s="40">
        <f t="shared" si="215"/>
        <v>0.81733333333333325</v>
      </c>
      <c r="AJ162" s="40">
        <f t="shared" si="215"/>
        <v>0.81733333333333325</v>
      </c>
      <c r="AK162" s="40">
        <f t="shared" si="215"/>
        <v>0.81733333333333325</v>
      </c>
      <c r="AL162" s="40">
        <f t="shared" si="215"/>
        <v>0.81733333333333325</v>
      </c>
      <c r="AM162" s="40">
        <f>AM161/AM79</f>
        <v>0.81733333333333325</v>
      </c>
      <c r="AN162" s="40">
        <f t="shared" ref="AN162:BN162" si="216">AN161/AN79</f>
        <v>0.81733333333333325</v>
      </c>
      <c r="AO162" s="40">
        <f t="shared" si="216"/>
        <v>0.81733333333333325</v>
      </c>
      <c r="AP162" s="40">
        <f t="shared" si="216"/>
        <v>0.81733333333333325</v>
      </c>
      <c r="AQ162" s="40">
        <f t="shared" si="216"/>
        <v>0.81733333333333325</v>
      </c>
      <c r="AR162" s="40">
        <f t="shared" si="216"/>
        <v>0.81733333333333325</v>
      </c>
      <c r="AS162" s="40">
        <f t="shared" si="216"/>
        <v>0.81733333333333325</v>
      </c>
      <c r="AT162" s="40">
        <f t="shared" si="216"/>
        <v>0.81733333333333325</v>
      </c>
      <c r="AU162" s="40">
        <f t="shared" si="216"/>
        <v>0.81733333333333325</v>
      </c>
      <c r="AV162" s="40">
        <f t="shared" si="216"/>
        <v>0.81733333333333325</v>
      </c>
      <c r="AW162" s="40">
        <f t="shared" si="216"/>
        <v>0.81733333333333325</v>
      </c>
      <c r="AX162" s="40">
        <f t="shared" si="216"/>
        <v>0.81733333333333325</v>
      </c>
      <c r="AY162" s="40">
        <f t="shared" si="216"/>
        <v>0.81733333333333325</v>
      </c>
      <c r="AZ162" s="40">
        <f t="shared" si="216"/>
        <v>0.81733333333333325</v>
      </c>
      <c r="BA162" s="40">
        <f t="shared" si="216"/>
        <v>0.81733333333333325</v>
      </c>
      <c r="BB162" s="40">
        <f t="shared" si="216"/>
        <v>0.83367999999999998</v>
      </c>
      <c r="BC162" s="40">
        <f t="shared" si="216"/>
        <v>0.83367999999999998</v>
      </c>
      <c r="BD162" s="40">
        <f t="shared" si="216"/>
        <v>0.83367999999999998</v>
      </c>
      <c r="BE162" s="40">
        <f t="shared" si="216"/>
        <v>0.83367999999999998</v>
      </c>
      <c r="BF162" s="40">
        <f t="shared" si="216"/>
        <v>0.83367999999999998</v>
      </c>
      <c r="BG162" s="40">
        <f t="shared" si="216"/>
        <v>0.83367999999999998</v>
      </c>
      <c r="BH162" s="40">
        <f t="shared" si="216"/>
        <v>0.83367999999999998</v>
      </c>
      <c r="BI162" s="40">
        <f t="shared" si="216"/>
        <v>0.83367999999999998</v>
      </c>
      <c r="BJ162" s="40">
        <f t="shared" si="216"/>
        <v>0.83367999999999998</v>
      </c>
      <c r="BK162" s="40">
        <f t="shared" si="216"/>
        <v>0.83367999999999998</v>
      </c>
      <c r="BL162" s="40">
        <f t="shared" si="216"/>
        <v>0.83367999999999998</v>
      </c>
      <c r="BM162" s="40">
        <f t="shared" si="216"/>
        <v>0.83367999999999998</v>
      </c>
      <c r="BN162" s="40">
        <f t="shared" si="216"/>
        <v>0.83367999999999998</v>
      </c>
    </row>
    <row r="163" spans="2:66" x14ac:dyDescent="0.2">
      <c r="B163" t="s">
        <v>72</v>
      </c>
      <c r="C163" t="s">
        <v>13</v>
      </c>
      <c r="G163" s="65"/>
      <c r="H163" s="65"/>
      <c r="I163" s="65"/>
      <c r="J163" s="65"/>
      <c r="K163" s="65"/>
      <c r="L163" s="65"/>
      <c r="M163" s="65"/>
      <c r="N163" s="65">
        <f>$N$77</f>
        <v>3.2000000000000001E-2</v>
      </c>
      <c r="O163" s="65">
        <f>AA163</f>
        <v>2.1000000000000001E-2</v>
      </c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>
        <f>$AA$77</f>
        <v>2.1000000000000001E-2</v>
      </c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>
        <f>$AN$77</f>
        <v>0.02</v>
      </c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>
        <f>$BA$77</f>
        <v>0.02</v>
      </c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>
        <f>$BN$77</f>
        <v>0.02</v>
      </c>
    </row>
    <row r="164" spans="2:66" x14ac:dyDescent="0.2">
      <c r="B164" t="s">
        <v>23</v>
      </c>
      <c r="C164" t="s">
        <v>28</v>
      </c>
      <c r="G164" s="39">
        <f>ROUNDUP(G18/G79,0)</f>
        <v>9</v>
      </c>
      <c r="H164" s="39">
        <f t="shared" ref="H164:I164" si="217">ROUNDUP(H18/H79,0)</f>
        <v>9</v>
      </c>
      <c r="I164" s="39">
        <f t="shared" si="217"/>
        <v>9</v>
      </c>
      <c r="J164" s="43">
        <f>J18/J79</f>
        <v>8.1866666666666674</v>
      </c>
      <c r="K164" s="39">
        <f t="shared" ref="K164:BN164" si="218">K18/K79</f>
        <v>12.546666666666667</v>
      </c>
      <c r="L164" s="39">
        <f t="shared" si="218"/>
        <v>16.920000000000002</v>
      </c>
      <c r="M164" s="39">
        <f>M18/M79</f>
        <v>21.28</v>
      </c>
      <c r="N164" s="39">
        <f t="shared" si="218"/>
        <v>58.93333333333333</v>
      </c>
      <c r="O164" s="39">
        <f t="shared" si="218"/>
        <v>25.626666666666665</v>
      </c>
      <c r="P164" s="39">
        <f t="shared" si="218"/>
        <v>30.000001534881356</v>
      </c>
      <c r="Q164" s="39">
        <f t="shared" si="218"/>
        <v>30.000001534881356</v>
      </c>
      <c r="R164" s="39">
        <f t="shared" si="218"/>
        <v>30.000001534881356</v>
      </c>
      <c r="S164" s="39">
        <f t="shared" si="218"/>
        <v>30.000001534881356</v>
      </c>
      <c r="T164" s="39">
        <f t="shared" si="218"/>
        <v>30.000001534881356</v>
      </c>
      <c r="U164" s="39">
        <f t="shared" si="218"/>
        <v>30.000001534881356</v>
      </c>
      <c r="V164" s="39">
        <f t="shared" si="218"/>
        <v>30.000001534881356</v>
      </c>
      <c r="W164" s="39">
        <f t="shared" si="218"/>
        <v>30.000001534881356</v>
      </c>
      <c r="X164" s="39">
        <f t="shared" si="218"/>
        <v>30.000001534881356</v>
      </c>
      <c r="Y164" s="39">
        <f t="shared" si="218"/>
        <v>30.000001534881356</v>
      </c>
      <c r="Z164" s="39">
        <f t="shared" si="218"/>
        <v>30.000001534881356</v>
      </c>
      <c r="AA164" s="39">
        <f t="shared" si="218"/>
        <v>355.62668355036152</v>
      </c>
      <c r="AB164" s="39">
        <f t="shared" si="218"/>
        <v>30.000001534881356</v>
      </c>
      <c r="AC164" s="39">
        <f t="shared" si="218"/>
        <v>30.000001534881356</v>
      </c>
      <c r="AD164" s="39">
        <f t="shared" si="218"/>
        <v>31.573333333333334</v>
      </c>
      <c r="AE164" s="39">
        <f t="shared" si="218"/>
        <v>33.146666666666668</v>
      </c>
      <c r="AF164" s="39">
        <f t="shared" si="218"/>
        <v>34.733333333333334</v>
      </c>
      <c r="AG164" s="39">
        <f t="shared" si="218"/>
        <v>36.306666666666665</v>
      </c>
      <c r="AH164" s="39">
        <f t="shared" si="218"/>
        <v>37.880000000000003</v>
      </c>
      <c r="AI164" s="39">
        <f t="shared" si="218"/>
        <v>39.466666666666669</v>
      </c>
      <c r="AJ164" s="39">
        <f t="shared" si="218"/>
        <v>41.04</v>
      </c>
      <c r="AK164" s="39">
        <f t="shared" si="218"/>
        <v>42.613333333333337</v>
      </c>
      <c r="AL164" s="39">
        <f t="shared" si="218"/>
        <v>44.2</v>
      </c>
      <c r="AM164" s="39">
        <f t="shared" si="218"/>
        <v>45.773333333333333</v>
      </c>
      <c r="AN164" s="39">
        <f>AN18/AN79</f>
        <v>446.73333640309602</v>
      </c>
      <c r="AO164" s="39">
        <f t="shared" si="218"/>
        <v>47.36</v>
      </c>
      <c r="AP164" s="39">
        <f t="shared" si="218"/>
        <v>48.93333333333333</v>
      </c>
      <c r="AQ164" s="39">
        <f t="shared" si="218"/>
        <v>50.506666666666668</v>
      </c>
      <c r="AR164" s="39">
        <f t="shared" si="218"/>
        <v>52.093333333333334</v>
      </c>
      <c r="AS164" s="39">
        <f t="shared" si="218"/>
        <v>53.666666666666664</v>
      </c>
      <c r="AT164" s="39">
        <f t="shared" si="218"/>
        <v>55.24</v>
      </c>
      <c r="AU164" s="39">
        <f t="shared" si="218"/>
        <v>56.826666666666668</v>
      </c>
      <c r="AV164" s="39">
        <f t="shared" si="218"/>
        <v>60.000002232554664</v>
      </c>
      <c r="AW164" s="39">
        <f t="shared" si="218"/>
        <v>60.000002232554664</v>
      </c>
      <c r="AX164" s="39">
        <f t="shared" si="218"/>
        <v>60.000002232554664</v>
      </c>
      <c r="AY164" s="39">
        <f t="shared" si="218"/>
        <v>60.000002232554664</v>
      </c>
      <c r="AZ164" s="39">
        <f t="shared" si="218"/>
        <v>60.000002232554664</v>
      </c>
      <c r="BA164" s="39">
        <f t="shared" si="218"/>
        <v>664.62667782943981</v>
      </c>
      <c r="BB164" s="39">
        <f t="shared" si="218"/>
        <v>55.385556485786658</v>
      </c>
      <c r="BC164" s="39">
        <f t="shared" si="218"/>
        <v>55.385556485786658</v>
      </c>
      <c r="BD164" s="39">
        <f t="shared" si="218"/>
        <v>55.385556485786658</v>
      </c>
      <c r="BE164" s="39">
        <f t="shared" si="218"/>
        <v>55.385556485786658</v>
      </c>
      <c r="BF164" s="39">
        <f t="shared" si="218"/>
        <v>55.385556485786658</v>
      </c>
      <c r="BG164" s="39">
        <f t="shared" si="218"/>
        <v>55.385556485786658</v>
      </c>
      <c r="BH164" s="39">
        <f t="shared" si="218"/>
        <v>55.385556485786658</v>
      </c>
      <c r="BI164" s="39">
        <f t="shared" si="218"/>
        <v>55.385556485786658</v>
      </c>
      <c r="BJ164" s="39">
        <f t="shared" si="218"/>
        <v>55.385556485786658</v>
      </c>
      <c r="BK164" s="39">
        <f t="shared" si="218"/>
        <v>55.385556485786658</v>
      </c>
      <c r="BL164" s="39">
        <f t="shared" si="218"/>
        <v>55.385556485786658</v>
      </c>
      <c r="BM164" s="39">
        <f t="shared" si="218"/>
        <v>55.385556485786658</v>
      </c>
      <c r="BN164" s="39">
        <f t="shared" si="218"/>
        <v>664.62667782943981</v>
      </c>
    </row>
    <row r="165" spans="2:66" hidden="1" x14ac:dyDescent="0.2">
      <c r="B165" t="s">
        <v>43</v>
      </c>
      <c r="C165" t="s">
        <v>35</v>
      </c>
      <c r="G165" s="39">
        <f t="shared" ref="G165:M165" si="219">_xlfn.DAYS(G6,F6)</f>
        <v>30</v>
      </c>
      <c r="H165" s="39">
        <f t="shared" si="219"/>
        <v>31</v>
      </c>
      <c r="I165" s="39">
        <f>_xlfn.DAYS(I6,H6)</f>
        <v>31</v>
      </c>
      <c r="J165" s="39">
        <f t="shared" si="219"/>
        <v>30</v>
      </c>
      <c r="K165" s="39">
        <f t="shared" si="219"/>
        <v>31</v>
      </c>
      <c r="L165" s="39">
        <f t="shared" si="219"/>
        <v>30</v>
      </c>
      <c r="M165" s="39">
        <f t="shared" si="219"/>
        <v>31</v>
      </c>
      <c r="N165" s="39">
        <f>AVERAGE(F165:M165)</f>
        <v>30.571428571428573</v>
      </c>
      <c r="O165" s="39">
        <f>_xlfn.DAYS(O6,M6)</f>
        <v>31</v>
      </c>
      <c r="P165" s="39">
        <f t="shared" ref="P165:Z165" si="220">_xlfn.DAYS(P6,O6)</f>
        <v>28</v>
      </c>
      <c r="Q165" s="39">
        <f t="shared" si="220"/>
        <v>31</v>
      </c>
      <c r="R165" s="39">
        <f t="shared" si="220"/>
        <v>30</v>
      </c>
      <c r="S165" s="39">
        <f t="shared" si="220"/>
        <v>31</v>
      </c>
      <c r="T165" s="39">
        <f t="shared" si="220"/>
        <v>30</v>
      </c>
      <c r="U165" s="39">
        <f t="shared" si="220"/>
        <v>31</v>
      </c>
      <c r="V165" s="39">
        <f t="shared" si="220"/>
        <v>31</v>
      </c>
      <c r="W165" s="39">
        <f t="shared" si="220"/>
        <v>30</v>
      </c>
      <c r="X165" s="39">
        <f t="shared" si="220"/>
        <v>31</v>
      </c>
      <c r="Y165" s="39">
        <f t="shared" si="220"/>
        <v>30</v>
      </c>
      <c r="Z165" s="39">
        <f t="shared" si="220"/>
        <v>31</v>
      </c>
      <c r="AA165" s="39">
        <f>AVERAGE(O165:Z165)</f>
        <v>30.416666666666668</v>
      </c>
      <c r="AB165" s="39">
        <f>_xlfn.DAYS(AB6,Z6)</f>
        <v>31</v>
      </c>
      <c r="AC165" s="39">
        <f t="shared" ref="AC165:AM165" si="221">_xlfn.DAYS(AC6,AB6)</f>
        <v>28</v>
      </c>
      <c r="AD165" s="39">
        <f t="shared" si="221"/>
        <v>31</v>
      </c>
      <c r="AE165" s="39">
        <f t="shared" si="221"/>
        <v>30</v>
      </c>
      <c r="AF165" s="39">
        <f t="shared" si="221"/>
        <v>31</v>
      </c>
      <c r="AG165" s="39">
        <f t="shared" si="221"/>
        <v>30</v>
      </c>
      <c r="AH165" s="39">
        <f t="shared" si="221"/>
        <v>31</v>
      </c>
      <c r="AI165" s="39">
        <f t="shared" si="221"/>
        <v>31</v>
      </c>
      <c r="AJ165" s="39">
        <f t="shared" si="221"/>
        <v>30</v>
      </c>
      <c r="AK165" s="39">
        <f t="shared" si="221"/>
        <v>31</v>
      </c>
      <c r="AL165" s="39">
        <f t="shared" si="221"/>
        <v>30</v>
      </c>
      <c r="AM165" s="39">
        <f t="shared" si="221"/>
        <v>31</v>
      </c>
      <c r="AN165" s="39">
        <f>AVERAGE(AB165:AM165)</f>
        <v>30.416666666666668</v>
      </c>
      <c r="AO165" s="39">
        <f>_xlfn.DAYS(AO6,AM6)</f>
        <v>31</v>
      </c>
      <c r="AP165" s="39">
        <f t="shared" ref="AP165:AZ165" si="222">_xlfn.DAYS(AP6,AO6)</f>
        <v>29</v>
      </c>
      <c r="AQ165" s="39">
        <f t="shared" si="222"/>
        <v>31</v>
      </c>
      <c r="AR165" s="39">
        <f t="shared" si="222"/>
        <v>30</v>
      </c>
      <c r="AS165" s="39">
        <f t="shared" si="222"/>
        <v>31</v>
      </c>
      <c r="AT165" s="39">
        <f t="shared" si="222"/>
        <v>30</v>
      </c>
      <c r="AU165" s="39">
        <f t="shared" si="222"/>
        <v>31</v>
      </c>
      <c r="AV165" s="39">
        <f t="shared" si="222"/>
        <v>31</v>
      </c>
      <c r="AW165" s="39">
        <f t="shared" si="222"/>
        <v>30</v>
      </c>
      <c r="AX165" s="39">
        <f t="shared" si="222"/>
        <v>31</v>
      </c>
      <c r="AY165" s="39">
        <f t="shared" si="222"/>
        <v>30</v>
      </c>
      <c r="AZ165" s="39">
        <f t="shared" si="222"/>
        <v>31</v>
      </c>
      <c r="BA165" s="39">
        <f>AVERAGE(AO165:AZ165)</f>
        <v>30.5</v>
      </c>
      <c r="BB165" s="39">
        <f>_xlfn.DAYS(BB6,AZ6)</f>
        <v>31</v>
      </c>
      <c r="BC165" s="39">
        <f t="shared" ref="BC165:BM165" si="223">_xlfn.DAYS(BC6,BB6)</f>
        <v>28</v>
      </c>
      <c r="BD165" s="39">
        <f t="shared" si="223"/>
        <v>31</v>
      </c>
      <c r="BE165" s="39">
        <f t="shared" si="223"/>
        <v>30</v>
      </c>
      <c r="BF165" s="39">
        <f t="shared" si="223"/>
        <v>31</v>
      </c>
      <c r="BG165" s="39">
        <f t="shared" si="223"/>
        <v>30</v>
      </c>
      <c r="BH165" s="39">
        <f t="shared" si="223"/>
        <v>31</v>
      </c>
      <c r="BI165" s="39">
        <f t="shared" si="223"/>
        <v>31</v>
      </c>
      <c r="BJ165" s="39">
        <f t="shared" si="223"/>
        <v>30</v>
      </c>
      <c r="BK165" s="39">
        <f t="shared" si="223"/>
        <v>31</v>
      </c>
      <c r="BL165" s="39">
        <f t="shared" si="223"/>
        <v>30</v>
      </c>
      <c r="BM165" s="39">
        <f t="shared" si="223"/>
        <v>31</v>
      </c>
      <c r="BN165" s="39">
        <f>AVERAGE(BB165:BM165)</f>
        <v>30.416666666666668</v>
      </c>
    </row>
    <row r="166" spans="2:66" hidden="1" x14ac:dyDescent="0.2">
      <c r="B166" t="s">
        <v>42</v>
      </c>
      <c r="C166" t="s">
        <v>49</v>
      </c>
      <c r="G166">
        <f>G97</f>
        <v>0</v>
      </c>
      <c r="H166">
        <f t="shared" ref="H166:BN166" si="224">H97</f>
        <v>0</v>
      </c>
      <c r="I166">
        <f t="shared" si="224"/>
        <v>0</v>
      </c>
      <c r="J166">
        <f t="shared" si="224"/>
        <v>0</v>
      </c>
      <c r="K166">
        <f t="shared" si="224"/>
        <v>0</v>
      </c>
      <c r="L166">
        <f t="shared" si="224"/>
        <v>0</v>
      </c>
      <c r="M166">
        <f t="shared" si="224"/>
        <v>0</v>
      </c>
      <c r="N166">
        <f t="shared" si="224"/>
        <v>0</v>
      </c>
      <c r="O166">
        <f t="shared" si="224"/>
        <v>0</v>
      </c>
      <c r="P166">
        <f t="shared" si="224"/>
        <v>0</v>
      </c>
      <c r="Q166">
        <f t="shared" si="224"/>
        <v>0</v>
      </c>
      <c r="R166">
        <f t="shared" si="224"/>
        <v>0</v>
      </c>
      <c r="S166">
        <f t="shared" si="224"/>
        <v>0</v>
      </c>
      <c r="T166">
        <f t="shared" si="224"/>
        <v>0</v>
      </c>
      <c r="U166">
        <f t="shared" si="224"/>
        <v>0</v>
      </c>
      <c r="V166">
        <f t="shared" si="224"/>
        <v>0</v>
      </c>
      <c r="W166">
        <f t="shared" si="224"/>
        <v>0</v>
      </c>
      <c r="X166">
        <f t="shared" si="224"/>
        <v>0</v>
      </c>
      <c r="Y166">
        <f t="shared" si="224"/>
        <v>0</v>
      </c>
      <c r="Z166">
        <f t="shared" si="224"/>
        <v>0</v>
      </c>
      <c r="AA166">
        <f t="shared" si="224"/>
        <v>0</v>
      </c>
      <c r="AB166">
        <f t="shared" si="224"/>
        <v>0</v>
      </c>
      <c r="AC166">
        <f t="shared" si="224"/>
        <v>0</v>
      </c>
      <c r="AD166">
        <f t="shared" si="224"/>
        <v>0</v>
      </c>
      <c r="AE166">
        <f t="shared" si="224"/>
        <v>0</v>
      </c>
      <c r="AF166">
        <f t="shared" si="224"/>
        <v>0</v>
      </c>
      <c r="AG166">
        <f t="shared" si="224"/>
        <v>0</v>
      </c>
      <c r="AH166">
        <f t="shared" si="224"/>
        <v>0</v>
      </c>
      <c r="AI166">
        <f t="shared" si="224"/>
        <v>0</v>
      </c>
      <c r="AJ166">
        <f t="shared" si="224"/>
        <v>0</v>
      </c>
      <c r="AK166">
        <f t="shared" si="224"/>
        <v>0</v>
      </c>
      <c r="AL166">
        <f t="shared" si="224"/>
        <v>0</v>
      </c>
      <c r="AM166">
        <f t="shared" si="224"/>
        <v>0</v>
      </c>
      <c r="AN166">
        <f t="shared" si="224"/>
        <v>0</v>
      </c>
      <c r="AO166">
        <f t="shared" si="224"/>
        <v>0</v>
      </c>
      <c r="AP166">
        <f t="shared" si="224"/>
        <v>0</v>
      </c>
      <c r="AQ166">
        <f t="shared" si="224"/>
        <v>0</v>
      </c>
      <c r="AR166">
        <f t="shared" si="224"/>
        <v>0</v>
      </c>
      <c r="AS166">
        <f t="shared" si="224"/>
        <v>0</v>
      </c>
      <c r="AT166">
        <f t="shared" si="224"/>
        <v>0</v>
      </c>
      <c r="AU166">
        <f t="shared" si="224"/>
        <v>0</v>
      </c>
      <c r="AV166">
        <f t="shared" si="224"/>
        <v>0</v>
      </c>
      <c r="AW166">
        <f t="shared" si="224"/>
        <v>0</v>
      </c>
      <c r="AX166">
        <f t="shared" si="224"/>
        <v>0</v>
      </c>
      <c r="AY166">
        <f t="shared" si="224"/>
        <v>0</v>
      </c>
      <c r="AZ166">
        <f t="shared" si="224"/>
        <v>0</v>
      </c>
      <c r="BA166">
        <f t="shared" si="224"/>
        <v>0</v>
      </c>
      <c r="BB166">
        <f t="shared" si="224"/>
        <v>0</v>
      </c>
      <c r="BC166">
        <f t="shared" si="224"/>
        <v>0</v>
      </c>
      <c r="BD166">
        <f t="shared" si="224"/>
        <v>0</v>
      </c>
      <c r="BE166">
        <f t="shared" si="224"/>
        <v>0</v>
      </c>
      <c r="BF166">
        <f t="shared" si="224"/>
        <v>0</v>
      </c>
      <c r="BG166">
        <f t="shared" si="224"/>
        <v>0</v>
      </c>
      <c r="BH166">
        <f t="shared" si="224"/>
        <v>0</v>
      </c>
      <c r="BI166">
        <f t="shared" si="224"/>
        <v>0</v>
      </c>
      <c r="BJ166">
        <f t="shared" si="224"/>
        <v>0</v>
      </c>
      <c r="BK166">
        <f t="shared" si="224"/>
        <v>0</v>
      </c>
      <c r="BL166">
        <f t="shared" si="224"/>
        <v>0</v>
      </c>
      <c r="BM166">
        <f t="shared" si="224"/>
        <v>0</v>
      </c>
      <c r="BN166">
        <f t="shared" si="224"/>
        <v>0</v>
      </c>
    </row>
    <row r="167" spans="2:66" x14ac:dyDescent="0.2">
      <c r="B167" t="s">
        <v>147</v>
      </c>
      <c r="C167" t="s">
        <v>13</v>
      </c>
      <c r="G167" s="35">
        <f t="shared" ref="G167:L167" si="225">H167</f>
        <v>5.0000000000000001E-3</v>
      </c>
      <c r="H167" s="35">
        <f t="shared" si="225"/>
        <v>5.0000000000000001E-3</v>
      </c>
      <c r="I167" s="35">
        <f t="shared" si="225"/>
        <v>5.0000000000000001E-3</v>
      </c>
      <c r="J167" s="35">
        <f t="shared" si="225"/>
        <v>5.0000000000000001E-3</v>
      </c>
      <c r="K167" s="35">
        <f t="shared" si="225"/>
        <v>5.0000000000000001E-3</v>
      </c>
      <c r="L167" s="35">
        <f t="shared" si="225"/>
        <v>5.0000000000000001E-3</v>
      </c>
      <c r="M167" s="35">
        <f>N167</f>
        <v>5.0000000000000001E-3</v>
      </c>
      <c r="N167" s="134">
        <v>5.0000000000000001E-3</v>
      </c>
      <c r="O167" s="35">
        <f>N167</f>
        <v>5.0000000000000001E-3</v>
      </c>
      <c r="P167" s="35">
        <f t="shared" ref="P167:BN167" si="226">O167</f>
        <v>5.0000000000000001E-3</v>
      </c>
      <c r="Q167" s="35">
        <f t="shared" si="226"/>
        <v>5.0000000000000001E-3</v>
      </c>
      <c r="R167" s="35">
        <f t="shared" si="226"/>
        <v>5.0000000000000001E-3</v>
      </c>
      <c r="S167" s="35">
        <f t="shared" si="226"/>
        <v>5.0000000000000001E-3</v>
      </c>
      <c r="T167" s="35">
        <f t="shared" si="226"/>
        <v>5.0000000000000001E-3</v>
      </c>
      <c r="U167" s="35">
        <f t="shared" si="226"/>
        <v>5.0000000000000001E-3</v>
      </c>
      <c r="V167" s="35">
        <f t="shared" si="226"/>
        <v>5.0000000000000001E-3</v>
      </c>
      <c r="W167" s="35">
        <f t="shared" si="226"/>
        <v>5.0000000000000001E-3</v>
      </c>
      <c r="X167" s="35">
        <f t="shared" si="226"/>
        <v>5.0000000000000001E-3</v>
      </c>
      <c r="Y167" s="35">
        <f t="shared" si="226"/>
        <v>5.0000000000000001E-3</v>
      </c>
      <c r="Z167" s="35">
        <f t="shared" si="226"/>
        <v>5.0000000000000001E-3</v>
      </c>
      <c r="AA167" s="35">
        <f t="shared" si="226"/>
        <v>5.0000000000000001E-3</v>
      </c>
      <c r="AB167" s="35">
        <f t="shared" si="226"/>
        <v>5.0000000000000001E-3</v>
      </c>
      <c r="AC167" s="35">
        <f t="shared" si="226"/>
        <v>5.0000000000000001E-3</v>
      </c>
      <c r="AD167" s="35">
        <f t="shared" si="226"/>
        <v>5.0000000000000001E-3</v>
      </c>
      <c r="AE167" s="35">
        <f t="shared" si="226"/>
        <v>5.0000000000000001E-3</v>
      </c>
      <c r="AF167" s="35">
        <f t="shared" si="226"/>
        <v>5.0000000000000001E-3</v>
      </c>
      <c r="AG167" s="35">
        <f t="shared" si="226"/>
        <v>5.0000000000000001E-3</v>
      </c>
      <c r="AH167" s="35">
        <f t="shared" si="226"/>
        <v>5.0000000000000001E-3</v>
      </c>
      <c r="AI167" s="35">
        <f t="shared" si="226"/>
        <v>5.0000000000000001E-3</v>
      </c>
      <c r="AJ167" s="35">
        <f t="shared" si="226"/>
        <v>5.0000000000000001E-3</v>
      </c>
      <c r="AK167" s="35">
        <f t="shared" si="226"/>
        <v>5.0000000000000001E-3</v>
      </c>
      <c r="AL167" s="35">
        <f t="shared" si="226"/>
        <v>5.0000000000000001E-3</v>
      </c>
      <c r="AM167" s="35">
        <f t="shared" si="226"/>
        <v>5.0000000000000001E-3</v>
      </c>
      <c r="AN167" s="35">
        <f t="shared" si="226"/>
        <v>5.0000000000000001E-3</v>
      </c>
      <c r="AO167" s="35">
        <f t="shared" si="226"/>
        <v>5.0000000000000001E-3</v>
      </c>
      <c r="AP167" s="35">
        <f t="shared" si="226"/>
        <v>5.0000000000000001E-3</v>
      </c>
      <c r="AQ167" s="35">
        <f t="shared" si="226"/>
        <v>5.0000000000000001E-3</v>
      </c>
      <c r="AR167" s="35">
        <f t="shared" si="226"/>
        <v>5.0000000000000001E-3</v>
      </c>
      <c r="AS167" s="35">
        <f t="shared" si="226"/>
        <v>5.0000000000000001E-3</v>
      </c>
      <c r="AT167" s="35">
        <f t="shared" si="226"/>
        <v>5.0000000000000001E-3</v>
      </c>
      <c r="AU167" s="35">
        <f t="shared" si="226"/>
        <v>5.0000000000000001E-3</v>
      </c>
      <c r="AV167" s="35">
        <f t="shared" si="226"/>
        <v>5.0000000000000001E-3</v>
      </c>
      <c r="AW167" s="35">
        <f t="shared" si="226"/>
        <v>5.0000000000000001E-3</v>
      </c>
      <c r="AX167" s="35">
        <f t="shared" si="226"/>
        <v>5.0000000000000001E-3</v>
      </c>
      <c r="AY167" s="35">
        <f t="shared" si="226"/>
        <v>5.0000000000000001E-3</v>
      </c>
      <c r="AZ167" s="35">
        <f t="shared" si="226"/>
        <v>5.0000000000000001E-3</v>
      </c>
      <c r="BA167" s="35">
        <f t="shared" si="226"/>
        <v>5.0000000000000001E-3</v>
      </c>
      <c r="BB167" s="35">
        <f t="shared" si="226"/>
        <v>5.0000000000000001E-3</v>
      </c>
      <c r="BC167" s="35">
        <f t="shared" si="226"/>
        <v>5.0000000000000001E-3</v>
      </c>
      <c r="BD167" s="35">
        <f t="shared" si="226"/>
        <v>5.0000000000000001E-3</v>
      </c>
      <c r="BE167" s="35">
        <f t="shared" si="226"/>
        <v>5.0000000000000001E-3</v>
      </c>
      <c r="BF167" s="35">
        <f t="shared" si="226"/>
        <v>5.0000000000000001E-3</v>
      </c>
      <c r="BG167" s="35">
        <f t="shared" si="226"/>
        <v>5.0000000000000001E-3</v>
      </c>
      <c r="BH167" s="35">
        <f t="shared" si="226"/>
        <v>5.0000000000000001E-3</v>
      </c>
      <c r="BI167" s="35">
        <f t="shared" si="226"/>
        <v>5.0000000000000001E-3</v>
      </c>
      <c r="BJ167" s="35">
        <f t="shared" si="226"/>
        <v>5.0000000000000001E-3</v>
      </c>
      <c r="BK167" s="35">
        <f t="shared" si="226"/>
        <v>5.0000000000000001E-3</v>
      </c>
      <c r="BL167" s="35">
        <f t="shared" si="226"/>
        <v>5.0000000000000001E-3</v>
      </c>
      <c r="BM167" s="35">
        <f t="shared" si="226"/>
        <v>5.0000000000000001E-3</v>
      </c>
      <c r="BN167" s="35">
        <f t="shared" si="226"/>
        <v>5.0000000000000001E-3</v>
      </c>
    </row>
    <row r="168" spans="2:66" x14ac:dyDescent="0.2">
      <c r="N168" s="23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</row>
    <row r="169" spans="2:66" x14ac:dyDescent="0.2">
      <c r="B169" s="6" t="s">
        <v>74</v>
      </c>
    </row>
    <row r="170" spans="2:66" x14ac:dyDescent="0.2">
      <c r="B170" t="s">
        <v>31</v>
      </c>
      <c r="C170" t="s">
        <v>32</v>
      </c>
      <c r="G170" s="40">
        <f t="shared" ref="G170:AL170" si="227">G161</f>
        <v>61.3</v>
      </c>
      <c r="H170" s="40">
        <f t="shared" si="227"/>
        <v>61.3</v>
      </c>
      <c r="I170" s="40">
        <f t="shared" si="227"/>
        <v>61.3</v>
      </c>
      <c r="J170" s="40">
        <f t="shared" si="227"/>
        <v>61.3</v>
      </c>
      <c r="K170" s="40">
        <f>K161</f>
        <v>61.3</v>
      </c>
      <c r="L170" s="40">
        <f t="shared" si="227"/>
        <v>61.3</v>
      </c>
      <c r="M170" s="40">
        <f t="shared" si="227"/>
        <v>61.3</v>
      </c>
      <c r="N170" s="40">
        <f t="shared" si="227"/>
        <v>61.3</v>
      </c>
      <c r="O170" s="40">
        <f t="shared" si="227"/>
        <v>61.3</v>
      </c>
      <c r="P170" s="40">
        <f t="shared" si="227"/>
        <v>61.3</v>
      </c>
      <c r="Q170" s="40">
        <f t="shared" si="227"/>
        <v>61.3</v>
      </c>
      <c r="R170" s="40">
        <f t="shared" si="227"/>
        <v>61.3</v>
      </c>
      <c r="S170" s="40">
        <f t="shared" si="227"/>
        <v>61.3</v>
      </c>
      <c r="T170" s="40">
        <f t="shared" si="227"/>
        <v>61.3</v>
      </c>
      <c r="U170" s="40">
        <f t="shared" si="227"/>
        <v>61.3</v>
      </c>
      <c r="V170" s="40">
        <f t="shared" si="227"/>
        <v>61.3</v>
      </c>
      <c r="W170" s="40">
        <f t="shared" si="227"/>
        <v>61.3</v>
      </c>
      <c r="X170" s="40">
        <f t="shared" si="227"/>
        <v>61.3</v>
      </c>
      <c r="Y170" s="40">
        <f t="shared" si="227"/>
        <v>61.3</v>
      </c>
      <c r="Z170" s="40">
        <f t="shared" si="227"/>
        <v>61.3</v>
      </c>
      <c r="AA170" s="40">
        <f t="shared" si="227"/>
        <v>61.3</v>
      </c>
      <c r="AB170" s="40">
        <f t="shared" si="227"/>
        <v>61.3</v>
      </c>
      <c r="AC170" s="40">
        <f t="shared" si="227"/>
        <v>61.3</v>
      </c>
      <c r="AD170" s="40">
        <f t="shared" si="227"/>
        <v>61.3</v>
      </c>
      <c r="AE170" s="40">
        <f t="shared" si="227"/>
        <v>61.3</v>
      </c>
      <c r="AF170" s="40">
        <f t="shared" si="227"/>
        <v>61.3</v>
      </c>
      <c r="AG170" s="40">
        <f t="shared" si="227"/>
        <v>61.3</v>
      </c>
      <c r="AH170" s="40">
        <f t="shared" si="227"/>
        <v>61.3</v>
      </c>
      <c r="AI170" s="40">
        <f t="shared" si="227"/>
        <v>61.3</v>
      </c>
      <c r="AJ170" s="40">
        <f t="shared" si="227"/>
        <v>61.3</v>
      </c>
      <c r="AK170" s="40">
        <f t="shared" si="227"/>
        <v>61.3</v>
      </c>
      <c r="AL170" s="40">
        <f t="shared" si="227"/>
        <v>61.3</v>
      </c>
      <c r="AM170" s="40">
        <f t="shared" ref="AM170:BN170" si="228">AM161</f>
        <v>61.3</v>
      </c>
      <c r="AN170" s="40">
        <f t="shared" si="228"/>
        <v>61.3</v>
      </c>
      <c r="AO170" s="40">
        <f t="shared" si="228"/>
        <v>61.3</v>
      </c>
      <c r="AP170" s="40">
        <f t="shared" si="228"/>
        <v>61.3</v>
      </c>
      <c r="AQ170" s="40">
        <f t="shared" si="228"/>
        <v>61.3</v>
      </c>
      <c r="AR170" s="40">
        <f t="shared" si="228"/>
        <v>61.3</v>
      </c>
      <c r="AS170" s="40">
        <f t="shared" si="228"/>
        <v>61.3</v>
      </c>
      <c r="AT170" s="40">
        <f t="shared" si="228"/>
        <v>61.3</v>
      </c>
      <c r="AU170" s="40">
        <f t="shared" si="228"/>
        <v>61.3</v>
      </c>
      <c r="AV170" s="40">
        <f t="shared" si="228"/>
        <v>61.3</v>
      </c>
      <c r="AW170" s="40">
        <f t="shared" si="228"/>
        <v>61.3</v>
      </c>
      <c r="AX170" s="40">
        <f t="shared" si="228"/>
        <v>61.3</v>
      </c>
      <c r="AY170" s="40">
        <f t="shared" si="228"/>
        <v>61.3</v>
      </c>
      <c r="AZ170" s="40">
        <f t="shared" si="228"/>
        <v>61.3</v>
      </c>
      <c r="BA170" s="40">
        <f t="shared" si="228"/>
        <v>61.3</v>
      </c>
      <c r="BB170" s="40">
        <f t="shared" si="228"/>
        <v>62.525999999999996</v>
      </c>
      <c r="BC170" s="40">
        <f t="shared" si="228"/>
        <v>62.525999999999996</v>
      </c>
      <c r="BD170" s="40">
        <f t="shared" si="228"/>
        <v>62.525999999999996</v>
      </c>
      <c r="BE170" s="40">
        <f t="shared" si="228"/>
        <v>62.525999999999996</v>
      </c>
      <c r="BF170" s="40">
        <f t="shared" si="228"/>
        <v>62.525999999999996</v>
      </c>
      <c r="BG170" s="40">
        <f t="shared" si="228"/>
        <v>62.525999999999996</v>
      </c>
      <c r="BH170" s="40">
        <f t="shared" si="228"/>
        <v>62.525999999999996</v>
      </c>
      <c r="BI170" s="40">
        <f t="shared" si="228"/>
        <v>62.525999999999996</v>
      </c>
      <c r="BJ170" s="40">
        <f t="shared" si="228"/>
        <v>62.525999999999996</v>
      </c>
      <c r="BK170" s="40">
        <f t="shared" si="228"/>
        <v>62.525999999999996</v>
      </c>
      <c r="BL170" s="40">
        <f t="shared" si="228"/>
        <v>62.525999999999996</v>
      </c>
      <c r="BM170" s="40">
        <f t="shared" si="228"/>
        <v>62.525999999999996</v>
      </c>
      <c r="BN170" s="40">
        <f t="shared" si="228"/>
        <v>62.525999999999996</v>
      </c>
    </row>
    <row r="171" spans="2:66" x14ac:dyDescent="0.2">
      <c r="B171" t="s">
        <v>31</v>
      </c>
      <c r="C171" t="s">
        <v>10</v>
      </c>
      <c r="G171" s="40">
        <f t="shared" ref="G171:AL171" si="229">G162</f>
        <v>0.81733333333333325</v>
      </c>
      <c r="H171" s="40">
        <f t="shared" si="229"/>
        <v>0.81733333333333325</v>
      </c>
      <c r="I171" s="40">
        <f t="shared" si="229"/>
        <v>0.81733333333333325</v>
      </c>
      <c r="J171" s="40">
        <f t="shared" si="229"/>
        <v>0.81733333333333325</v>
      </c>
      <c r="K171" s="40">
        <f t="shared" si="229"/>
        <v>0.81733333333333325</v>
      </c>
      <c r="L171" s="40">
        <f t="shared" si="229"/>
        <v>0.81733333333333325</v>
      </c>
      <c r="M171" s="40">
        <f t="shared" si="229"/>
        <v>0.81733333333333325</v>
      </c>
      <c r="N171" s="40">
        <f t="shared" si="229"/>
        <v>0.81733333333333325</v>
      </c>
      <c r="O171" s="40">
        <f t="shared" si="229"/>
        <v>0.81733333333333325</v>
      </c>
      <c r="P171" s="40">
        <f t="shared" si="229"/>
        <v>0.81733333333333325</v>
      </c>
      <c r="Q171" s="40">
        <f t="shared" si="229"/>
        <v>0.81733333333333325</v>
      </c>
      <c r="R171" s="40">
        <f t="shared" si="229"/>
        <v>0.81733333333333325</v>
      </c>
      <c r="S171" s="40">
        <f t="shared" si="229"/>
        <v>0.81733333333333325</v>
      </c>
      <c r="T171" s="40">
        <f t="shared" si="229"/>
        <v>0.81733333333333325</v>
      </c>
      <c r="U171" s="40">
        <f t="shared" si="229"/>
        <v>0.81733333333333325</v>
      </c>
      <c r="V171" s="40">
        <f t="shared" si="229"/>
        <v>0.81733333333333325</v>
      </c>
      <c r="W171" s="40">
        <f t="shared" si="229"/>
        <v>0.81733333333333325</v>
      </c>
      <c r="X171" s="40">
        <f t="shared" si="229"/>
        <v>0.81733333333333325</v>
      </c>
      <c r="Y171" s="40">
        <f t="shared" si="229"/>
        <v>0.81733333333333325</v>
      </c>
      <c r="Z171" s="40">
        <f t="shared" si="229"/>
        <v>0.81733333333333325</v>
      </c>
      <c r="AA171" s="40">
        <f t="shared" si="229"/>
        <v>0.81733333333333325</v>
      </c>
      <c r="AB171" s="40">
        <f t="shared" si="229"/>
        <v>0.81733333333333325</v>
      </c>
      <c r="AC171" s="40">
        <f t="shared" si="229"/>
        <v>0.81733333333333325</v>
      </c>
      <c r="AD171" s="40">
        <f t="shared" si="229"/>
        <v>0.81733333333333325</v>
      </c>
      <c r="AE171" s="40">
        <f t="shared" si="229"/>
        <v>0.81733333333333325</v>
      </c>
      <c r="AF171" s="40">
        <f t="shared" si="229"/>
        <v>0.81733333333333325</v>
      </c>
      <c r="AG171" s="40">
        <f t="shared" si="229"/>
        <v>0.81733333333333325</v>
      </c>
      <c r="AH171" s="40">
        <f t="shared" si="229"/>
        <v>0.81733333333333325</v>
      </c>
      <c r="AI171" s="40">
        <f t="shared" si="229"/>
        <v>0.81733333333333325</v>
      </c>
      <c r="AJ171" s="40">
        <f t="shared" si="229"/>
        <v>0.81733333333333325</v>
      </c>
      <c r="AK171" s="40">
        <f t="shared" si="229"/>
        <v>0.81733333333333325</v>
      </c>
      <c r="AL171" s="40">
        <f t="shared" si="229"/>
        <v>0.81733333333333325</v>
      </c>
      <c r="AM171" s="40">
        <f t="shared" ref="AM171:BN171" si="230">AM162</f>
        <v>0.81733333333333325</v>
      </c>
      <c r="AN171" s="40">
        <f t="shared" si="230"/>
        <v>0.81733333333333325</v>
      </c>
      <c r="AO171" s="40">
        <f t="shared" si="230"/>
        <v>0.81733333333333325</v>
      </c>
      <c r="AP171" s="40">
        <f t="shared" si="230"/>
        <v>0.81733333333333325</v>
      </c>
      <c r="AQ171" s="40">
        <f t="shared" si="230"/>
        <v>0.81733333333333325</v>
      </c>
      <c r="AR171" s="40">
        <f t="shared" si="230"/>
        <v>0.81733333333333325</v>
      </c>
      <c r="AS171" s="40">
        <f t="shared" si="230"/>
        <v>0.81733333333333325</v>
      </c>
      <c r="AT171" s="40">
        <f t="shared" si="230"/>
        <v>0.81733333333333325</v>
      </c>
      <c r="AU171" s="40">
        <f t="shared" si="230"/>
        <v>0.81733333333333325</v>
      </c>
      <c r="AV171" s="40">
        <f t="shared" si="230"/>
        <v>0.81733333333333325</v>
      </c>
      <c r="AW171" s="40">
        <f t="shared" si="230"/>
        <v>0.81733333333333325</v>
      </c>
      <c r="AX171" s="40">
        <f t="shared" si="230"/>
        <v>0.81733333333333325</v>
      </c>
      <c r="AY171" s="40">
        <f t="shared" si="230"/>
        <v>0.81733333333333325</v>
      </c>
      <c r="AZ171" s="40">
        <f t="shared" si="230"/>
        <v>0.81733333333333325</v>
      </c>
      <c r="BA171" s="40">
        <f t="shared" si="230"/>
        <v>0.81733333333333325</v>
      </c>
      <c r="BB171" s="40">
        <f t="shared" si="230"/>
        <v>0.83367999999999998</v>
      </c>
      <c r="BC171" s="40">
        <f t="shared" si="230"/>
        <v>0.83367999999999998</v>
      </c>
      <c r="BD171" s="40">
        <f t="shared" si="230"/>
        <v>0.83367999999999998</v>
      </c>
      <c r="BE171" s="40">
        <f t="shared" si="230"/>
        <v>0.83367999999999998</v>
      </c>
      <c r="BF171" s="40">
        <f t="shared" si="230"/>
        <v>0.83367999999999998</v>
      </c>
      <c r="BG171" s="40">
        <f t="shared" si="230"/>
        <v>0.83367999999999998</v>
      </c>
      <c r="BH171" s="40">
        <f t="shared" si="230"/>
        <v>0.83367999999999998</v>
      </c>
      <c r="BI171" s="40">
        <f t="shared" si="230"/>
        <v>0.83367999999999998</v>
      </c>
      <c r="BJ171" s="40">
        <f t="shared" si="230"/>
        <v>0.83367999999999998</v>
      </c>
      <c r="BK171" s="40">
        <f t="shared" si="230"/>
        <v>0.83367999999999998</v>
      </c>
      <c r="BL171" s="40">
        <f t="shared" si="230"/>
        <v>0.83367999999999998</v>
      </c>
      <c r="BM171" s="40">
        <f t="shared" si="230"/>
        <v>0.83367999999999998</v>
      </c>
      <c r="BN171" s="40">
        <f t="shared" si="230"/>
        <v>0.83367999999999998</v>
      </c>
    </row>
    <row r="172" spans="2:66" x14ac:dyDescent="0.2">
      <c r="B172" t="s">
        <v>23</v>
      </c>
      <c r="C172" t="s">
        <v>28</v>
      </c>
      <c r="G172" s="39">
        <f>ROUNDUP(G19/G79,0)</f>
        <v>11</v>
      </c>
      <c r="H172" s="39">
        <f t="shared" ref="H172:I172" si="231">ROUNDUP(H19/H79,0)</f>
        <v>11</v>
      </c>
      <c r="I172" s="39">
        <f t="shared" si="231"/>
        <v>11</v>
      </c>
      <c r="J172" s="39">
        <f>J19/J79</f>
        <v>10.906666666666666</v>
      </c>
      <c r="K172" s="39">
        <f t="shared" ref="K172:BN172" si="232">K19/K79</f>
        <v>16.733333333333334</v>
      </c>
      <c r="L172" s="39">
        <f t="shared" si="232"/>
        <v>22.546666666666667</v>
      </c>
      <c r="M172" s="39">
        <f>M19/M79</f>
        <v>28.373333333333335</v>
      </c>
      <c r="N172" s="39">
        <f t="shared" si="232"/>
        <v>78.56</v>
      </c>
      <c r="O172" s="39">
        <f t="shared" si="232"/>
        <v>34.186666666666667</v>
      </c>
      <c r="P172" s="39">
        <f t="shared" si="232"/>
        <v>40</v>
      </c>
      <c r="Q172" s="39">
        <f t="shared" si="232"/>
        <v>40</v>
      </c>
      <c r="R172" s="39">
        <f t="shared" si="232"/>
        <v>40</v>
      </c>
      <c r="S172" s="39">
        <f t="shared" si="232"/>
        <v>40</v>
      </c>
      <c r="T172" s="39">
        <f t="shared" si="232"/>
        <v>40</v>
      </c>
      <c r="U172" s="39">
        <f t="shared" si="232"/>
        <v>40</v>
      </c>
      <c r="V172" s="39">
        <f t="shared" si="232"/>
        <v>40</v>
      </c>
      <c r="W172" s="39">
        <f t="shared" si="232"/>
        <v>40</v>
      </c>
      <c r="X172" s="39">
        <f t="shared" si="232"/>
        <v>40</v>
      </c>
      <c r="Y172" s="39">
        <f t="shared" si="232"/>
        <v>40</v>
      </c>
      <c r="Z172" s="39">
        <f t="shared" si="232"/>
        <v>40</v>
      </c>
      <c r="AA172" s="39">
        <f t="shared" si="232"/>
        <v>474.18666666666667</v>
      </c>
      <c r="AB172" s="39">
        <f t="shared" si="232"/>
        <v>40</v>
      </c>
      <c r="AC172" s="39">
        <f t="shared" si="232"/>
        <v>40</v>
      </c>
      <c r="AD172" s="39">
        <f t="shared" si="232"/>
        <v>42.106666666666669</v>
      </c>
      <c r="AE172" s="39">
        <f t="shared" si="232"/>
        <v>44.213333333333331</v>
      </c>
      <c r="AF172" s="39">
        <f t="shared" si="232"/>
        <v>46.32</v>
      </c>
      <c r="AG172" s="39">
        <f t="shared" si="232"/>
        <v>48.426666666666669</v>
      </c>
      <c r="AH172" s="39">
        <f t="shared" si="232"/>
        <v>50.533333333333331</v>
      </c>
      <c r="AI172" s="39">
        <f t="shared" si="232"/>
        <v>52.626666666666665</v>
      </c>
      <c r="AJ172" s="39">
        <f t="shared" si="232"/>
        <v>54.733333333333334</v>
      </c>
      <c r="AK172" s="39">
        <f t="shared" si="232"/>
        <v>56.84</v>
      </c>
      <c r="AL172" s="39">
        <f t="shared" si="232"/>
        <v>58.93333333333333</v>
      </c>
      <c r="AM172" s="39">
        <f t="shared" si="232"/>
        <v>61.04</v>
      </c>
      <c r="AN172" s="39">
        <f t="shared" si="232"/>
        <v>595.77333333333331</v>
      </c>
      <c r="AO172" s="39">
        <f t="shared" si="232"/>
        <v>63.146666666666668</v>
      </c>
      <c r="AP172" s="39">
        <f t="shared" si="232"/>
        <v>65.25333333333333</v>
      </c>
      <c r="AQ172" s="39">
        <f t="shared" si="232"/>
        <v>67.36</v>
      </c>
      <c r="AR172" s="39">
        <f t="shared" si="232"/>
        <v>69.466666666666669</v>
      </c>
      <c r="AS172" s="39">
        <f t="shared" si="232"/>
        <v>71.573333333333338</v>
      </c>
      <c r="AT172" s="39">
        <f t="shared" si="232"/>
        <v>73.680000000000007</v>
      </c>
      <c r="AU172" s="39">
        <f t="shared" si="232"/>
        <v>75.773333333333326</v>
      </c>
      <c r="AV172" s="39">
        <f t="shared" si="232"/>
        <v>79.999998883722668</v>
      </c>
      <c r="AW172" s="39">
        <f t="shared" si="232"/>
        <v>79.999998883722668</v>
      </c>
      <c r="AX172" s="39">
        <f t="shared" si="232"/>
        <v>79.999998883722668</v>
      </c>
      <c r="AY172" s="39">
        <f t="shared" si="232"/>
        <v>79.999998883722668</v>
      </c>
      <c r="AZ172" s="39">
        <f t="shared" si="232"/>
        <v>79.999998883722668</v>
      </c>
      <c r="BA172" s="39">
        <f t="shared" si="232"/>
        <v>886.25332775194659</v>
      </c>
      <c r="BB172" s="39">
        <f t="shared" si="232"/>
        <v>73.854443979328892</v>
      </c>
      <c r="BC172" s="39">
        <f t="shared" si="232"/>
        <v>73.854443979328892</v>
      </c>
      <c r="BD172" s="39">
        <f t="shared" si="232"/>
        <v>73.854443979328892</v>
      </c>
      <c r="BE172" s="39">
        <f t="shared" si="232"/>
        <v>73.854443979328892</v>
      </c>
      <c r="BF172" s="39">
        <f t="shared" si="232"/>
        <v>73.854443979328892</v>
      </c>
      <c r="BG172" s="39">
        <f t="shared" si="232"/>
        <v>73.854443979328892</v>
      </c>
      <c r="BH172" s="39">
        <f t="shared" si="232"/>
        <v>73.854443979328892</v>
      </c>
      <c r="BI172" s="39">
        <f t="shared" si="232"/>
        <v>73.854443979328892</v>
      </c>
      <c r="BJ172" s="39">
        <f t="shared" si="232"/>
        <v>73.854443979328892</v>
      </c>
      <c r="BK172" s="39">
        <f t="shared" si="232"/>
        <v>73.854443979328892</v>
      </c>
      <c r="BL172" s="39">
        <f t="shared" si="232"/>
        <v>73.854443979328892</v>
      </c>
      <c r="BM172" s="39">
        <f t="shared" si="232"/>
        <v>73.854443979328892</v>
      </c>
      <c r="BN172" s="39">
        <f t="shared" si="232"/>
        <v>886.25332775194659</v>
      </c>
    </row>
    <row r="173" spans="2:66" hidden="1" x14ac:dyDescent="0.2">
      <c r="B173" t="s">
        <v>43</v>
      </c>
      <c r="C173" t="s">
        <v>35</v>
      </c>
      <c r="G173" s="39">
        <f>G165</f>
        <v>30</v>
      </c>
      <c r="H173" s="39">
        <f t="shared" ref="H173:BN173" si="233">H165</f>
        <v>31</v>
      </c>
      <c r="I173" s="39">
        <f>I165</f>
        <v>31</v>
      </c>
      <c r="J173" s="39">
        <f t="shared" si="233"/>
        <v>30</v>
      </c>
      <c r="K173" s="39">
        <f t="shared" si="233"/>
        <v>31</v>
      </c>
      <c r="L173" s="39">
        <f t="shared" si="233"/>
        <v>30</v>
      </c>
      <c r="M173" s="39">
        <f t="shared" si="233"/>
        <v>31</v>
      </c>
      <c r="N173" s="39">
        <f t="shared" si="233"/>
        <v>30.571428571428573</v>
      </c>
      <c r="O173" s="39">
        <f t="shared" si="233"/>
        <v>31</v>
      </c>
      <c r="P173" s="39">
        <f t="shared" si="233"/>
        <v>28</v>
      </c>
      <c r="Q173" s="39">
        <f t="shared" si="233"/>
        <v>31</v>
      </c>
      <c r="R173" s="39">
        <f t="shared" si="233"/>
        <v>30</v>
      </c>
      <c r="S173" s="39">
        <f t="shared" si="233"/>
        <v>31</v>
      </c>
      <c r="T173" s="39">
        <f t="shared" si="233"/>
        <v>30</v>
      </c>
      <c r="U173" s="39">
        <f t="shared" si="233"/>
        <v>31</v>
      </c>
      <c r="V173" s="39">
        <f t="shared" si="233"/>
        <v>31</v>
      </c>
      <c r="W173" s="39">
        <f t="shared" si="233"/>
        <v>30</v>
      </c>
      <c r="X173" s="39">
        <f t="shared" si="233"/>
        <v>31</v>
      </c>
      <c r="Y173" s="39">
        <f t="shared" si="233"/>
        <v>30</v>
      </c>
      <c r="Z173" s="39">
        <f t="shared" si="233"/>
        <v>31</v>
      </c>
      <c r="AA173" s="39">
        <f t="shared" si="233"/>
        <v>30.416666666666668</v>
      </c>
      <c r="AB173" s="39">
        <f t="shared" si="233"/>
        <v>31</v>
      </c>
      <c r="AC173" s="39">
        <f t="shared" si="233"/>
        <v>28</v>
      </c>
      <c r="AD173" s="39">
        <f t="shared" si="233"/>
        <v>31</v>
      </c>
      <c r="AE173" s="39">
        <f t="shared" si="233"/>
        <v>30</v>
      </c>
      <c r="AF173" s="39">
        <f t="shared" si="233"/>
        <v>31</v>
      </c>
      <c r="AG173" s="39">
        <f t="shared" si="233"/>
        <v>30</v>
      </c>
      <c r="AH173" s="39">
        <f t="shared" si="233"/>
        <v>31</v>
      </c>
      <c r="AI173" s="39">
        <f t="shared" si="233"/>
        <v>31</v>
      </c>
      <c r="AJ173" s="39">
        <f t="shared" si="233"/>
        <v>30</v>
      </c>
      <c r="AK173" s="39">
        <f t="shared" si="233"/>
        <v>31</v>
      </c>
      <c r="AL173" s="39">
        <f t="shared" si="233"/>
        <v>30</v>
      </c>
      <c r="AM173" s="39">
        <f t="shared" si="233"/>
        <v>31</v>
      </c>
      <c r="AN173" s="39">
        <f t="shared" si="233"/>
        <v>30.416666666666668</v>
      </c>
      <c r="AO173" s="39">
        <f t="shared" si="233"/>
        <v>31</v>
      </c>
      <c r="AP173" s="39">
        <f t="shared" si="233"/>
        <v>29</v>
      </c>
      <c r="AQ173" s="39">
        <f t="shared" si="233"/>
        <v>31</v>
      </c>
      <c r="AR173" s="39">
        <f t="shared" si="233"/>
        <v>30</v>
      </c>
      <c r="AS173" s="39">
        <f t="shared" si="233"/>
        <v>31</v>
      </c>
      <c r="AT173" s="39">
        <f t="shared" si="233"/>
        <v>30</v>
      </c>
      <c r="AU173" s="39">
        <f t="shared" si="233"/>
        <v>31</v>
      </c>
      <c r="AV173" s="39">
        <f t="shared" si="233"/>
        <v>31</v>
      </c>
      <c r="AW173" s="39">
        <f t="shared" si="233"/>
        <v>30</v>
      </c>
      <c r="AX173" s="39">
        <f t="shared" si="233"/>
        <v>31</v>
      </c>
      <c r="AY173" s="39">
        <f t="shared" si="233"/>
        <v>30</v>
      </c>
      <c r="AZ173" s="39">
        <f t="shared" si="233"/>
        <v>31</v>
      </c>
      <c r="BA173" s="39">
        <f t="shared" si="233"/>
        <v>30.5</v>
      </c>
      <c r="BB173" s="39">
        <f t="shared" si="233"/>
        <v>31</v>
      </c>
      <c r="BC173" s="39">
        <f t="shared" si="233"/>
        <v>28</v>
      </c>
      <c r="BD173" s="39">
        <f t="shared" si="233"/>
        <v>31</v>
      </c>
      <c r="BE173" s="39">
        <f t="shared" si="233"/>
        <v>30</v>
      </c>
      <c r="BF173" s="39">
        <f t="shared" si="233"/>
        <v>31</v>
      </c>
      <c r="BG173" s="39">
        <f t="shared" si="233"/>
        <v>30</v>
      </c>
      <c r="BH173" s="39">
        <f t="shared" si="233"/>
        <v>31</v>
      </c>
      <c r="BI173" s="39">
        <f t="shared" si="233"/>
        <v>31</v>
      </c>
      <c r="BJ173" s="39">
        <f t="shared" si="233"/>
        <v>30</v>
      </c>
      <c r="BK173" s="39">
        <f t="shared" si="233"/>
        <v>31</v>
      </c>
      <c r="BL173" s="39">
        <f t="shared" si="233"/>
        <v>30</v>
      </c>
      <c r="BM173" s="39">
        <f t="shared" si="233"/>
        <v>31</v>
      </c>
      <c r="BN173" s="39">
        <f t="shared" si="233"/>
        <v>30.416666666666668</v>
      </c>
    </row>
    <row r="174" spans="2:66" hidden="1" x14ac:dyDescent="0.2">
      <c r="B174" t="s">
        <v>42</v>
      </c>
      <c r="C174" t="s">
        <v>49</v>
      </c>
      <c r="G174">
        <f>G107</f>
        <v>0</v>
      </c>
      <c r="H174">
        <f t="shared" ref="H174:BN174" si="234">H107</f>
        <v>0</v>
      </c>
      <c r="I174">
        <f t="shared" si="234"/>
        <v>0</v>
      </c>
      <c r="J174">
        <f t="shared" si="234"/>
        <v>0</v>
      </c>
      <c r="K174">
        <f t="shared" si="234"/>
        <v>0</v>
      </c>
      <c r="L174">
        <f t="shared" si="234"/>
        <v>0</v>
      </c>
      <c r="M174">
        <f t="shared" si="234"/>
        <v>0</v>
      </c>
      <c r="N174">
        <f t="shared" si="234"/>
        <v>0</v>
      </c>
      <c r="O174">
        <f t="shared" si="234"/>
        <v>0</v>
      </c>
      <c r="P174">
        <f t="shared" si="234"/>
        <v>0</v>
      </c>
      <c r="Q174">
        <f t="shared" si="234"/>
        <v>0</v>
      </c>
      <c r="R174">
        <f t="shared" si="234"/>
        <v>0</v>
      </c>
      <c r="S174">
        <f t="shared" si="234"/>
        <v>0</v>
      </c>
      <c r="T174">
        <f t="shared" si="234"/>
        <v>0</v>
      </c>
      <c r="U174">
        <f t="shared" si="234"/>
        <v>0</v>
      </c>
      <c r="V174">
        <f t="shared" si="234"/>
        <v>0</v>
      </c>
      <c r="W174">
        <f t="shared" si="234"/>
        <v>0</v>
      </c>
      <c r="X174">
        <f t="shared" si="234"/>
        <v>0</v>
      </c>
      <c r="Y174">
        <f t="shared" si="234"/>
        <v>0</v>
      </c>
      <c r="Z174">
        <f t="shared" si="234"/>
        <v>0</v>
      </c>
      <c r="AA174">
        <f t="shared" si="234"/>
        <v>0</v>
      </c>
      <c r="AB174">
        <f t="shared" si="234"/>
        <v>0</v>
      </c>
      <c r="AC174">
        <f t="shared" si="234"/>
        <v>0</v>
      </c>
      <c r="AD174">
        <f t="shared" si="234"/>
        <v>0</v>
      </c>
      <c r="AE174">
        <f t="shared" si="234"/>
        <v>0</v>
      </c>
      <c r="AF174">
        <f t="shared" si="234"/>
        <v>0</v>
      </c>
      <c r="AG174">
        <f t="shared" si="234"/>
        <v>0</v>
      </c>
      <c r="AH174">
        <f t="shared" si="234"/>
        <v>0</v>
      </c>
      <c r="AI174">
        <f t="shared" si="234"/>
        <v>0</v>
      </c>
      <c r="AJ174">
        <f t="shared" si="234"/>
        <v>0</v>
      </c>
      <c r="AK174">
        <f t="shared" si="234"/>
        <v>0</v>
      </c>
      <c r="AL174">
        <f t="shared" si="234"/>
        <v>0</v>
      </c>
      <c r="AM174">
        <f t="shared" si="234"/>
        <v>0</v>
      </c>
      <c r="AN174">
        <f t="shared" si="234"/>
        <v>0</v>
      </c>
      <c r="AO174">
        <f t="shared" si="234"/>
        <v>0</v>
      </c>
      <c r="AP174">
        <f t="shared" si="234"/>
        <v>0</v>
      </c>
      <c r="AQ174">
        <f t="shared" si="234"/>
        <v>0</v>
      </c>
      <c r="AR174">
        <f t="shared" si="234"/>
        <v>0</v>
      </c>
      <c r="AS174">
        <f t="shared" si="234"/>
        <v>0</v>
      </c>
      <c r="AT174">
        <f t="shared" si="234"/>
        <v>0</v>
      </c>
      <c r="AU174">
        <f t="shared" si="234"/>
        <v>0</v>
      </c>
      <c r="AV174">
        <f t="shared" si="234"/>
        <v>0</v>
      </c>
      <c r="AW174">
        <f t="shared" si="234"/>
        <v>0</v>
      </c>
      <c r="AX174">
        <f t="shared" si="234"/>
        <v>0</v>
      </c>
      <c r="AY174">
        <f t="shared" si="234"/>
        <v>0</v>
      </c>
      <c r="AZ174">
        <f t="shared" si="234"/>
        <v>0</v>
      </c>
      <c r="BA174">
        <f t="shared" si="234"/>
        <v>0</v>
      </c>
      <c r="BB174">
        <f t="shared" si="234"/>
        <v>0</v>
      </c>
      <c r="BC174">
        <f t="shared" si="234"/>
        <v>0</v>
      </c>
      <c r="BD174">
        <f t="shared" si="234"/>
        <v>0</v>
      </c>
      <c r="BE174">
        <f t="shared" si="234"/>
        <v>0</v>
      </c>
      <c r="BF174">
        <f t="shared" si="234"/>
        <v>0</v>
      </c>
      <c r="BG174">
        <f t="shared" si="234"/>
        <v>0</v>
      </c>
      <c r="BH174">
        <f t="shared" si="234"/>
        <v>0</v>
      </c>
      <c r="BI174">
        <f t="shared" si="234"/>
        <v>0</v>
      </c>
      <c r="BJ174">
        <f t="shared" si="234"/>
        <v>0</v>
      </c>
      <c r="BK174">
        <f t="shared" si="234"/>
        <v>0</v>
      </c>
      <c r="BL174">
        <f t="shared" si="234"/>
        <v>0</v>
      </c>
      <c r="BM174">
        <f t="shared" si="234"/>
        <v>0</v>
      </c>
      <c r="BN174">
        <f t="shared" si="234"/>
        <v>0</v>
      </c>
    </row>
    <row r="175" spans="2:66" x14ac:dyDescent="0.2">
      <c r="B175" t="s">
        <v>147</v>
      </c>
      <c r="C175" t="s">
        <v>13</v>
      </c>
      <c r="G175" s="35">
        <f t="shared" ref="G175:L175" si="235">H175</f>
        <v>5.0000000000000001E-3</v>
      </c>
      <c r="H175" s="35">
        <f t="shared" si="235"/>
        <v>5.0000000000000001E-3</v>
      </c>
      <c r="I175" s="35">
        <f t="shared" si="235"/>
        <v>5.0000000000000001E-3</v>
      </c>
      <c r="J175" s="35">
        <f t="shared" si="235"/>
        <v>5.0000000000000001E-3</v>
      </c>
      <c r="K175" s="35">
        <f t="shared" si="235"/>
        <v>5.0000000000000001E-3</v>
      </c>
      <c r="L175" s="35">
        <f t="shared" si="235"/>
        <v>5.0000000000000001E-3</v>
      </c>
      <c r="M175" s="35">
        <f>N175</f>
        <v>5.0000000000000001E-3</v>
      </c>
      <c r="N175" s="134">
        <v>5.0000000000000001E-3</v>
      </c>
      <c r="O175" s="35">
        <f>N175</f>
        <v>5.0000000000000001E-3</v>
      </c>
      <c r="P175" s="35">
        <f t="shared" ref="P175:BN175" si="236">O175</f>
        <v>5.0000000000000001E-3</v>
      </c>
      <c r="Q175" s="35">
        <f t="shared" si="236"/>
        <v>5.0000000000000001E-3</v>
      </c>
      <c r="R175" s="35">
        <f t="shared" si="236"/>
        <v>5.0000000000000001E-3</v>
      </c>
      <c r="S175" s="35">
        <f t="shared" si="236"/>
        <v>5.0000000000000001E-3</v>
      </c>
      <c r="T175" s="35">
        <f t="shared" si="236"/>
        <v>5.0000000000000001E-3</v>
      </c>
      <c r="U175" s="35">
        <f t="shared" si="236"/>
        <v>5.0000000000000001E-3</v>
      </c>
      <c r="V175" s="35">
        <f t="shared" si="236"/>
        <v>5.0000000000000001E-3</v>
      </c>
      <c r="W175" s="35">
        <f t="shared" si="236"/>
        <v>5.0000000000000001E-3</v>
      </c>
      <c r="X175" s="35">
        <f t="shared" si="236"/>
        <v>5.0000000000000001E-3</v>
      </c>
      <c r="Y175" s="35">
        <f t="shared" si="236"/>
        <v>5.0000000000000001E-3</v>
      </c>
      <c r="Z175" s="35">
        <f t="shared" si="236"/>
        <v>5.0000000000000001E-3</v>
      </c>
      <c r="AA175" s="35">
        <f t="shared" si="236"/>
        <v>5.0000000000000001E-3</v>
      </c>
      <c r="AB175" s="35">
        <f t="shared" si="236"/>
        <v>5.0000000000000001E-3</v>
      </c>
      <c r="AC175" s="35">
        <f t="shared" si="236"/>
        <v>5.0000000000000001E-3</v>
      </c>
      <c r="AD175" s="35">
        <f t="shared" si="236"/>
        <v>5.0000000000000001E-3</v>
      </c>
      <c r="AE175" s="35">
        <f t="shared" si="236"/>
        <v>5.0000000000000001E-3</v>
      </c>
      <c r="AF175" s="35">
        <f t="shared" si="236"/>
        <v>5.0000000000000001E-3</v>
      </c>
      <c r="AG175" s="35">
        <f t="shared" si="236"/>
        <v>5.0000000000000001E-3</v>
      </c>
      <c r="AH175" s="35">
        <f t="shared" si="236"/>
        <v>5.0000000000000001E-3</v>
      </c>
      <c r="AI175" s="35">
        <f t="shared" si="236"/>
        <v>5.0000000000000001E-3</v>
      </c>
      <c r="AJ175" s="35">
        <f t="shared" si="236"/>
        <v>5.0000000000000001E-3</v>
      </c>
      <c r="AK175" s="35">
        <f t="shared" si="236"/>
        <v>5.0000000000000001E-3</v>
      </c>
      <c r="AL175" s="35">
        <f t="shared" si="236"/>
        <v>5.0000000000000001E-3</v>
      </c>
      <c r="AM175" s="35">
        <f t="shared" si="236"/>
        <v>5.0000000000000001E-3</v>
      </c>
      <c r="AN175" s="35">
        <f t="shared" si="236"/>
        <v>5.0000000000000001E-3</v>
      </c>
      <c r="AO175" s="35">
        <f t="shared" si="236"/>
        <v>5.0000000000000001E-3</v>
      </c>
      <c r="AP175" s="35">
        <f t="shared" si="236"/>
        <v>5.0000000000000001E-3</v>
      </c>
      <c r="AQ175" s="35">
        <f t="shared" si="236"/>
        <v>5.0000000000000001E-3</v>
      </c>
      <c r="AR175" s="35">
        <f t="shared" si="236"/>
        <v>5.0000000000000001E-3</v>
      </c>
      <c r="AS175" s="35">
        <f t="shared" si="236"/>
        <v>5.0000000000000001E-3</v>
      </c>
      <c r="AT175" s="35">
        <f t="shared" si="236"/>
        <v>5.0000000000000001E-3</v>
      </c>
      <c r="AU175" s="35">
        <f t="shared" si="236"/>
        <v>5.0000000000000001E-3</v>
      </c>
      <c r="AV175" s="35">
        <f t="shared" si="236"/>
        <v>5.0000000000000001E-3</v>
      </c>
      <c r="AW175" s="35">
        <f t="shared" si="236"/>
        <v>5.0000000000000001E-3</v>
      </c>
      <c r="AX175" s="35">
        <f t="shared" si="236"/>
        <v>5.0000000000000001E-3</v>
      </c>
      <c r="AY175" s="35">
        <f t="shared" si="236"/>
        <v>5.0000000000000001E-3</v>
      </c>
      <c r="AZ175" s="35">
        <f t="shared" si="236"/>
        <v>5.0000000000000001E-3</v>
      </c>
      <c r="BA175" s="35">
        <f t="shared" si="236"/>
        <v>5.0000000000000001E-3</v>
      </c>
      <c r="BB175" s="35">
        <f t="shared" si="236"/>
        <v>5.0000000000000001E-3</v>
      </c>
      <c r="BC175" s="35">
        <f t="shared" si="236"/>
        <v>5.0000000000000001E-3</v>
      </c>
      <c r="BD175" s="35">
        <f t="shared" si="236"/>
        <v>5.0000000000000001E-3</v>
      </c>
      <c r="BE175" s="35">
        <f t="shared" si="236"/>
        <v>5.0000000000000001E-3</v>
      </c>
      <c r="BF175" s="35">
        <f t="shared" si="236"/>
        <v>5.0000000000000001E-3</v>
      </c>
      <c r="BG175" s="35">
        <f t="shared" si="236"/>
        <v>5.0000000000000001E-3</v>
      </c>
      <c r="BH175" s="35">
        <f t="shared" si="236"/>
        <v>5.0000000000000001E-3</v>
      </c>
      <c r="BI175" s="35">
        <f t="shared" si="236"/>
        <v>5.0000000000000001E-3</v>
      </c>
      <c r="BJ175" s="35">
        <f t="shared" si="236"/>
        <v>5.0000000000000001E-3</v>
      </c>
      <c r="BK175" s="35">
        <f t="shared" si="236"/>
        <v>5.0000000000000001E-3</v>
      </c>
      <c r="BL175" s="35">
        <f t="shared" si="236"/>
        <v>5.0000000000000001E-3</v>
      </c>
      <c r="BM175" s="35">
        <f t="shared" si="236"/>
        <v>5.0000000000000001E-3</v>
      </c>
      <c r="BN175" s="35">
        <f t="shared" si="236"/>
        <v>5.0000000000000001E-3</v>
      </c>
    </row>
    <row r="176" spans="2:66" x14ac:dyDescent="0.2">
      <c r="N176" s="23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</row>
    <row r="177" spans="2:66" x14ac:dyDescent="0.2">
      <c r="B177" s="6" t="s">
        <v>75</v>
      </c>
    </row>
    <row r="178" spans="2:66" x14ac:dyDescent="0.2">
      <c r="B178" t="s">
        <v>31</v>
      </c>
      <c r="C178" t="s">
        <v>32</v>
      </c>
      <c r="G178" s="40">
        <f t="shared" ref="G178:AL178" si="237">G170</f>
        <v>61.3</v>
      </c>
      <c r="H178" s="40">
        <f t="shared" si="237"/>
        <v>61.3</v>
      </c>
      <c r="I178" s="40">
        <f t="shared" si="237"/>
        <v>61.3</v>
      </c>
      <c r="J178" s="40">
        <f t="shared" si="237"/>
        <v>61.3</v>
      </c>
      <c r="K178" s="40">
        <f t="shared" si="237"/>
        <v>61.3</v>
      </c>
      <c r="L178" s="40">
        <f t="shared" si="237"/>
        <v>61.3</v>
      </c>
      <c r="M178" s="40">
        <f t="shared" si="237"/>
        <v>61.3</v>
      </c>
      <c r="N178" s="40">
        <f t="shared" si="237"/>
        <v>61.3</v>
      </c>
      <c r="O178" s="40">
        <f t="shared" si="237"/>
        <v>61.3</v>
      </c>
      <c r="P178" s="40">
        <f t="shared" si="237"/>
        <v>61.3</v>
      </c>
      <c r="Q178" s="40">
        <f t="shared" si="237"/>
        <v>61.3</v>
      </c>
      <c r="R178" s="40">
        <f t="shared" si="237"/>
        <v>61.3</v>
      </c>
      <c r="S178" s="40">
        <f t="shared" si="237"/>
        <v>61.3</v>
      </c>
      <c r="T178" s="40">
        <f t="shared" si="237"/>
        <v>61.3</v>
      </c>
      <c r="U178" s="40">
        <f t="shared" si="237"/>
        <v>61.3</v>
      </c>
      <c r="V178" s="40">
        <f t="shared" si="237"/>
        <v>61.3</v>
      </c>
      <c r="W178" s="40">
        <f t="shared" si="237"/>
        <v>61.3</v>
      </c>
      <c r="X178" s="40">
        <f t="shared" si="237"/>
        <v>61.3</v>
      </c>
      <c r="Y178" s="40">
        <f t="shared" si="237"/>
        <v>61.3</v>
      </c>
      <c r="Z178" s="40">
        <f t="shared" si="237"/>
        <v>61.3</v>
      </c>
      <c r="AA178" s="40">
        <f t="shared" si="237"/>
        <v>61.3</v>
      </c>
      <c r="AB178" s="40">
        <f t="shared" si="237"/>
        <v>61.3</v>
      </c>
      <c r="AC178" s="40">
        <f t="shared" si="237"/>
        <v>61.3</v>
      </c>
      <c r="AD178" s="40">
        <f t="shared" si="237"/>
        <v>61.3</v>
      </c>
      <c r="AE178" s="40">
        <f t="shared" si="237"/>
        <v>61.3</v>
      </c>
      <c r="AF178" s="40">
        <f t="shared" si="237"/>
        <v>61.3</v>
      </c>
      <c r="AG178" s="40">
        <f t="shared" si="237"/>
        <v>61.3</v>
      </c>
      <c r="AH178" s="40">
        <f t="shared" si="237"/>
        <v>61.3</v>
      </c>
      <c r="AI178" s="40">
        <f t="shared" si="237"/>
        <v>61.3</v>
      </c>
      <c r="AJ178" s="40">
        <f t="shared" si="237"/>
        <v>61.3</v>
      </c>
      <c r="AK178" s="40">
        <f t="shared" si="237"/>
        <v>61.3</v>
      </c>
      <c r="AL178" s="40">
        <f t="shared" si="237"/>
        <v>61.3</v>
      </c>
      <c r="AM178" s="40">
        <f t="shared" ref="AM178:BN178" si="238">AM170</f>
        <v>61.3</v>
      </c>
      <c r="AN178" s="40">
        <f t="shared" si="238"/>
        <v>61.3</v>
      </c>
      <c r="AO178" s="40">
        <f t="shared" si="238"/>
        <v>61.3</v>
      </c>
      <c r="AP178" s="40">
        <f t="shared" si="238"/>
        <v>61.3</v>
      </c>
      <c r="AQ178" s="40">
        <f t="shared" si="238"/>
        <v>61.3</v>
      </c>
      <c r="AR178" s="40">
        <f t="shared" si="238"/>
        <v>61.3</v>
      </c>
      <c r="AS178" s="40">
        <f t="shared" si="238"/>
        <v>61.3</v>
      </c>
      <c r="AT178" s="40">
        <f t="shared" si="238"/>
        <v>61.3</v>
      </c>
      <c r="AU178" s="40">
        <f t="shared" si="238"/>
        <v>61.3</v>
      </c>
      <c r="AV178" s="40">
        <f t="shared" si="238"/>
        <v>61.3</v>
      </c>
      <c r="AW178" s="40">
        <f t="shared" si="238"/>
        <v>61.3</v>
      </c>
      <c r="AX178" s="40">
        <f t="shared" si="238"/>
        <v>61.3</v>
      </c>
      <c r="AY178" s="40">
        <f t="shared" si="238"/>
        <v>61.3</v>
      </c>
      <c r="AZ178" s="40">
        <f t="shared" si="238"/>
        <v>61.3</v>
      </c>
      <c r="BA178" s="40">
        <f t="shared" si="238"/>
        <v>61.3</v>
      </c>
      <c r="BB178" s="40">
        <f t="shared" si="238"/>
        <v>62.525999999999996</v>
      </c>
      <c r="BC178" s="40">
        <f t="shared" si="238"/>
        <v>62.525999999999996</v>
      </c>
      <c r="BD178" s="40">
        <f t="shared" si="238"/>
        <v>62.525999999999996</v>
      </c>
      <c r="BE178" s="40">
        <f t="shared" si="238"/>
        <v>62.525999999999996</v>
      </c>
      <c r="BF178" s="40">
        <f t="shared" si="238"/>
        <v>62.525999999999996</v>
      </c>
      <c r="BG178" s="40">
        <f t="shared" si="238"/>
        <v>62.525999999999996</v>
      </c>
      <c r="BH178" s="40">
        <f t="shared" si="238"/>
        <v>62.525999999999996</v>
      </c>
      <c r="BI178" s="40">
        <f t="shared" si="238"/>
        <v>62.525999999999996</v>
      </c>
      <c r="BJ178" s="40">
        <f t="shared" si="238"/>
        <v>62.525999999999996</v>
      </c>
      <c r="BK178" s="40">
        <f t="shared" si="238"/>
        <v>62.525999999999996</v>
      </c>
      <c r="BL178" s="40">
        <f t="shared" si="238"/>
        <v>62.525999999999996</v>
      </c>
      <c r="BM178" s="40">
        <f t="shared" si="238"/>
        <v>62.525999999999996</v>
      </c>
      <c r="BN178" s="40">
        <f t="shared" si="238"/>
        <v>62.525999999999996</v>
      </c>
    </row>
    <row r="179" spans="2:66" x14ac:dyDescent="0.2">
      <c r="B179" t="s">
        <v>31</v>
      </c>
      <c r="C179" t="s">
        <v>10</v>
      </c>
      <c r="G179" s="40">
        <f t="shared" ref="G179:AL179" si="239">G171</f>
        <v>0.81733333333333325</v>
      </c>
      <c r="H179" s="40">
        <f t="shared" si="239"/>
        <v>0.81733333333333325</v>
      </c>
      <c r="I179" s="40">
        <f t="shared" si="239"/>
        <v>0.81733333333333325</v>
      </c>
      <c r="J179" s="40">
        <f t="shared" si="239"/>
        <v>0.81733333333333325</v>
      </c>
      <c r="K179" s="40">
        <f t="shared" si="239"/>
        <v>0.81733333333333325</v>
      </c>
      <c r="L179" s="40">
        <f t="shared" si="239"/>
        <v>0.81733333333333325</v>
      </c>
      <c r="M179" s="40">
        <f t="shared" si="239"/>
        <v>0.81733333333333325</v>
      </c>
      <c r="N179" s="40">
        <f t="shared" si="239"/>
        <v>0.81733333333333325</v>
      </c>
      <c r="O179" s="40">
        <f t="shared" si="239"/>
        <v>0.81733333333333325</v>
      </c>
      <c r="P179" s="40">
        <f t="shared" si="239"/>
        <v>0.81733333333333325</v>
      </c>
      <c r="Q179" s="40">
        <f t="shared" si="239"/>
        <v>0.81733333333333325</v>
      </c>
      <c r="R179" s="40">
        <f t="shared" si="239"/>
        <v>0.81733333333333325</v>
      </c>
      <c r="S179" s="40">
        <f t="shared" si="239"/>
        <v>0.81733333333333325</v>
      </c>
      <c r="T179" s="40">
        <f t="shared" si="239"/>
        <v>0.81733333333333325</v>
      </c>
      <c r="U179" s="40">
        <f t="shared" si="239"/>
        <v>0.81733333333333325</v>
      </c>
      <c r="V179" s="40">
        <f t="shared" si="239"/>
        <v>0.81733333333333325</v>
      </c>
      <c r="W179" s="40">
        <f t="shared" si="239"/>
        <v>0.81733333333333325</v>
      </c>
      <c r="X179" s="40">
        <f t="shared" si="239"/>
        <v>0.81733333333333325</v>
      </c>
      <c r="Y179" s="40">
        <f t="shared" si="239"/>
        <v>0.81733333333333325</v>
      </c>
      <c r="Z179" s="40">
        <f t="shared" si="239"/>
        <v>0.81733333333333325</v>
      </c>
      <c r="AA179" s="40">
        <f t="shared" si="239"/>
        <v>0.81733333333333325</v>
      </c>
      <c r="AB179" s="40">
        <f t="shared" si="239"/>
        <v>0.81733333333333325</v>
      </c>
      <c r="AC179" s="40">
        <f t="shared" si="239"/>
        <v>0.81733333333333325</v>
      </c>
      <c r="AD179" s="40">
        <f t="shared" si="239"/>
        <v>0.81733333333333325</v>
      </c>
      <c r="AE179" s="40">
        <f t="shared" si="239"/>
        <v>0.81733333333333325</v>
      </c>
      <c r="AF179" s="40">
        <f t="shared" si="239"/>
        <v>0.81733333333333325</v>
      </c>
      <c r="AG179" s="40">
        <f t="shared" si="239"/>
        <v>0.81733333333333325</v>
      </c>
      <c r="AH179" s="40">
        <f t="shared" si="239"/>
        <v>0.81733333333333325</v>
      </c>
      <c r="AI179" s="40">
        <f t="shared" si="239"/>
        <v>0.81733333333333325</v>
      </c>
      <c r="AJ179" s="40">
        <f t="shared" si="239"/>
        <v>0.81733333333333325</v>
      </c>
      <c r="AK179" s="40">
        <f t="shared" si="239"/>
        <v>0.81733333333333325</v>
      </c>
      <c r="AL179" s="40">
        <f t="shared" si="239"/>
        <v>0.81733333333333325</v>
      </c>
      <c r="AM179" s="40">
        <f t="shared" ref="AM179:BN179" si="240">AM171</f>
        <v>0.81733333333333325</v>
      </c>
      <c r="AN179" s="40">
        <f t="shared" si="240"/>
        <v>0.81733333333333325</v>
      </c>
      <c r="AO179" s="40">
        <f t="shared" si="240"/>
        <v>0.81733333333333325</v>
      </c>
      <c r="AP179" s="40">
        <f t="shared" si="240"/>
        <v>0.81733333333333325</v>
      </c>
      <c r="AQ179" s="40">
        <f t="shared" si="240"/>
        <v>0.81733333333333325</v>
      </c>
      <c r="AR179" s="40">
        <f t="shared" si="240"/>
        <v>0.81733333333333325</v>
      </c>
      <c r="AS179" s="40">
        <f t="shared" si="240"/>
        <v>0.81733333333333325</v>
      </c>
      <c r="AT179" s="40">
        <f t="shared" si="240"/>
        <v>0.81733333333333325</v>
      </c>
      <c r="AU179" s="40">
        <f t="shared" si="240"/>
        <v>0.81733333333333325</v>
      </c>
      <c r="AV179" s="40">
        <f t="shared" si="240"/>
        <v>0.81733333333333325</v>
      </c>
      <c r="AW179" s="40">
        <f t="shared" si="240"/>
        <v>0.81733333333333325</v>
      </c>
      <c r="AX179" s="40">
        <f t="shared" si="240"/>
        <v>0.81733333333333325</v>
      </c>
      <c r="AY179" s="40">
        <f t="shared" si="240"/>
        <v>0.81733333333333325</v>
      </c>
      <c r="AZ179" s="40">
        <f t="shared" si="240"/>
        <v>0.81733333333333325</v>
      </c>
      <c r="BA179" s="40">
        <f t="shared" si="240"/>
        <v>0.81733333333333325</v>
      </c>
      <c r="BB179" s="40">
        <f t="shared" si="240"/>
        <v>0.83367999999999998</v>
      </c>
      <c r="BC179" s="40">
        <f t="shared" si="240"/>
        <v>0.83367999999999998</v>
      </c>
      <c r="BD179" s="40">
        <f t="shared" si="240"/>
        <v>0.83367999999999998</v>
      </c>
      <c r="BE179" s="40">
        <f t="shared" si="240"/>
        <v>0.83367999999999998</v>
      </c>
      <c r="BF179" s="40">
        <f t="shared" si="240"/>
        <v>0.83367999999999998</v>
      </c>
      <c r="BG179" s="40">
        <f t="shared" si="240"/>
        <v>0.83367999999999998</v>
      </c>
      <c r="BH179" s="40">
        <f t="shared" si="240"/>
        <v>0.83367999999999998</v>
      </c>
      <c r="BI179" s="40">
        <f t="shared" si="240"/>
        <v>0.83367999999999998</v>
      </c>
      <c r="BJ179" s="40">
        <f t="shared" si="240"/>
        <v>0.83367999999999998</v>
      </c>
      <c r="BK179" s="40">
        <f t="shared" si="240"/>
        <v>0.83367999999999998</v>
      </c>
      <c r="BL179" s="40">
        <f t="shared" si="240"/>
        <v>0.83367999999999998</v>
      </c>
      <c r="BM179" s="40">
        <f t="shared" si="240"/>
        <v>0.83367999999999998</v>
      </c>
      <c r="BN179" s="40">
        <f t="shared" si="240"/>
        <v>0.83367999999999998</v>
      </c>
    </row>
    <row r="180" spans="2:66" x14ac:dyDescent="0.2">
      <c r="B180" t="s">
        <v>23</v>
      </c>
      <c r="C180" t="s">
        <v>28</v>
      </c>
      <c r="G180" s="39">
        <f>ROUNDUP(G20/G79,0)</f>
        <v>6</v>
      </c>
      <c r="H180" s="39">
        <f t="shared" ref="H180:I180" si="241">ROUNDUP(H20/H79,0)</f>
        <v>6</v>
      </c>
      <c r="I180" s="39">
        <f t="shared" si="241"/>
        <v>6</v>
      </c>
      <c r="J180" s="39">
        <f>J20/J79</f>
        <v>5.4533333333333331</v>
      </c>
      <c r="K180" s="39">
        <f t="shared" ref="K180:BN180" si="242">K20/K79</f>
        <v>8.36</v>
      </c>
      <c r="L180" s="39">
        <f t="shared" si="242"/>
        <v>11.266666666666667</v>
      </c>
      <c r="M180" s="39">
        <f>M20/M79</f>
        <v>14.173333333333334</v>
      </c>
      <c r="N180" s="39">
        <f t="shared" si="242"/>
        <v>39.25333333333333</v>
      </c>
      <c r="O180" s="39">
        <f t="shared" si="242"/>
        <v>17.093333333333334</v>
      </c>
      <c r="P180" s="39">
        <f t="shared" si="242"/>
        <v>20</v>
      </c>
      <c r="Q180" s="39">
        <f t="shared" si="242"/>
        <v>20</v>
      </c>
      <c r="R180" s="39">
        <f>R20/R79</f>
        <v>20</v>
      </c>
      <c r="S180" s="39">
        <f t="shared" si="242"/>
        <v>20</v>
      </c>
      <c r="T180" s="39">
        <f t="shared" si="242"/>
        <v>20</v>
      </c>
      <c r="U180" s="39">
        <f t="shared" si="242"/>
        <v>20</v>
      </c>
      <c r="V180" s="39">
        <f t="shared" si="242"/>
        <v>20</v>
      </c>
      <c r="W180" s="39">
        <f t="shared" si="242"/>
        <v>20</v>
      </c>
      <c r="X180" s="39">
        <f t="shared" si="242"/>
        <v>20</v>
      </c>
      <c r="Y180" s="39">
        <f t="shared" si="242"/>
        <v>20</v>
      </c>
      <c r="Z180" s="39">
        <f t="shared" si="242"/>
        <v>20</v>
      </c>
      <c r="AA180" s="39">
        <f t="shared" si="242"/>
        <v>237.09333333333333</v>
      </c>
      <c r="AB180" s="39">
        <f t="shared" si="242"/>
        <v>20</v>
      </c>
      <c r="AC180" s="39">
        <f t="shared" si="242"/>
        <v>20</v>
      </c>
      <c r="AD180" s="39">
        <f t="shared" si="242"/>
        <v>21.053333333333335</v>
      </c>
      <c r="AE180" s="39">
        <f t="shared" si="242"/>
        <v>22.106666666666666</v>
      </c>
      <c r="AF180" s="39">
        <f t="shared" si="242"/>
        <v>23.16</v>
      </c>
      <c r="AG180" s="39">
        <f t="shared" si="242"/>
        <v>24.213333333333335</v>
      </c>
      <c r="AH180" s="39">
        <f t="shared" si="242"/>
        <v>25.266666666666666</v>
      </c>
      <c r="AI180" s="39">
        <f t="shared" si="242"/>
        <v>26.32</v>
      </c>
      <c r="AJ180" s="39">
        <f t="shared" si="242"/>
        <v>27.373333333333335</v>
      </c>
      <c r="AK180" s="39">
        <f t="shared" si="242"/>
        <v>28.426666666666666</v>
      </c>
      <c r="AL180" s="39">
        <f t="shared" si="242"/>
        <v>29.466666666666665</v>
      </c>
      <c r="AM180" s="39">
        <f t="shared" si="242"/>
        <v>30.52</v>
      </c>
      <c r="AN180" s="39">
        <f t="shared" si="242"/>
        <v>297.90666666666669</v>
      </c>
      <c r="AO180" s="39">
        <f t="shared" si="242"/>
        <v>31.573333333333334</v>
      </c>
      <c r="AP180" s="39">
        <f t="shared" si="242"/>
        <v>32.626666666666665</v>
      </c>
      <c r="AQ180" s="39">
        <f t="shared" si="242"/>
        <v>33.68</v>
      </c>
      <c r="AR180" s="39">
        <f t="shared" si="242"/>
        <v>34.72</v>
      </c>
      <c r="AS180" s="39">
        <f t="shared" si="242"/>
        <v>35.773333333333333</v>
      </c>
      <c r="AT180" s="39">
        <f t="shared" si="242"/>
        <v>36.826666666666668</v>
      </c>
      <c r="AU180" s="39">
        <f t="shared" si="242"/>
        <v>37.880000000000003</v>
      </c>
      <c r="AV180" s="39">
        <f t="shared" si="242"/>
        <v>39.999999441861334</v>
      </c>
      <c r="AW180" s="39">
        <f t="shared" si="242"/>
        <v>39.999999441861334</v>
      </c>
      <c r="AX180" s="39">
        <f t="shared" si="242"/>
        <v>39.999999441861334</v>
      </c>
      <c r="AY180" s="39">
        <f t="shared" si="242"/>
        <v>39.999999441861334</v>
      </c>
      <c r="AZ180" s="39">
        <f t="shared" si="242"/>
        <v>39.999999441861334</v>
      </c>
      <c r="BA180" s="39">
        <f t="shared" si="242"/>
        <v>443.07999720930667</v>
      </c>
      <c r="BB180" s="39">
        <f t="shared" si="242"/>
        <v>36.923333100775558</v>
      </c>
      <c r="BC180" s="39">
        <f t="shared" si="242"/>
        <v>36.923333100775558</v>
      </c>
      <c r="BD180" s="39">
        <f t="shared" si="242"/>
        <v>36.923333100775558</v>
      </c>
      <c r="BE180" s="39">
        <f t="shared" si="242"/>
        <v>36.923333100775558</v>
      </c>
      <c r="BF180" s="39">
        <f t="shared" si="242"/>
        <v>36.923333100775558</v>
      </c>
      <c r="BG180" s="39">
        <f t="shared" si="242"/>
        <v>36.923333100775558</v>
      </c>
      <c r="BH180" s="39">
        <f t="shared" si="242"/>
        <v>36.923333100775558</v>
      </c>
      <c r="BI180" s="39">
        <f t="shared" si="242"/>
        <v>36.923333100775558</v>
      </c>
      <c r="BJ180" s="39">
        <f t="shared" si="242"/>
        <v>36.923333100775558</v>
      </c>
      <c r="BK180" s="39">
        <f t="shared" si="242"/>
        <v>36.923333100775558</v>
      </c>
      <c r="BL180" s="39">
        <f t="shared" si="242"/>
        <v>36.923333100775558</v>
      </c>
      <c r="BM180" s="39">
        <f t="shared" si="242"/>
        <v>36.923333100775558</v>
      </c>
      <c r="BN180" s="39">
        <f t="shared" si="242"/>
        <v>443.07999720930667</v>
      </c>
    </row>
    <row r="181" spans="2:66" hidden="1" x14ac:dyDescent="0.2">
      <c r="B181" t="s">
        <v>43</v>
      </c>
      <c r="C181" t="s">
        <v>35</v>
      </c>
      <c r="G181" s="39">
        <f>G173</f>
        <v>30</v>
      </c>
      <c r="H181" s="39">
        <f t="shared" ref="H181:BN181" si="243">H173</f>
        <v>31</v>
      </c>
      <c r="I181" s="39">
        <f t="shared" si="243"/>
        <v>31</v>
      </c>
      <c r="J181" s="39">
        <f t="shared" si="243"/>
        <v>30</v>
      </c>
      <c r="K181" s="39">
        <f t="shared" si="243"/>
        <v>31</v>
      </c>
      <c r="L181" s="39">
        <f t="shared" si="243"/>
        <v>30</v>
      </c>
      <c r="M181" s="39">
        <f t="shared" si="243"/>
        <v>31</v>
      </c>
      <c r="N181" s="39">
        <f t="shared" si="243"/>
        <v>30.571428571428573</v>
      </c>
      <c r="O181" s="39">
        <f t="shared" si="243"/>
        <v>31</v>
      </c>
      <c r="P181" s="39">
        <f t="shared" si="243"/>
        <v>28</v>
      </c>
      <c r="Q181" s="39">
        <f t="shared" si="243"/>
        <v>31</v>
      </c>
      <c r="R181" s="39">
        <f t="shared" si="243"/>
        <v>30</v>
      </c>
      <c r="S181" s="39">
        <f t="shared" si="243"/>
        <v>31</v>
      </c>
      <c r="T181" s="39">
        <f t="shared" si="243"/>
        <v>30</v>
      </c>
      <c r="U181" s="39">
        <f t="shared" si="243"/>
        <v>31</v>
      </c>
      <c r="V181" s="39">
        <f t="shared" si="243"/>
        <v>31</v>
      </c>
      <c r="W181" s="39">
        <f t="shared" si="243"/>
        <v>30</v>
      </c>
      <c r="X181" s="39">
        <f t="shared" si="243"/>
        <v>31</v>
      </c>
      <c r="Y181" s="39">
        <f t="shared" si="243"/>
        <v>30</v>
      </c>
      <c r="Z181" s="39">
        <f t="shared" si="243"/>
        <v>31</v>
      </c>
      <c r="AA181" s="39">
        <f t="shared" si="243"/>
        <v>30.416666666666668</v>
      </c>
      <c r="AB181" s="39">
        <f t="shared" si="243"/>
        <v>31</v>
      </c>
      <c r="AC181" s="39">
        <f t="shared" si="243"/>
        <v>28</v>
      </c>
      <c r="AD181" s="39">
        <f t="shared" si="243"/>
        <v>31</v>
      </c>
      <c r="AE181" s="39">
        <f t="shared" si="243"/>
        <v>30</v>
      </c>
      <c r="AF181" s="39">
        <f t="shared" si="243"/>
        <v>31</v>
      </c>
      <c r="AG181" s="39">
        <f t="shared" si="243"/>
        <v>30</v>
      </c>
      <c r="AH181" s="39">
        <f t="shared" si="243"/>
        <v>31</v>
      </c>
      <c r="AI181" s="39">
        <f t="shared" si="243"/>
        <v>31</v>
      </c>
      <c r="AJ181" s="39">
        <f t="shared" si="243"/>
        <v>30</v>
      </c>
      <c r="AK181" s="39">
        <f t="shared" si="243"/>
        <v>31</v>
      </c>
      <c r="AL181" s="39">
        <f t="shared" si="243"/>
        <v>30</v>
      </c>
      <c r="AM181" s="39">
        <f t="shared" si="243"/>
        <v>31</v>
      </c>
      <c r="AN181" s="39">
        <f t="shared" si="243"/>
        <v>30.416666666666668</v>
      </c>
      <c r="AO181" s="39">
        <f t="shared" si="243"/>
        <v>31</v>
      </c>
      <c r="AP181" s="39">
        <f t="shared" si="243"/>
        <v>29</v>
      </c>
      <c r="AQ181" s="39">
        <f t="shared" si="243"/>
        <v>31</v>
      </c>
      <c r="AR181" s="39">
        <f t="shared" si="243"/>
        <v>30</v>
      </c>
      <c r="AS181" s="39">
        <f t="shared" si="243"/>
        <v>31</v>
      </c>
      <c r="AT181" s="39">
        <f t="shared" si="243"/>
        <v>30</v>
      </c>
      <c r="AU181" s="39">
        <f t="shared" si="243"/>
        <v>31</v>
      </c>
      <c r="AV181" s="39">
        <f t="shared" si="243"/>
        <v>31</v>
      </c>
      <c r="AW181" s="39">
        <f t="shared" si="243"/>
        <v>30</v>
      </c>
      <c r="AX181" s="39">
        <f t="shared" si="243"/>
        <v>31</v>
      </c>
      <c r="AY181" s="39">
        <f t="shared" si="243"/>
        <v>30</v>
      </c>
      <c r="AZ181" s="39">
        <f t="shared" si="243"/>
        <v>31</v>
      </c>
      <c r="BA181" s="39">
        <f t="shared" si="243"/>
        <v>30.5</v>
      </c>
      <c r="BB181" s="39">
        <f t="shared" si="243"/>
        <v>31</v>
      </c>
      <c r="BC181" s="39">
        <f t="shared" si="243"/>
        <v>28</v>
      </c>
      <c r="BD181" s="39">
        <f t="shared" si="243"/>
        <v>31</v>
      </c>
      <c r="BE181" s="39">
        <f t="shared" si="243"/>
        <v>30</v>
      </c>
      <c r="BF181" s="39">
        <f t="shared" si="243"/>
        <v>31</v>
      </c>
      <c r="BG181" s="39">
        <f t="shared" si="243"/>
        <v>30</v>
      </c>
      <c r="BH181" s="39">
        <f t="shared" si="243"/>
        <v>31</v>
      </c>
      <c r="BI181" s="39">
        <f t="shared" si="243"/>
        <v>31</v>
      </c>
      <c r="BJ181" s="39">
        <f t="shared" si="243"/>
        <v>30</v>
      </c>
      <c r="BK181" s="39">
        <f t="shared" si="243"/>
        <v>31</v>
      </c>
      <c r="BL181" s="39">
        <f t="shared" si="243"/>
        <v>30</v>
      </c>
      <c r="BM181" s="39">
        <f t="shared" si="243"/>
        <v>31</v>
      </c>
      <c r="BN181" s="39">
        <f t="shared" si="243"/>
        <v>30.416666666666668</v>
      </c>
    </row>
    <row r="182" spans="2:66" hidden="1" x14ac:dyDescent="0.2">
      <c r="B182" t="s">
        <v>42</v>
      </c>
      <c r="C182" t="s">
        <v>49</v>
      </c>
      <c r="G182">
        <f>G117</f>
        <v>0</v>
      </c>
      <c r="H182">
        <f t="shared" ref="H182:BN182" si="244">H117</f>
        <v>0</v>
      </c>
      <c r="I182">
        <f t="shared" si="244"/>
        <v>0</v>
      </c>
      <c r="J182">
        <f t="shared" si="244"/>
        <v>0</v>
      </c>
      <c r="K182">
        <f t="shared" si="244"/>
        <v>0</v>
      </c>
      <c r="L182">
        <f t="shared" si="244"/>
        <v>0</v>
      </c>
      <c r="M182">
        <f t="shared" si="244"/>
        <v>0</v>
      </c>
      <c r="N182">
        <f t="shared" si="244"/>
        <v>0</v>
      </c>
      <c r="O182">
        <f t="shared" si="244"/>
        <v>0</v>
      </c>
      <c r="P182">
        <f t="shared" si="244"/>
        <v>0</v>
      </c>
      <c r="Q182">
        <f t="shared" si="244"/>
        <v>0</v>
      </c>
      <c r="R182">
        <f t="shared" si="244"/>
        <v>0</v>
      </c>
      <c r="S182">
        <f t="shared" si="244"/>
        <v>0</v>
      </c>
      <c r="T182">
        <f t="shared" si="244"/>
        <v>0</v>
      </c>
      <c r="U182">
        <f t="shared" si="244"/>
        <v>0</v>
      </c>
      <c r="V182">
        <f t="shared" si="244"/>
        <v>0</v>
      </c>
      <c r="W182">
        <f t="shared" si="244"/>
        <v>0</v>
      </c>
      <c r="X182">
        <f t="shared" si="244"/>
        <v>0</v>
      </c>
      <c r="Y182">
        <f t="shared" si="244"/>
        <v>0</v>
      </c>
      <c r="Z182">
        <f t="shared" si="244"/>
        <v>0</v>
      </c>
      <c r="AA182">
        <f t="shared" si="244"/>
        <v>0</v>
      </c>
      <c r="AB182">
        <f t="shared" si="244"/>
        <v>0</v>
      </c>
      <c r="AC182">
        <f t="shared" si="244"/>
        <v>0</v>
      </c>
      <c r="AD182">
        <f t="shared" si="244"/>
        <v>0</v>
      </c>
      <c r="AE182">
        <f t="shared" si="244"/>
        <v>0</v>
      </c>
      <c r="AF182">
        <f t="shared" si="244"/>
        <v>0</v>
      </c>
      <c r="AG182">
        <f t="shared" si="244"/>
        <v>0</v>
      </c>
      <c r="AH182">
        <f t="shared" si="244"/>
        <v>0</v>
      </c>
      <c r="AI182">
        <f t="shared" si="244"/>
        <v>0</v>
      </c>
      <c r="AJ182">
        <f t="shared" si="244"/>
        <v>0</v>
      </c>
      <c r="AK182">
        <f t="shared" si="244"/>
        <v>0</v>
      </c>
      <c r="AL182">
        <f t="shared" si="244"/>
        <v>0</v>
      </c>
      <c r="AM182">
        <f t="shared" si="244"/>
        <v>0</v>
      </c>
      <c r="AN182">
        <f t="shared" si="244"/>
        <v>0</v>
      </c>
      <c r="AO182">
        <f t="shared" si="244"/>
        <v>0</v>
      </c>
      <c r="AP182">
        <f t="shared" si="244"/>
        <v>0</v>
      </c>
      <c r="AQ182">
        <f t="shared" si="244"/>
        <v>0</v>
      </c>
      <c r="AR182">
        <f t="shared" si="244"/>
        <v>0</v>
      </c>
      <c r="AS182">
        <f t="shared" si="244"/>
        <v>0</v>
      </c>
      <c r="AT182">
        <f t="shared" si="244"/>
        <v>0</v>
      </c>
      <c r="AU182">
        <f t="shared" si="244"/>
        <v>0</v>
      </c>
      <c r="AV182">
        <f t="shared" si="244"/>
        <v>0</v>
      </c>
      <c r="AW182">
        <f t="shared" si="244"/>
        <v>0</v>
      </c>
      <c r="AX182">
        <f t="shared" si="244"/>
        <v>0</v>
      </c>
      <c r="AY182">
        <f t="shared" si="244"/>
        <v>0</v>
      </c>
      <c r="AZ182">
        <f t="shared" si="244"/>
        <v>0</v>
      </c>
      <c r="BA182">
        <f t="shared" si="244"/>
        <v>0</v>
      </c>
      <c r="BB182">
        <f t="shared" si="244"/>
        <v>0</v>
      </c>
      <c r="BC182">
        <f t="shared" si="244"/>
        <v>0</v>
      </c>
      <c r="BD182">
        <f t="shared" si="244"/>
        <v>0</v>
      </c>
      <c r="BE182">
        <f t="shared" si="244"/>
        <v>0</v>
      </c>
      <c r="BF182">
        <f t="shared" si="244"/>
        <v>0</v>
      </c>
      <c r="BG182">
        <f t="shared" si="244"/>
        <v>0</v>
      </c>
      <c r="BH182">
        <f t="shared" si="244"/>
        <v>0</v>
      </c>
      <c r="BI182">
        <f t="shared" si="244"/>
        <v>0</v>
      </c>
      <c r="BJ182">
        <f t="shared" si="244"/>
        <v>0</v>
      </c>
      <c r="BK182">
        <f t="shared" si="244"/>
        <v>0</v>
      </c>
      <c r="BL182">
        <f t="shared" si="244"/>
        <v>0</v>
      </c>
      <c r="BM182">
        <f t="shared" si="244"/>
        <v>0</v>
      </c>
      <c r="BN182">
        <f t="shared" si="244"/>
        <v>0</v>
      </c>
    </row>
    <row r="183" spans="2:66" x14ac:dyDescent="0.2">
      <c r="B183" t="s">
        <v>147</v>
      </c>
      <c r="C183" t="s">
        <v>13</v>
      </c>
      <c r="G183" s="35">
        <f t="shared" ref="G183:L183" si="245">H183</f>
        <v>5.0000000000000001E-3</v>
      </c>
      <c r="H183" s="35">
        <f t="shared" si="245"/>
        <v>5.0000000000000001E-3</v>
      </c>
      <c r="I183" s="35">
        <f t="shared" si="245"/>
        <v>5.0000000000000001E-3</v>
      </c>
      <c r="J183" s="35">
        <f t="shared" si="245"/>
        <v>5.0000000000000001E-3</v>
      </c>
      <c r="K183" s="35">
        <f t="shared" si="245"/>
        <v>5.0000000000000001E-3</v>
      </c>
      <c r="L183" s="35">
        <f t="shared" si="245"/>
        <v>5.0000000000000001E-3</v>
      </c>
      <c r="M183" s="35">
        <f>N183</f>
        <v>5.0000000000000001E-3</v>
      </c>
      <c r="N183" s="134">
        <v>5.0000000000000001E-3</v>
      </c>
      <c r="O183" s="35">
        <f>N183</f>
        <v>5.0000000000000001E-3</v>
      </c>
      <c r="P183" s="35">
        <f t="shared" ref="P183:BN183" si="246">O183</f>
        <v>5.0000000000000001E-3</v>
      </c>
      <c r="Q183" s="35">
        <f t="shared" si="246"/>
        <v>5.0000000000000001E-3</v>
      </c>
      <c r="R183" s="35">
        <f t="shared" si="246"/>
        <v>5.0000000000000001E-3</v>
      </c>
      <c r="S183" s="35">
        <f t="shared" si="246"/>
        <v>5.0000000000000001E-3</v>
      </c>
      <c r="T183" s="35">
        <f t="shared" si="246"/>
        <v>5.0000000000000001E-3</v>
      </c>
      <c r="U183" s="35">
        <f t="shared" si="246"/>
        <v>5.0000000000000001E-3</v>
      </c>
      <c r="V183" s="35">
        <f t="shared" si="246"/>
        <v>5.0000000000000001E-3</v>
      </c>
      <c r="W183" s="35">
        <f t="shared" si="246"/>
        <v>5.0000000000000001E-3</v>
      </c>
      <c r="X183" s="35">
        <f t="shared" si="246"/>
        <v>5.0000000000000001E-3</v>
      </c>
      <c r="Y183" s="35">
        <f t="shared" si="246"/>
        <v>5.0000000000000001E-3</v>
      </c>
      <c r="Z183" s="35">
        <f t="shared" si="246"/>
        <v>5.0000000000000001E-3</v>
      </c>
      <c r="AA183" s="35">
        <f t="shared" si="246"/>
        <v>5.0000000000000001E-3</v>
      </c>
      <c r="AB183" s="35">
        <f t="shared" si="246"/>
        <v>5.0000000000000001E-3</v>
      </c>
      <c r="AC183" s="35">
        <f t="shared" si="246"/>
        <v>5.0000000000000001E-3</v>
      </c>
      <c r="AD183" s="35">
        <f t="shared" si="246"/>
        <v>5.0000000000000001E-3</v>
      </c>
      <c r="AE183" s="35">
        <f t="shared" si="246"/>
        <v>5.0000000000000001E-3</v>
      </c>
      <c r="AF183" s="35">
        <f t="shared" si="246"/>
        <v>5.0000000000000001E-3</v>
      </c>
      <c r="AG183" s="35">
        <f t="shared" si="246"/>
        <v>5.0000000000000001E-3</v>
      </c>
      <c r="AH183" s="35">
        <f t="shared" si="246"/>
        <v>5.0000000000000001E-3</v>
      </c>
      <c r="AI183" s="35">
        <f t="shared" si="246"/>
        <v>5.0000000000000001E-3</v>
      </c>
      <c r="AJ183" s="35">
        <f t="shared" si="246"/>
        <v>5.0000000000000001E-3</v>
      </c>
      <c r="AK183" s="35">
        <f t="shared" si="246"/>
        <v>5.0000000000000001E-3</v>
      </c>
      <c r="AL183" s="35">
        <f t="shared" si="246"/>
        <v>5.0000000000000001E-3</v>
      </c>
      <c r="AM183" s="35">
        <f t="shared" si="246"/>
        <v>5.0000000000000001E-3</v>
      </c>
      <c r="AN183" s="35">
        <f t="shared" si="246"/>
        <v>5.0000000000000001E-3</v>
      </c>
      <c r="AO183" s="35">
        <f t="shared" si="246"/>
        <v>5.0000000000000001E-3</v>
      </c>
      <c r="AP183" s="35">
        <f t="shared" si="246"/>
        <v>5.0000000000000001E-3</v>
      </c>
      <c r="AQ183" s="35">
        <f t="shared" si="246"/>
        <v>5.0000000000000001E-3</v>
      </c>
      <c r="AR183" s="35">
        <f t="shared" si="246"/>
        <v>5.0000000000000001E-3</v>
      </c>
      <c r="AS183" s="35">
        <f t="shared" si="246"/>
        <v>5.0000000000000001E-3</v>
      </c>
      <c r="AT183" s="35">
        <f t="shared" si="246"/>
        <v>5.0000000000000001E-3</v>
      </c>
      <c r="AU183" s="35">
        <f t="shared" si="246"/>
        <v>5.0000000000000001E-3</v>
      </c>
      <c r="AV183" s="35">
        <f t="shared" si="246"/>
        <v>5.0000000000000001E-3</v>
      </c>
      <c r="AW183" s="35">
        <f t="shared" si="246"/>
        <v>5.0000000000000001E-3</v>
      </c>
      <c r="AX183" s="35">
        <f t="shared" si="246"/>
        <v>5.0000000000000001E-3</v>
      </c>
      <c r="AY183" s="35">
        <f t="shared" si="246"/>
        <v>5.0000000000000001E-3</v>
      </c>
      <c r="AZ183" s="35">
        <f t="shared" si="246"/>
        <v>5.0000000000000001E-3</v>
      </c>
      <c r="BA183" s="35">
        <f t="shared" si="246"/>
        <v>5.0000000000000001E-3</v>
      </c>
      <c r="BB183" s="35">
        <f t="shared" si="246"/>
        <v>5.0000000000000001E-3</v>
      </c>
      <c r="BC183" s="35">
        <f t="shared" si="246"/>
        <v>5.0000000000000001E-3</v>
      </c>
      <c r="BD183" s="35">
        <f t="shared" si="246"/>
        <v>5.0000000000000001E-3</v>
      </c>
      <c r="BE183" s="35">
        <f t="shared" si="246"/>
        <v>5.0000000000000001E-3</v>
      </c>
      <c r="BF183" s="35">
        <f t="shared" si="246"/>
        <v>5.0000000000000001E-3</v>
      </c>
      <c r="BG183" s="35">
        <f t="shared" si="246"/>
        <v>5.0000000000000001E-3</v>
      </c>
      <c r="BH183" s="35">
        <f t="shared" si="246"/>
        <v>5.0000000000000001E-3</v>
      </c>
      <c r="BI183" s="35">
        <f t="shared" si="246"/>
        <v>5.0000000000000001E-3</v>
      </c>
      <c r="BJ183" s="35">
        <f t="shared" si="246"/>
        <v>5.0000000000000001E-3</v>
      </c>
      <c r="BK183" s="35">
        <f t="shared" si="246"/>
        <v>5.0000000000000001E-3</v>
      </c>
      <c r="BL183" s="35">
        <f t="shared" si="246"/>
        <v>5.0000000000000001E-3</v>
      </c>
      <c r="BM183" s="35">
        <f t="shared" si="246"/>
        <v>5.0000000000000001E-3</v>
      </c>
      <c r="BN183" s="35">
        <f t="shared" si="246"/>
        <v>5.0000000000000001E-3</v>
      </c>
    </row>
    <row r="184" spans="2:66" x14ac:dyDescent="0.2">
      <c r="N184" s="23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</row>
    <row r="185" spans="2:66" x14ac:dyDescent="0.2">
      <c r="B185" s="6" t="s">
        <v>76</v>
      </c>
    </row>
    <row r="186" spans="2:66" x14ac:dyDescent="0.2">
      <c r="B186" t="s">
        <v>31</v>
      </c>
      <c r="C186" t="s">
        <v>32</v>
      </c>
      <c r="G186" s="40">
        <f>G178</f>
        <v>61.3</v>
      </c>
      <c r="H186" s="40">
        <f t="shared" ref="H186:BN186" si="247">H178</f>
        <v>61.3</v>
      </c>
      <c r="I186" s="40">
        <f t="shared" si="247"/>
        <v>61.3</v>
      </c>
      <c r="J186" s="40">
        <f t="shared" si="247"/>
        <v>61.3</v>
      </c>
      <c r="K186" s="40">
        <f t="shared" si="247"/>
        <v>61.3</v>
      </c>
      <c r="L186" s="40">
        <f t="shared" si="247"/>
        <v>61.3</v>
      </c>
      <c r="M186" s="40">
        <f t="shared" si="247"/>
        <v>61.3</v>
      </c>
      <c r="N186" s="40">
        <f t="shared" si="247"/>
        <v>61.3</v>
      </c>
      <c r="O186" s="40">
        <f t="shared" si="247"/>
        <v>61.3</v>
      </c>
      <c r="P186" s="40">
        <f t="shared" si="247"/>
        <v>61.3</v>
      </c>
      <c r="Q186" s="40">
        <f t="shared" si="247"/>
        <v>61.3</v>
      </c>
      <c r="R186" s="40">
        <f t="shared" si="247"/>
        <v>61.3</v>
      </c>
      <c r="S186" s="40">
        <f t="shared" si="247"/>
        <v>61.3</v>
      </c>
      <c r="T186" s="40">
        <f t="shared" si="247"/>
        <v>61.3</v>
      </c>
      <c r="U186" s="40">
        <f t="shared" si="247"/>
        <v>61.3</v>
      </c>
      <c r="V186" s="40">
        <f t="shared" si="247"/>
        <v>61.3</v>
      </c>
      <c r="W186" s="40">
        <f t="shared" si="247"/>
        <v>61.3</v>
      </c>
      <c r="X186" s="40">
        <f t="shared" si="247"/>
        <v>61.3</v>
      </c>
      <c r="Y186" s="40">
        <f t="shared" si="247"/>
        <v>61.3</v>
      </c>
      <c r="Z186" s="40">
        <f t="shared" si="247"/>
        <v>61.3</v>
      </c>
      <c r="AA186" s="40">
        <f t="shared" si="247"/>
        <v>61.3</v>
      </c>
      <c r="AB186" s="40">
        <f t="shared" si="247"/>
        <v>61.3</v>
      </c>
      <c r="AC186" s="40">
        <f t="shared" si="247"/>
        <v>61.3</v>
      </c>
      <c r="AD186" s="40">
        <f t="shared" si="247"/>
        <v>61.3</v>
      </c>
      <c r="AE186" s="40">
        <f t="shared" si="247"/>
        <v>61.3</v>
      </c>
      <c r="AF186" s="40">
        <f t="shared" si="247"/>
        <v>61.3</v>
      </c>
      <c r="AG186" s="40">
        <f t="shared" si="247"/>
        <v>61.3</v>
      </c>
      <c r="AH186" s="40">
        <f t="shared" si="247"/>
        <v>61.3</v>
      </c>
      <c r="AI186" s="40">
        <f t="shared" si="247"/>
        <v>61.3</v>
      </c>
      <c r="AJ186" s="40">
        <f t="shared" si="247"/>
        <v>61.3</v>
      </c>
      <c r="AK186" s="40">
        <f t="shared" si="247"/>
        <v>61.3</v>
      </c>
      <c r="AL186" s="40">
        <f t="shared" si="247"/>
        <v>61.3</v>
      </c>
      <c r="AM186" s="40">
        <f t="shared" si="247"/>
        <v>61.3</v>
      </c>
      <c r="AN186" s="40">
        <f t="shared" si="247"/>
        <v>61.3</v>
      </c>
      <c r="AO186" s="40">
        <f t="shared" si="247"/>
        <v>61.3</v>
      </c>
      <c r="AP186" s="40">
        <f t="shared" si="247"/>
        <v>61.3</v>
      </c>
      <c r="AQ186" s="40">
        <f t="shared" si="247"/>
        <v>61.3</v>
      </c>
      <c r="AR186" s="40">
        <f t="shared" si="247"/>
        <v>61.3</v>
      </c>
      <c r="AS186" s="40">
        <f t="shared" si="247"/>
        <v>61.3</v>
      </c>
      <c r="AT186" s="40">
        <f t="shared" si="247"/>
        <v>61.3</v>
      </c>
      <c r="AU186" s="40">
        <f t="shared" si="247"/>
        <v>61.3</v>
      </c>
      <c r="AV186" s="40">
        <f t="shared" si="247"/>
        <v>61.3</v>
      </c>
      <c r="AW186" s="40">
        <f t="shared" si="247"/>
        <v>61.3</v>
      </c>
      <c r="AX186" s="40">
        <f t="shared" si="247"/>
        <v>61.3</v>
      </c>
      <c r="AY186" s="40">
        <f t="shared" si="247"/>
        <v>61.3</v>
      </c>
      <c r="AZ186" s="40">
        <f t="shared" si="247"/>
        <v>61.3</v>
      </c>
      <c r="BA186" s="40">
        <f t="shared" si="247"/>
        <v>61.3</v>
      </c>
      <c r="BB186" s="40">
        <f t="shared" si="247"/>
        <v>62.525999999999996</v>
      </c>
      <c r="BC186" s="40">
        <f t="shared" si="247"/>
        <v>62.525999999999996</v>
      </c>
      <c r="BD186" s="40">
        <f t="shared" si="247"/>
        <v>62.525999999999996</v>
      </c>
      <c r="BE186" s="40">
        <f t="shared" si="247"/>
        <v>62.525999999999996</v>
      </c>
      <c r="BF186" s="40">
        <f t="shared" si="247"/>
        <v>62.525999999999996</v>
      </c>
      <c r="BG186" s="40">
        <f t="shared" si="247"/>
        <v>62.525999999999996</v>
      </c>
      <c r="BH186" s="40">
        <f t="shared" si="247"/>
        <v>62.525999999999996</v>
      </c>
      <c r="BI186" s="40">
        <f t="shared" si="247"/>
        <v>62.525999999999996</v>
      </c>
      <c r="BJ186" s="40">
        <f t="shared" si="247"/>
        <v>62.525999999999996</v>
      </c>
      <c r="BK186" s="40">
        <f t="shared" si="247"/>
        <v>62.525999999999996</v>
      </c>
      <c r="BL186" s="40">
        <f t="shared" si="247"/>
        <v>62.525999999999996</v>
      </c>
      <c r="BM186" s="40">
        <f t="shared" si="247"/>
        <v>62.525999999999996</v>
      </c>
      <c r="BN186" s="40">
        <f t="shared" si="247"/>
        <v>62.525999999999996</v>
      </c>
    </row>
    <row r="187" spans="2:66" x14ac:dyDescent="0.2">
      <c r="B187" t="s">
        <v>31</v>
      </c>
      <c r="C187" t="s">
        <v>10</v>
      </c>
      <c r="G187" s="40">
        <f>G179</f>
        <v>0.81733333333333325</v>
      </c>
      <c r="H187" s="40">
        <f t="shared" ref="H187:BN187" si="248">H179</f>
        <v>0.81733333333333325</v>
      </c>
      <c r="I187" s="40">
        <f t="shared" si="248"/>
        <v>0.81733333333333325</v>
      </c>
      <c r="J187" s="40">
        <f t="shared" si="248"/>
        <v>0.81733333333333325</v>
      </c>
      <c r="K187" s="40">
        <f t="shared" si="248"/>
        <v>0.81733333333333325</v>
      </c>
      <c r="L187" s="40">
        <f t="shared" si="248"/>
        <v>0.81733333333333325</v>
      </c>
      <c r="M187" s="40">
        <f>M179</f>
        <v>0.81733333333333325</v>
      </c>
      <c r="N187" s="40">
        <f t="shared" si="248"/>
        <v>0.81733333333333325</v>
      </c>
      <c r="O187" s="40">
        <f t="shared" si="248"/>
        <v>0.81733333333333325</v>
      </c>
      <c r="P187" s="40">
        <f t="shared" si="248"/>
        <v>0.81733333333333325</v>
      </c>
      <c r="Q187" s="40">
        <f t="shared" si="248"/>
        <v>0.81733333333333325</v>
      </c>
      <c r="R187" s="40">
        <f t="shared" si="248"/>
        <v>0.81733333333333325</v>
      </c>
      <c r="S187" s="40">
        <f t="shared" si="248"/>
        <v>0.81733333333333325</v>
      </c>
      <c r="T187" s="40">
        <f t="shared" si="248"/>
        <v>0.81733333333333325</v>
      </c>
      <c r="U187" s="40">
        <f t="shared" si="248"/>
        <v>0.81733333333333325</v>
      </c>
      <c r="V187" s="40">
        <f t="shared" si="248"/>
        <v>0.81733333333333325</v>
      </c>
      <c r="W187" s="40">
        <f t="shared" si="248"/>
        <v>0.81733333333333325</v>
      </c>
      <c r="X187" s="40">
        <f t="shared" si="248"/>
        <v>0.81733333333333325</v>
      </c>
      <c r="Y187" s="40">
        <f t="shared" si="248"/>
        <v>0.81733333333333325</v>
      </c>
      <c r="Z187" s="40">
        <f t="shared" si="248"/>
        <v>0.81733333333333325</v>
      </c>
      <c r="AA187" s="40">
        <f t="shared" si="248"/>
        <v>0.81733333333333325</v>
      </c>
      <c r="AB187" s="40">
        <f t="shared" si="248"/>
        <v>0.81733333333333325</v>
      </c>
      <c r="AC187" s="40">
        <f t="shared" si="248"/>
        <v>0.81733333333333325</v>
      </c>
      <c r="AD187" s="40">
        <f t="shared" si="248"/>
        <v>0.81733333333333325</v>
      </c>
      <c r="AE187" s="40">
        <f t="shared" si="248"/>
        <v>0.81733333333333325</v>
      </c>
      <c r="AF187" s="40">
        <f t="shared" si="248"/>
        <v>0.81733333333333325</v>
      </c>
      <c r="AG187" s="40">
        <f t="shared" si="248"/>
        <v>0.81733333333333325</v>
      </c>
      <c r="AH187" s="40">
        <f t="shared" si="248"/>
        <v>0.81733333333333325</v>
      </c>
      <c r="AI187" s="40">
        <f t="shared" si="248"/>
        <v>0.81733333333333325</v>
      </c>
      <c r="AJ187" s="40">
        <f t="shared" si="248"/>
        <v>0.81733333333333325</v>
      </c>
      <c r="AK187" s="40">
        <f t="shared" si="248"/>
        <v>0.81733333333333325</v>
      </c>
      <c r="AL187" s="40">
        <f t="shared" si="248"/>
        <v>0.81733333333333325</v>
      </c>
      <c r="AM187" s="40">
        <f t="shared" si="248"/>
        <v>0.81733333333333325</v>
      </c>
      <c r="AN187" s="40">
        <f t="shared" si="248"/>
        <v>0.81733333333333325</v>
      </c>
      <c r="AO187" s="40">
        <f t="shared" si="248"/>
        <v>0.81733333333333325</v>
      </c>
      <c r="AP187" s="40">
        <f t="shared" si="248"/>
        <v>0.81733333333333325</v>
      </c>
      <c r="AQ187" s="40">
        <f t="shared" si="248"/>
        <v>0.81733333333333325</v>
      </c>
      <c r="AR187" s="40">
        <f t="shared" si="248"/>
        <v>0.81733333333333325</v>
      </c>
      <c r="AS187" s="40">
        <f t="shared" si="248"/>
        <v>0.81733333333333325</v>
      </c>
      <c r="AT187" s="40">
        <f t="shared" si="248"/>
        <v>0.81733333333333325</v>
      </c>
      <c r="AU187" s="40">
        <f t="shared" si="248"/>
        <v>0.81733333333333325</v>
      </c>
      <c r="AV187" s="40">
        <f t="shared" si="248"/>
        <v>0.81733333333333325</v>
      </c>
      <c r="AW187" s="40">
        <f t="shared" si="248"/>
        <v>0.81733333333333325</v>
      </c>
      <c r="AX187" s="40">
        <f t="shared" si="248"/>
        <v>0.81733333333333325</v>
      </c>
      <c r="AY187" s="40">
        <f t="shared" si="248"/>
        <v>0.81733333333333325</v>
      </c>
      <c r="AZ187" s="40">
        <f t="shared" si="248"/>
        <v>0.81733333333333325</v>
      </c>
      <c r="BA187" s="40">
        <f t="shared" si="248"/>
        <v>0.81733333333333325</v>
      </c>
      <c r="BB187" s="40">
        <f t="shared" si="248"/>
        <v>0.83367999999999998</v>
      </c>
      <c r="BC187" s="40">
        <f t="shared" si="248"/>
        <v>0.83367999999999998</v>
      </c>
      <c r="BD187" s="40">
        <f t="shared" si="248"/>
        <v>0.83367999999999998</v>
      </c>
      <c r="BE187" s="40">
        <f t="shared" si="248"/>
        <v>0.83367999999999998</v>
      </c>
      <c r="BF187" s="40">
        <f t="shared" si="248"/>
        <v>0.83367999999999998</v>
      </c>
      <c r="BG187" s="40">
        <f t="shared" si="248"/>
        <v>0.83367999999999998</v>
      </c>
      <c r="BH187" s="40">
        <f t="shared" si="248"/>
        <v>0.83367999999999998</v>
      </c>
      <c r="BI187" s="40">
        <f t="shared" si="248"/>
        <v>0.83367999999999998</v>
      </c>
      <c r="BJ187" s="40">
        <f t="shared" si="248"/>
        <v>0.83367999999999998</v>
      </c>
      <c r="BK187" s="40">
        <f t="shared" si="248"/>
        <v>0.83367999999999998</v>
      </c>
      <c r="BL187" s="40">
        <f t="shared" si="248"/>
        <v>0.83367999999999998</v>
      </c>
      <c r="BM187" s="40">
        <f t="shared" si="248"/>
        <v>0.83367999999999998</v>
      </c>
      <c r="BN187" s="40">
        <f t="shared" si="248"/>
        <v>0.83367999999999998</v>
      </c>
    </row>
    <row r="188" spans="2:66" x14ac:dyDescent="0.2">
      <c r="B188" t="s">
        <v>23</v>
      </c>
      <c r="C188" t="s">
        <v>28</v>
      </c>
      <c r="G188" s="39">
        <f>G124</f>
        <v>6</v>
      </c>
      <c r="H188" s="39">
        <f t="shared" ref="H188:BN188" si="249">H124</f>
        <v>6</v>
      </c>
      <c r="I188" s="39">
        <f t="shared" si="249"/>
        <v>6</v>
      </c>
      <c r="J188" s="39">
        <f>J124</f>
        <v>5.4533333333333331</v>
      </c>
      <c r="K188" s="39">
        <f t="shared" si="249"/>
        <v>8.36</v>
      </c>
      <c r="L188" s="39">
        <f t="shared" si="249"/>
        <v>11.266666666666667</v>
      </c>
      <c r="M188" s="39">
        <f>M124</f>
        <v>14.173333333333334</v>
      </c>
      <c r="N188" s="39">
        <f t="shared" si="249"/>
        <v>39.25333333333333</v>
      </c>
      <c r="O188" s="39">
        <f t="shared" si="249"/>
        <v>17.093333333333334</v>
      </c>
      <c r="P188" s="39">
        <f t="shared" si="249"/>
        <v>20</v>
      </c>
      <c r="Q188" s="39">
        <f t="shared" si="249"/>
        <v>20</v>
      </c>
      <c r="R188" s="39">
        <f t="shared" si="249"/>
        <v>20</v>
      </c>
      <c r="S188" s="39">
        <f t="shared" si="249"/>
        <v>20</v>
      </c>
      <c r="T188" s="39">
        <f t="shared" si="249"/>
        <v>20</v>
      </c>
      <c r="U188" s="39">
        <f t="shared" si="249"/>
        <v>20</v>
      </c>
      <c r="V188" s="39">
        <f t="shared" si="249"/>
        <v>20</v>
      </c>
      <c r="W188" s="39">
        <f t="shared" si="249"/>
        <v>20</v>
      </c>
      <c r="X188" s="39">
        <f t="shared" si="249"/>
        <v>20</v>
      </c>
      <c r="Y188" s="39">
        <f t="shared" si="249"/>
        <v>20</v>
      </c>
      <c r="Z188" s="39">
        <f t="shared" si="249"/>
        <v>20</v>
      </c>
      <c r="AA188" s="39">
        <f t="shared" si="249"/>
        <v>237.09333333333333</v>
      </c>
      <c r="AB188" s="39">
        <f t="shared" si="249"/>
        <v>20</v>
      </c>
      <c r="AC188" s="39">
        <f t="shared" si="249"/>
        <v>20</v>
      </c>
      <c r="AD188" s="39">
        <f t="shared" si="249"/>
        <v>21.053333333333335</v>
      </c>
      <c r="AE188" s="39">
        <f t="shared" si="249"/>
        <v>22.106666666666666</v>
      </c>
      <c r="AF188" s="39">
        <f t="shared" si="249"/>
        <v>23.146666666666668</v>
      </c>
      <c r="AG188" s="39">
        <f t="shared" si="249"/>
        <v>24.2</v>
      </c>
      <c r="AH188" s="39">
        <f t="shared" si="249"/>
        <v>25.253333333333334</v>
      </c>
      <c r="AI188" s="39">
        <f t="shared" si="249"/>
        <v>26.306666666666668</v>
      </c>
      <c r="AJ188" s="39">
        <f t="shared" si="249"/>
        <v>27.36</v>
      </c>
      <c r="AK188" s="39">
        <f t="shared" si="249"/>
        <v>28.413333333333334</v>
      </c>
      <c r="AL188" s="39">
        <f t="shared" si="249"/>
        <v>29.48</v>
      </c>
      <c r="AM188" s="39">
        <f t="shared" si="249"/>
        <v>30.533333333333335</v>
      </c>
      <c r="AN188" s="39">
        <f t="shared" si="249"/>
        <v>297.85333333333335</v>
      </c>
      <c r="AO188" s="39">
        <f t="shared" si="249"/>
        <v>31.573333333333334</v>
      </c>
      <c r="AP188" s="39">
        <f t="shared" si="249"/>
        <v>32.626666666666665</v>
      </c>
      <c r="AQ188" s="39">
        <f t="shared" si="249"/>
        <v>33.68</v>
      </c>
      <c r="AR188" s="39">
        <f t="shared" si="249"/>
        <v>34.733333333333334</v>
      </c>
      <c r="AS188" s="39">
        <f t="shared" si="249"/>
        <v>35.786666666666669</v>
      </c>
      <c r="AT188" s="39">
        <f t="shared" si="249"/>
        <v>36.840000000000003</v>
      </c>
      <c r="AU188" s="39">
        <f t="shared" si="249"/>
        <v>37.893333333333331</v>
      </c>
      <c r="AV188" s="39">
        <f t="shared" si="249"/>
        <v>39.999999441861334</v>
      </c>
      <c r="AW188" s="39">
        <f t="shared" si="249"/>
        <v>39.999999441861334</v>
      </c>
      <c r="AX188" s="39">
        <f t="shared" si="249"/>
        <v>39.999999441861334</v>
      </c>
      <c r="AY188" s="39">
        <f t="shared" si="249"/>
        <v>39.999999441861334</v>
      </c>
      <c r="AZ188" s="39">
        <f t="shared" si="249"/>
        <v>39.999999441861334</v>
      </c>
      <c r="BA188" s="39">
        <f t="shared" si="249"/>
        <v>443.13333054264001</v>
      </c>
      <c r="BB188" s="39">
        <f t="shared" si="249"/>
        <v>36.927777545219996</v>
      </c>
      <c r="BC188" s="39">
        <f t="shared" si="249"/>
        <v>36.927777545219996</v>
      </c>
      <c r="BD188" s="39">
        <f t="shared" si="249"/>
        <v>36.927777545219996</v>
      </c>
      <c r="BE188" s="39">
        <f t="shared" si="249"/>
        <v>36.927777545219996</v>
      </c>
      <c r="BF188" s="39">
        <f t="shared" si="249"/>
        <v>36.927777545219996</v>
      </c>
      <c r="BG188" s="39">
        <f t="shared" si="249"/>
        <v>36.927777545219996</v>
      </c>
      <c r="BH188" s="39">
        <f t="shared" si="249"/>
        <v>36.927777545219996</v>
      </c>
      <c r="BI188" s="39">
        <f t="shared" si="249"/>
        <v>36.927777545219996</v>
      </c>
      <c r="BJ188" s="39">
        <f t="shared" si="249"/>
        <v>36.927777545219996</v>
      </c>
      <c r="BK188" s="39">
        <f t="shared" si="249"/>
        <v>36.927777545219996</v>
      </c>
      <c r="BL188" s="39">
        <f t="shared" si="249"/>
        <v>36.927777545219996</v>
      </c>
      <c r="BM188" s="39">
        <f t="shared" si="249"/>
        <v>36.927777545219996</v>
      </c>
      <c r="BN188" s="39">
        <f t="shared" si="249"/>
        <v>443.13333054264001</v>
      </c>
    </row>
    <row r="189" spans="2:66" hidden="1" x14ac:dyDescent="0.2">
      <c r="B189" t="s">
        <v>43</v>
      </c>
      <c r="C189" t="s">
        <v>35</v>
      </c>
      <c r="G189" s="39">
        <f>G181</f>
        <v>30</v>
      </c>
      <c r="H189" s="39">
        <f t="shared" ref="H189:BN189" si="250">H181</f>
        <v>31</v>
      </c>
      <c r="I189" s="39">
        <f>I181</f>
        <v>31</v>
      </c>
      <c r="J189" s="39">
        <f t="shared" si="250"/>
        <v>30</v>
      </c>
      <c r="K189" s="39">
        <f t="shared" si="250"/>
        <v>31</v>
      </c>
      <c r="L189" s="39">
        <f t="shared" si="250"/>
        <v>30</v>
      </c>
      <c r="M189" s="39">
        <f t="shared" si="250"/>
        <v>31</v>
      </c>
      <c r="N189" s="39">
        <f t="shared" si="250"/>
        <v>30.571428571428573</v>
      </c>
      <c r="O189" s="39">
        <f t="shared" si="250"/>
        <v>31</v>
      </c>
      <c r="P189" s="39">
        <f t="shared" si="250"/>
        <v>28</v>
      </c>
      <c r="Q189" s="39">
        <f t="shared" si="250"/>
        <v>31</v>
      </c>
      <c r="R189" s="39">
        <f t="shared" si="250"/>
        <v>30</v>
      </c>
      <c r="S189" s="39">
        <f t="shared" si="250"/>
        <v>31</v>
      </c>
      <c r="T189" s="39">
        <f t="shared" si="250"/>
        <v>30</v>
      </c>
      <c r="U189" s="39">
        <f t="shared" si="250"/>
        <v>31</v>
      </c>
      <c r="V189" s="39">
        <f t="shared" si="250"/>
        <v>31</v>
      </c>
      <c r="W189" s="39">
        <f t="shared" si="250"/>
        <v>30</v>
      </c>
      <c r="X189" s="39">
        <f t="shared" si="250"/>
        <v>31</v>
      </c>
      <c r="Y189" s="39">
        <f t="shared" si="250"/>
        <v>30</v>
      </c>
      <c r="Z189" s="39">
        <f t="shared" si="250"/>
        <v>31</v>
      </c>
      <c r="AA189" s="39">
        <f t="shared" si="250"/>
        <v>30.416666666666668</v>
      </c>
      <c r="AB189" s="39">
        <f t="shared" si="250"/>
        <v>31</v>
      </c>
      <c r="AC189" s="39">
        <f t="shared" si="250"/>
        <v>28</v>
      </c>
      <c r="AD189" s="39">
        <f t="shared" si="250"/>
        <v>31</v>
      </c>
      <c r="AE189" s="39">
        <f t="shared" si="250"/>
        <v>30</v>
      </c>
      <c r="AF189" s="39">
        <f t="shared" si="250"/>
        <v>31</v>
      </c>
      <c r="AG189" s="39">
        <f t="shared" si="250"/>
        <v>30</v>
      </c>
      <c r="AH189" s="39">
        <f t="shared" si="250"/>
        <v>31</v>
      </c>
      <c r="AI189" s="39">
        <f t="shared" si="250"/>
        <v>31</v>
      </c>
      <c r="AJ189" s="39">
        <f t="shared" si="250"/>
        <v>30</v>
      </c>
      <c r="AK189" s="39">
        <f t="shared" si="250"/>
        <v>31</v>
      </c>
      <c r="AL189" s="39">
        <f t="shared" si="250"/>
        <v>30</v>
      </c>
      <c r="AM189" s="39">
        <f t="shared" si="250"/>
        <v>31</v>
      </c>
      <c r="AN189" s="39">
        <f t="shared" si="250"/>
        <v>30.416666666666668</v>
      </c>
      <c r="AO189" s="39">
        <f t="shared" si="250"/>
        <v>31</v>
      </c>
      <c r="AP189" s="39">
        <f t="shared" si="250"/>
        <v>29</v>
      </c>
      <c r="AQ189" s="39">
        <f t="shared" si="250"/>
        <v>31</v>
      </c>
      <c r="AR189" s="39">
        <f t="shared" si="250"/>
        <v>30</v>
      </c>
      <c r="AS189" s="39">
        <f t="shared" si="250"/>
        <v>31</v>
      </c>
      <c r="AT189" s="39">
        <f t="shared" si="250"/>
        <v>30</v>
      </c>
      <c r="AU189" s="39">
        <f t="shared" si="250"/>
        <v>31</v>
      </c>
      <c r="AV189" s="39">
        <f t="shared" si="250"/>
        <v>31</v>
      </c>
      <c r="AW189" s="39">
        <f t="shared" si="250"/>
        <v>30</v>
      </c>
      <c r="AX189" s="39">
        <f t="shared" si="250"/>
        <v>31</v>
      </c>
      <c r="AY189" s="39">
        <f t="shared" si="250"/>
        <v>30</v>
      </c>
      <c r="AZ189" s="39">
        <f t="shared" si="250"/>
        <v>31</v>
      </c>
      <c r="BA189" s="39">
        <f t="shared" si="250"/>
        <v>30.5</v>
      </c>
      <c r="BB189" s="39">
        <f t="shared" si="250"/>
        <v>31</v>
      </c>
      <c r="BC189" s="39">
        <f t="shared" si="250"/>
        <v>28</v>
      </c>
      <c r="BD189" s="39">
        <f t="shared" si="250"/>
        <v>31</v>
      </c>
      <c r="BE189" s="39">
        <f t="shared" si="250"/>
        <v>30</v>
      </c>
      <c r="BF189" s="39">
        <f t="shared" si="250"/>
        <v>31</v>
      </c>
      <c r="BG189" s="39">
        <f t="shared" si="250"/>
        <v>30</v>
      </c>
      <c r="BH189" s="39">
        <f t="shared" si="250"/>
        <v>31</v>
      </c>
      <c r="BI189" s="39">
        <f t="shared" si="250"/>
        <v>31</v>
      </c>
      <c r="BJ189" s="39">
        <f t="shared" si="250"/>
        <v>30</v>
      </c>
      <c r="BK189" s="39">
        <f t="shared" si="250"/>
        <v>31</v>
      </c>
      <c r="BL189" s="39">
        <f t="shared" si="250"/>
        <v>30</v>
      </c>
      <c r="BM189" s="39">
        <f t="shared" si="250"/>
        <v>31</v>
      </c>
      <c r="BN189" s="39">
        <f t="shared" si="250"/>
        <v>30.416666666666668</v>
      </c>
    </row>
    <row r="190" spans="2:66" hidden="1" x14ac:dyDescent="0.2">
      <c r="B190" t="s">
        <v>42</v>
      </c>
      <c r="C190" t="s">
        <v>49</v>
      </c>
      <c r="G190">
        <f>G127</f>
        <v>0</v>
      </c>
      <c r="H190">
        <f t="shared" ref="H190:BN190" si="251">H127</f>
        <v>0</v>
      </c>
      <c r="I190">
        <f t="shared" si="251"/>
        <v>0</v>
      </c>
      <c r="J190">
        <f t="shared" si="251"/>
        <v>0</v>
      </c>
      <c r="K190">
        <f t="shared" si="251"/>
        <v>0</v>
      </c>
      <c r="L190">
        <f t="shared" si="251"/>
        <v>0</v>
      </c>
      <c r="M190">
        <f t="shared" si="251"/>
        <v>0</v>
      </c>
      <c r="N190">
        <f t="shared" si="251"/>
        <v>0</v>
      </c>
      <c r="O190">
        <f t="shared" si="251"/>
        <v>0</v>
      </c>
      <c r="P190">
        <f t="shared" si="251"/>
        <v>0</v>
      </c>
      <c r="Q190">
        <f t="shared" si="251"/>
        <v>0</v>
      </c>
      <c r="R190">
        <f t="shared" si="251"/>
        <v>0</v>
      </c>
      <c r="S190">
        <f t="shared" si="251"/>
        <v>0</v>
      </c>
      <c r="T190">
        <f t="shared" si="251"/>
        <v>0</v>
      </c>
      <c r="U190">
        <f t="shared" si="251"/>
        <v>0</v>
      </c>
      <c r="V190">
        <f t="shared" si="251"/>
        <v>0</v>
      </c>
      <c r="W190">
        <f t="shared" si="251"/>
        <v>0</v>
      </c>
      <c r="X190">
        <f t="shared" si="251"/>
        <v>0</v>
      </c>
      <c r="Y190">
        <f t="shared" si="251"/>
        <v>0</v>
      </c>
      <c r="Z190">
        <f t="shared" si="251"/>
        <v>0</v>
      </c>
      <c r="AA190">
        <f t="shared" si="251"/>
        <v>0</v>
      </c>
      <c r="AB190">
        <f t="shared" si="251"/>
        <v>0</v>
      </c>
      <c r="AC190">
        <f t="shared" si="251"/>
        <v>0</v>
      </c>
      <c r="AD190">
        <f t="shared" si="251"/>
        <v>0</v>
      </c>
      <c r="AE190">
        <f t="shared" si="251"/>
        <v>0</v>
      </c>
      <c r="AF190">
        <f t="shared" si="251"/>
        <v>0</v>
      </c>
      <c r="AG190">
        <f t="shared" si="251"/>
        <v>0</v>
      </c>
      <c r="AH190">
        <f t="shared" si="251"/>
        <v>0</v>
      </c>
      <c r="AI190">
        <f t="shared" si="251"/>
        <v>0</v>
      </c>
      <c r="AJ190">
        <f t="shared" si="251"/>
        <v>0</v>
      </c>
      <c r="AK190">
        <f t="shared" si="251"/>
        <v>0</v>
      </c>
      <c r="AL190">
        <f t="shared" si="251"/>
        <v>0</v>
      </c>
      <c r="AM190">
        <f t="shared" si="251"/>
        <v>0</v>
      </c>
      <c r="AN190">
        <f t="shared" si="251"/>
        <v>0</v>
      </c>
      <c r="AO190">
        <f t="shared" si="251"/>
        <v>0</v>
      </c>
      <c r="AP190">
        <f t="shared" si="251"/>
        <v>0</v>
      </c>
      <c r="AQ190">
        <f t="shared" si="251"/>
        <v>0</v>
      </c>
      <c r="AR190">
        <f t="shared" si="251"/>
        <v>0</v>
      </c>
      <c r="AS190">
        <f t="shared" si="251"/>
        <v>0</v>
      </c>
      <c r="AT190">
        <f t="shared" si="251"/>
        <v>0</v>
      </c>
      <c r="AU190">
        <f t="shared" si="251"/>
        <v>0</v>
      </c>
      <c r="AV190">
        <f t="shared" si="251"/>
        <v>0</v>
      </c>
      <c r="AW190">
        <f t="shared" si="251"/>
        <v>0</v>
      </c>
      <c r="AX190">
        <f t="shared" si="251"/>
        <v>0</v>
      </c>
      <c r="AY190">
        <f t="shared" si="251"/>
        <v>0</v>
      </c>
      <c r="AZ190">
        <f t="shared" si="251"/>
        <v>0</v>
      </c>
      <c r="BA190">
        <f t="shared" si="251"/>
        <v>0</v>
      </c>
      <c r="BB190">
        <f t="shared" si="251"/>
        <v>0</v>
      </c>
      <c r="BC190">
        <f t="shared" si="251"/>
        <v>0</v>
      </c>
      <c r="BD190">
        <f t="shared" si="251"/>
        <v>0</v>
      </c>
      <c r="BE190">
        <f t="shared" si="251"/>
        <v>0</v>
      </c>
      <c r="BF190">
        <f t="shared" si="251"/>
        <v>0</v>
      </c>
      <c r="BG190">
        <f t="shared" si="251"/>
        <v>0</v>
      </c>
      <c r="BH190">
        <f t="shared" si="251"/>
        <v>0</v>
      </c>
      <c r="BI190">
        <f t="shared" si="251"/>
        <v>0</v>
      </c>
      <c r="BJ190">
        <f t="shared" si="251"/>
        <v>0</v>
      </c>
      <c r="BK190">
        <f t="shared" si="251"/>
        <v>0</v>
      </c>
      <c r="BL190">
        <f t="shared" si="251"/>
        <v>0</v>
      </c>
      <c r="BM190">
        <f t="shared" si="251"/>
        <v>0</v>
      </c>
      <c r="BN190">
        <f t="shared" si="251"/>
        <v>0</v>
      </c>
    </row>
    <row r="191" spans="2:66" x14ac:dyDescent="0.2">
      <c r="B191" t="s">
        <v>147</v>
      </c>
      <c r="C191" t="s">
        <v>13</v>
      </c>
      <c r="G191" s="35">
        <f t="shared" ref="G191:L191" si="252">H191</f>
        <v>5.0000000000000001E-3</v>
      </c>
      <c r="H191" s="35">
        <f t="shared" si="252"/>
        <v>5.0000000000000001E-3</v>
      </c>
      <c r="I191" s="35">
        <f t="shared" si="252"/>
        <v>5.0000000000000001E-3</v>
      </c>
      <c r="J191" s="35">
        <f t="shared" si="252"/>
        <v>5.0000000000000001E-3</v>
      </c>
      <c r="K191" s="35">
        <f t="shared" si="252"/>
        <v>5.0000000000000001E-3</v>
      </c>
      <c r="L191" s="35">
        <f t="shared" si="252"/>
        <v>5.0000000000000001E-3</v>
      </c>
      <c r="M191" s="35">
        <f>N191</f>
        <v>5.0000000000000001E-3</v>
      </c>
      <c r="N191" s="134">
        <v>5.0000000000000001E-3</v>
      </c>
      <c r="O191" s="35">
        <f>N191</f>
        <v>5.0000000000000001E-3</v>
      </c>
      <c r="P191" s="35">
        <f t="shared" ref="P191:BN191" si="253">O191</f>
        <v>5.0000000000000001E-3</v>
      </c>
      <c r="Q191" s="35">
        <f t="shared" si="253"/>
        <v>5.0000000000000001E-3</v>
      </c>
      <c r="R191" s="35">
        <f t="shared" si="253"/>
        <v>5.0000000000000001E-3</v>
      </c>
      <c r="S191" s="35">
        <f t="shared" si="253"/>
        <v>5.0000000000000001E-3</v>
      </c>
      <c r="T191" s="35">
        <f t="shared" si="253"/>
        <v>5.0000000000000001E-3</v>
      </c>
      <c r="U191" s="35">
        <f t="shared" si="253"/>
        <v>5.0000000000000001E-3</v>
      </c>
      <c r="V191" s="35">
        <f t="shared" si="253"/>
        <v>5.0000000000000001E-3</v>
      </c>
      <c r="W191" s="35">
        <f t="shared" si="253"/>
        <v>5.0000000000000001E-3</v>
      </c>
      <c r="X191" s="35">
        <f t="shared" si="253"/>
        <v>5.0000000000000001E-3</v>
      </c>
      <c r="Y191" s="35">
        <f t="shared" si="253"/>
        <v>5.0000000000000001E-3</v>
      </c>
      <c r="Z191" s="35">
        <f t="shared" si="253"/>
        <v>5.0000000000000001E-3</v>
      </c>
      <c r="AA191" s="35">
        <f t="shared" si="253"/>
        <v>5.0000000000000001E-3</v>
      </c>
      <c r="AB191" s="35">
        <f t="shared" si="253"/>
        <v>5.0000000000000001E-3</v>
      </c>
      <c r="AC191" s="35">
        <f t="shared" si="253"/>
        <v>5.0000000000000001E-3</v>
      </c>
      <c r="AD191" s="35">
        <f t="shared" si="253"/>
        <v>5.0000000000000001E-3</v>
      </c>
      <c r="AE191" s="35">
        <f t="shared" si="253"/>
        <v>5.0000000000000001E-3</v>
      </c>
      <c r="AF191" s="35">
        <f t="shared" si="253"/>
        <v>5.0000000000000001E-3</v>
      </c>
      <c r="AG191" s="35">
        <f t="shared" si="253"/>
        <v>5.0000000000000001E-3</v>
      </c>
      <c r="AH191" s="35">
        <f t="shared" si="253"/>
        <v>5.0000000000000001E-3</v>
      </c>
      <c r="AI191" s="35">
        <f t="shared" si="253"/>
        <v>5.0000000000000001E-3</v>
      </c>
      <c r="AJ191" s="35">
        <f t="shared" si="253"/>
        <v>5.0000000000000001E-3</v>
      </c>
      <c r="AK191" s="35">
        <f t="shared" si="253"/>
        <v>5.0000000000000001E-3</v>
      </c>
      <c r="AL191" s="35">
        <f t="shared" si="253"/>
        <v>5.0000000000000001E-3</v>
      </c>
      <c r="AM191" s="35">
        <f t="shared" si="253"/>
        <v>5.0000000000000001E-3</v>
      </c>
      <c r="AN191" s="35">
        <f t="shared" si="253"/>
        <v>5.0000000000000001E-3</v>
      </c>
      <c r="AO191" s="35">
        <f t="shared" si="253"/>
        <v>5.0000000000000001E-3</v>
      </c>
      <c r="AP191" s="35">
        <f t="shared" si="253"/>
        <v>5.0000000000000001E-3</v>
      </c>
      <c r="AQ191" s="35">
        <f t="shared" si="253"/>
        <v>5.0000000000000001E-3</v>
      </c>
      <c r="AR191" s="35">
        <f t="shared" si="253"/>
        <v>5.0000000000000001E-3</v>
      </c>
      <c r="AS191" s="35">
        <f t="shared" si="253"/>
        <v>5.0000000000000001E-3</v>
      </c>
      <c r="AT191" s="35">
        <f t="shared" si="253"/>
        <v>5.0000000000000001E-3</v>
      </c>
      <c r="AU191" s="35">
        <f t="shared" si="253"/>
        <v>5.0000000000000001E-3</v>
      </c>
      <c r="AV191" s="35">
        <f t="shared" si="253"/>
        <v>5.0000000000000001E-3</v>
      </c>
      <c r="AW191" s="35">
        <f t="shared" si="253"/>
        <v>5.0000000000000001E-3</v>
      </c>
      <c r="AX191" s="35">
        <f t="shared" si="253"/>
        <v>5.0000000000000001E-3</v>
      </c>
      <c r="AY191" s="35">
        <f t="shared" si="253"/>
        <v>5.0000000000000001E-3</v>
      </c>
      <c r="AZ191" s="35">
        <f t="shared" si="253"/>
        <v>5.0000000000000001E-3</v>
      </c>
      <c r="BA191" s="35">
        <f t="shared" si="253"/>
        <v>5.0000000000000001E-3</v>
      </c>
      <c r="BB191" s="35">
        <f t="shared" si="253"/>
        <v>5.0000000000000001E-3</v>
      </c>
      <c r="BC191" s="35">
        <f t="shared" si="253"/>
        <v>5.0000000000000001E-3</v>
      </c>
      <c r="BD191" s="35">
        <f t="shared" si="253"/>
        <v>5.0000000000000001E-3</v>
      </c>
      <c r="BE191" s="35">
        <f t="shared" si="253"/>
        <v>5.0000000000000001E-3</v>
      </c>
      <c r="BF191" s="35">
        <f t="shared" si="253"/>
        <v>5.0000000000000001E-3</v>
      </c>
      <c r="BG191" s="35">
        <f t="shared" si="253"/>
        <v>5.0000000000000001E-3</v>
      </c>
      <c r="BH191" s="35">
        <f t="shared" si="253"/>
        <v>5.0000000000000001E-3</v>
      </c>
      <c r="BI191" s="35">
        <f t="shared" si="253"/>
        <v>5.0000000000000001E-3</v>
      </c>
      <c r="BJ191" s="35">
        <f t="shared" si="253"/>
        <v>5.0000000000000001E-3</v>
      </c>
      <c r="BK191" s="35">
        <f t="shared" si="253"/>
        <v>5.0000000000000001E-3</v>
      </c>
      <c r="BL191" s="35">
        <f t="shared" si="253"/>
        <v>5.0000000000000001E-3</v>
      </c>
      <c r="BM191" s="35">
        <f t="shared" si="253"/>
        <v>5.0000000000000001E-3</v>
      </c>
      <c r="BN191" s="35">
        <f t="shared" si="253"/>
        <v>5.0000000000000001E-3</v>
      </c>
    </row>
    <row r="193" spans="2:66" x14ac:dyDescent="0.2">
      <c r="B193" s="6" t="s">
        <v>88</v>
      </c>
    </row>
    <row r="194" spans="2:66" x14ac:dyDescent="0.2">
      <c r="B194" t="s">
        <v>31</v>
      </c>
      <c r="C194" t="s">
        <v>32</v>
      </c>
      <c r="G194" s="76">
        <f>G84</f>
        <v>1.75</v>
      </c>
      <c r="H194" s="76">
        <f t="shared" ref="H194:BN194" si="254">H84</f>
        <v>1.75</v>
      </c>
      <c r="I194" s="76">
        <f t="shared" si="254"/>
        <v>1.75</v>
      </c>
      <c r="J194" s="76">
        <f t="shared" si="254"/>
        <v>1.75</v>
      </c>
      <c r="K194" s="76">
        <f t="shared" si="254"/>
        <v>1.75</v>
      </c>
      <c r="L194" s="76">
        <f t="shared" si="254"/>
        <v>1.75</v>
      </c>
      <c r="M194" s="76">
        <f t="shared" si="254"/>
        <v>1.75</v>
      </c>
      <c r="N194" s="76">
        <f t="shared" si="254"/>
        <v>1.75</v>
      </c>
      <c r="O194" s="76">
        <f>N194</f>
        <v>1.75</v>
      </c>
      <c r="P194" s="76">
        <f>O194</f>
        <v>1.75</v>
      </c>
      <c r="Q194" s="76">
        <f t="shared" si="254"/>
        <v>1.7867499999999998</v>
      </c>
      <c r="R194" s="76">
        <f t="shared" si="254"/>
        <v>1.7867499999999998</v>
      </c>
      <c r="S194" s="76">
        <f t="shared" si="254"/>
        <v>1.7867499999999998</v>
      </c>
      <c r="T194" s="76">
        <f t="shared" si="254"/>
        <v>1.7867499999999998</v>
      </c>
      <c r="U194" s="76">
        <f t="shared" si="254"/>
        <v>1.7867499999999998</v>
      </c>
      <c r="V194" s="76">
        <f t="shared" si="254"/>
        <v>1.7867499999999998</v>
      </c>
      <c r="W194" s="76">
        <f t="shared" si="254"/>
        <v>1.7867499999999998</v>
      </c>
      <c r="X194" s="76">
        <f t="shared" si="254"/>
        <v>1.7867499999999998</v>
      </c>
      <c r="Y194" s="76">
        <f t="shared" si="254"/>
        <v>1.7867499999999998</v>
      </c>
      <c r="Z194" s="76">
        <f t="shared" si="254"/>
        <v>1.7867499999999998</v>
      </c>
      <c r="AA194" s="76">
        <f t="shared" si="254"/>
        <v>1.7867499999999998</v>
      </c>
      <c r="AB194" s="76">
        <f t="shared" si="254"/>
        <v>1.8224849999999999</v>
      </c>
      <c r="AC194" s="76">
        <f t="shared" si="254"/>
        <v>1.8224849999999999</v>
      </c>
      <c r="AD194" s="76">
        <f t="shared" si="254"/>
        <v>1.8224849999999999</v>
      </c>
      <c r="AE194" s="76">
        <f t="shared" si="254"/>
        <v>1.8224849999999999</v>
      </c>
      <c r="AF194" s="76">
        <f t="shared" si="254"/>
        <v>1.8224849999999999</v>
      </c>
      <c r="AG194" s="76">
        <f t="shared" si="254"/>
        <v>1.8224849999999999</v>
      </c>
      <c r="AH194" s="76">
        <f t="shared" si="254"/>
        <v>1.8224849999999999</v>
      </c>
      <c r="AI194" s="76">
        <f t="shared" si="254"/>
        <v>1.8224849999999999</v>
      </c>
      <c r="AJ194" s="76">
        <f t="shared" si="254"/>
        <v>1.8224849999999999</v>
      </c>
      <c r="AK194" s="76">
        <f t="shared" si="254"/>
        <v>1.8224849999999999</v>
      </c>
      <c r="AL194" s="76">
        <f t="shared" si="254"/>
        <v>1.8224849999999999</v>
      </c>
      <c r="AM194" s="76">
        <f t="shared" si="254"/>
        <v>1.8224849999999999</v>
      </c>
      <c r="AN194" s="76">
        <f t="shared" si="254"/>
        <v>1.8224849999999999</v>
      </c>
      <c r="AO194" s="76">
        <f t="shared" si="254"/>
        <v>1.8589347000000001</v>
      </c>
      <c r="AP194" s="76">
        <f t="shared" si="254"/>
        <v>1.8589347000000001</v>
      </c>
      <c r="AQ194" s="76">
        <f t="shared" si="254"/>
        <v>1.8589347000000001</v>
      </c>
      <c r="AR194" s="76">
        <f t="shared" si="254"/>
        <v>1.8589347000000001</v>
      </c>
      <c r="AS194" s="76">
        <f t="shared" si="254"/>
        <v>1.8589347000000001</v>
      </c>
      <c r="AT194" s="76">
        <f t="shared" si="254"/>
        <v>1.8589347000000001</v>
      </c>
      <c r="AU194" s="76">
        <f t="shared" si="254"/>
        <v>1.8589347000000001</v>
      </c>
      <c r="AV194" s="76">
        <f t="shared" si="254"/>
        <v>1.8589347000000001</v>
      </c>
      <c r="AW194" s="76">
        <f t="shared" si="254"/>
        <v>1.8589347000000001</v>
      </c>
      <c r="AX194" s="76">
        <f t="shared" si="254"/>
        <v>1.8589347000000001</v>
      </c>
      <c r="AY194" s="76">
        <f t="shared" si="254"/>
        <v>1.8589347000000001</v>
      </c>
      <c r="AZ194" s="76">
        <f t="shared" si="254"/>
        <v>1.8589347000000001</v>
      </c>
      <c r="BA194" s="76">
        <f t="shared" si="254"/>
        <v>1.8589347000000001</v>
      </c>
      <c r="BB194" s="76">
        <f t="shared" si="254"/>
        <v>1.8961133940000001</v>
      </c>
      <c r="BC194" s="76">
        <f t="shared" si="254"/>
        <v>1.8961133940000001</v>
      </c>
      <c r="BD194" s="76">
        <f t="shared" si="254"/>
        <v>1.8961133940000001</v>
      </c>
      <c r="BE194" s="76">
        <f t="shared" si="254"/>
        <v>1.8961133940000001</v>
      </c>
      <c r="BF194" s="76">
        <f t="shared" si="254"/>
        <v>1.8961133940000001</v>
      </c>
      <c r="BG194" s="76">
        <f t="shared" si="254"/>
        <v>1.8961133940000001</v>
      </c>
      <c r="BH194" s="76">
        <f t="shared" si="254"/>
        <v>1.8961133940000001</v>
      </c>
      <c r="BI194" s="76">
        <f t="shared" si="254"/>
        <v>1.8961133940000001</v>
      </c>
      <c r="BJ194" s="76">
        <f t="shared" si="254"/>
        <v>1.8961133940000001</v>
      </c>
      <c r="BK194" s="76">
        <f t="shared" si="254"/>
        <v>1.8961133940000001</v>
      </c>
      <c r="BL194" s="76">
        <f t="shared" si="254"/>
        <v>1.8961133940000001</v>
      </c>
      <c r="BM194" s="76">
        <f t="shared" si="254"/>
        <v>1.8961133940000001</v>
      </c>
      <c r="BN194" s="76">
        <f t="shared" si="254"/>
        <v>1.8961133940000001</v>
      </c>
    </row>
    <row r="195" spans="2:66" x14ac:dyDescent="0.2">
      <c r="B195" t="s">
        <v>23</v>
      </c>
      <c r="C195" t="s">
        <v>28</v>
      </c>
      <c r="G195" s="75">
        <f>G164</f>
        <v>9</v>
      </c>
      <c r="H195" s="75">
        <f t="shared" ref="H195:BN195" si="255">H164</f>
        <v>9</v>
      </c>
      <c r="I195" s="75">
        <f t="shared" si="255"/>
        <v>9</v>
      </c>
      <c r="J195" s="75">
        <f>J164</f>
        <v>8.1866666666666674</v>
      </c>
      <c r="K195" s="75">
        <f t="shared" si="255"/>
        <v>12.546666666666667</v>
      </c>
      <c r="L195" s="75">
        <f t="shared" si="255"/>
        <v>16.920000000000002</v>
      </c>
      <c r="M195" s="75">
        <f t="shared" si="255"/>
        <v>21.28</v>
      </c>
      <c r="N195" s="75">
        <f t="shared" si="255"/>
        <v>58.93333333333333</v>
      </c>
      <c r="O195" s="75">
        <f t="shared" si="255"/>
        <v>25.626666666666665</v>
      </c>
      <c r="P195" s="75">
        <f t="shared" si="255"/>
        <v>30.000001534881356</v>
      </c>
      <c r="Q195" s="75">
        <f t="shared" si="255"/>
        <v>30.000001534881356</v>
      </c>
      <c r="R195" s="75">
        <f t="shared" si="255"/>
        <v>30.000001534881356</v>
      </c>
      <c r="S195" s="75">
        <f t="shared" si="255"/>
        <v>30.000001534881356</v>
      </c>
      <c r="T195" s="75">
        <f t="shared" si="255"/>
        <v>30.000001534881356</v>
      </c>
      <c r="U195" s="75">
        <f t="shared" si="255"/>
        <v>30.000001534881356</v>
      </c>
      <c r="V195" s="75">
        <f t="shared" si="255"/>
        <v>30.000001534881356</v>
      </c>
      <c r="W195" s="75">
        <f t="shared" si="255"/>
        <v>30.000001534881356</v>
      </c>
      <c r="X195" s="75">
        <f t="shared" si="255"/>
        <v>30.000001534881356</v>
      </c>
      <c r="Y195" s="75">
        <f t="shared" si="255"/>
        <v>30.000001534881356</v>
      </c>
      <c r="Z195" s="75">
        <f t="shared" si="255"/>
        <v>30.000001534881356</v>
      </c>
      <c r="AA195" s="75">
        <f t="shared" si="255"/>
        <v>355.62668355036152</v>
      </c>
      <c r="AB195" s="75">
        <f t="shared" si="255"/>
        <v>30.000001534881356</v>
      </c>
      <c r="AC195" s="75">
        <f t="shared" si="255"/>
        <v>30.000001534881356</v>
      </c>
      <c r="AD195" s="75">
        <f t="shared" si="255"/>
        <v>31.573333333333334</v>
      </c>
      <c r="AE195" s="75">
        <f t="shared" si="255"/>
        <v>33.146666666666668</v>
      </c>
      <c r="AF195" s="75">
        <f t="shared" si="255"/>
        <v>34.733333333333334</v>
      </c>
      <c r="AG195" s="75">
        <f t="shared" si="255"/>
        <v>36.306666666666665</v>
      </c>
      <c r="AH195" s="75">
        <f t="shared" si="255"/>
        <v>37.880000000000003</v>
      </c>
      <c r="AI195" s="75">
        <f t="shared" si="255"/>
        <v>39.466666666666669</v>
      </c>
      <c r="AJ195" s="75">
        <f t="shared" si="255"/>
        <v>41.04</v>
      </c>
      <c r="AK195" s="75">
        <f t="shared" si="255"/>
        <v>42.613333333333337</v>
      </c>
      <c r="AL195" s="75">
        <f t="shared" si="255"/>
        <v>44.2</v>
      </c>
      <c r="AM195" s="75">
        <f t="shared" si="255"/>
        <v>45.773333333333333</v>
      </c>
      <c r="AN195" s="75">
        <f>AN164</f>
        <v>446.73333640309602</v>
      </c>
      <c r="AO195" s="75">
        <f t="shared" si="255"/>
        <v>47.36</v>
      </c>
      <c r="AP195" s="75">
        <f t="shared" si="255"/>
        <v>48.93333333333333</v>
      </c>
      <c r="AQ195" s="75">
        <f t="shared" si="255"/>
        <v>50.506666666666668</v>
      </c>
      <c r="AR195" s="75">
        <f t="shared" si="255"/>
        <v>52.093333333333334</v>
      </c>
      <c r="AS195" s="75">
        <f t="shared" si="255"/>
        <v>53.666666666666664</v>
      </c>
      <c r="AT195" s="75">
        <f t="shared" si="255"/>
        <v>55.24</v>
      </c>
      <c r="AU195" s="75">
        <f t="shared" si="255"/>
        <v>56.826666666666668</v>
      </c>
      <c r="AV195" s="75">
        <f t="shared" si="255"/>
        <v>60.000002232554664</v>
      </c>
      <c r="AW195" s="75">
        <f t="shared" si="255"/>
        <v>60.000002232554664</v>
      </c>
      <c r="AX195" s="75">
        <f t="shared" si="255"/>
        <v>60.000002232554664</v>
      </c>
      <c r="AY195" s="75">
        <f t="shared" si="255"/>
        <v>60.000002232554664</v>
      </c>
      <c r="AZ195" s="75">
        <f t="shared" si="255"/>
        <v>60.000002232554664</v>
      </c>
      <c r="BA195" s="75">
        <f t="shared" si="255"/>
        <v>664.62667782943981</v>
      </c>
      <c r="BB195" s="75">
        <f t="shared" si="255"/>
        <v>55.385556485786658</v>
      </c>
      <c r="BC195" s="75">
        <f t="shared" si="255"/>
        <v>55.385556485786658</v>
      </c>
      <c r="BD195" s="75">
        <f t="shared" si="255"/>
        <v>55.385556485786658</v>
      </c>
      <c r="BE195" s="75">
        <f t="shared" si="255"/>
        <v>55.385556485786658</v>
      </c>
      <c r="BF195" s="75">
        <f t="shared" si="255"/>
        <v>55.385556485786658</v>
      </c>
      <c r="BG195" s="75">
        <f t="shared" si="255"/>
        <v>55.385556485786658</v>
      </c>
      <c r="BH195" s="75">
        <f t="shared" si="255"/>
        <v>55.385556485786658</v>
      </c>
      <c r="BI195" s="75">
        <f t="shared" si="255"/>
        <v>55.385556485786658</v>
      </c>
      <c r="BJ195" s="75">
        <f t="shared" si="255"/>
        <v>55.385556485786658</v>
      </c>
      <c r="BK195" s="75">
        <f t="shared" si="255"/>
        <v>55.385556485786658</v>
      </c>
      <c r="BL195" s="75">
        <f t="shared" si="255"/>
        <v>55.385556485786658</v>
      </c>
      <c r="BM195" s="75">
        <f t="shared" si="255"/>
        <v>55.385556485786658</v>
      </c>
      <c r="BN195" s="75">
        <f t="shared" si="255"/>
        <v>664.62667782943981</v>
      </c>
    </row>
    <row r="196" spans="2:66" hidden="1" x14ac:dyDescent="0.2">
      <c r="B196" t="s">
        <v>42</v>
      </c>
      <c r="C196" t="s">
        <v>49</v>
      </c>
      <c r="G196">
        <f>G166</f>
        <v>0</v>
      </c>
      <c r="H196">
        <f t="shared" ref="H196:BN196" si="256">H166</f>
        <v>0</v>
      </c>
      <c r="I196">
        <f t="shared" si="256"/>
        <v>0</v>
      </c>
      <c r="J196">
        <f t="shared" si="256"/>
        <v>0</v>
      </c>
      <c r="K196">
        <f t="shared" si="256"/>
        <v>0</v>
      </c>
      <c r="L196">
        <f t="shared" si="256"/>
        <v>0</v>
      </c>
      <c r="M196">
        <f t="shared" si="256"/>
        <v>0</v>
      </c>
      <c r="N196">
        <f t="shared" si="256"/>
        <v>0</v>
      </c>
      <c r="O196">
        <f t="shared" si="256"/>
        <v>0</v>
      </c>
      <c r="P196">
        <f t="shared" si="256"/>
        <v>0</v>
      </c>
      <c r="Q196">
        <f t="shared" si="256"/>
        <v>0</v>
      </c>
      <c r="R196">
        <f t="shared" si="256"/>
        <v>0</v>
      </c>
      <c r="S196">
        <f t="shared" si="256"/>
        <v>0</v>
      </c>
      <c r="T196">
        <f t="shared" si="256"/>
        <v>0</v>
      </c>
      <c r="U196">
        <f t="shared" si="256"/>
        <v>0</v>
      </c>
      <c r="V196">
        <f t="shared" si="256"/>
        <v>0</v>
      </c>
      <c r="W196">
        <f t="shared" si="256"/>
        <v>0</v>
      </c>
      <c r="X196">
        <f t="shared" si="256"/>
        <v>0</v>
      </c>
      <c r="Y196">
        <f t="shared" si="256"/>
        <v>0</v>
      </c>
      <c r="Z196">
        <f t="shared" si="256"/>
        <v>0</v>
      </c>
      <c r="AA196">
        <f t="shared" si="256"/>
        <v>0</v>
      </c>
      <c r="AB196">
        <f t="shared" si="256"/>
        <v>0</v>
      </c>
      <c r="AC196">
        <f t="shared" si="256"/>
        <v>0</v>
      </c>
      <c r="AD196">
        <f t="shared" si="256"/>
        <v>0</v>
      </c>
      <c r="AE196">
        <f t="shared" si="256"/>
        <v>0</v>
      </c>
      <c r="AF196">
        <f t="shared" si="256"/>
        <v>0</v>
      </c>
      <c r="AG196">
        <f t="shared" si="256"/>
        <v>0</v>
      </c>
      <c r="AH196">
        <f t="shared" si="256"/>
        <v>0</v>
      </c>
      <c r="AI196">
        <f t="shared" si="256"/>
        <v>0</v>
      </c>
      <c r="AJ196">
        <f t="shared" si="256"/>
        <v>0</v>
      </c>
      <c r="AK196">
        <f t="shared" si="256"/>
        <v>0</v>
      </c>
      <c r="AL196">
        <f t="shared" si="256"/>
        <v>0</v>
      </c>
      <c r="AM196">
        <f t="shared" si="256"/>
        <v>0</v>
      </c>
      <c r="AN196">
        <f t="shared" si="256"/>
        <v>0</v>
      </c>
      <c r="AO196">
        <f t="shared" si="256"/>
        <v>0</v>
      </c>
      <c r="AP196">
        <f t="shared" si="256"/>
        <v>0</v>
      </c>
      <c r="AQ196">
        <f t="shared" si="256"/>
        <v>0</v>
      </c>
      <c r="AR196">
        <f t="shared" si="256"/>
        <v>0</v>
      </c>
      <c r="AS196">
        <f t="shared" si="256"/>
        <v>0</v>
      </c>
      <c r="AT196">
        <f t="shared" si="256"/>
        <v>0</v>
      </c>
      <c r="AU196">
        <f t="shared" si="256"/>
        <v>0</v>
      </c>
      <c r="AV196">
        <f t="shared" si="256"/>
        <v>0</v>
      </c>
      <c r="AW196">
        <f t="shared" si="256"/>
        <v>0</v>
      </c>
      <c r="AX196">
        <f t="shared" si="256"/>
        <v>0</v>
      </c>
      <c r="AY196">
        <f t="shared" si="256"/>
        <v>0</v>
      </c>
      <c r="AZ196">
        <f t="shared" si="256"/>
        <v>0</v>
      </c>
      <c r="BA196">
        <f t="shared" si="256"/>
        <v>0</v>
      </c>
      <c r="BB196">
        <f t="shared" si="256"/>
        <v>0</v>
      </c>
      <c r="BC196">
        <f t="shared" si="256"/>
        <v>0</v>
      </c>
      <c r="BD196">
        <f t="shared" si="256"/>
        <v>0</v>
      </c>
      <c r="BE196">
        <f t="shared" si="256"/>
        <v>0</v>
      </c>
      <c r="BF196">
        <f t="shared" si="256"/>
        <v>0</v>
      </c>
      <c r="BG196">
        <f t="shared" si="256"/>
        <v>0</v>
      </c>
      <c r="BH196">
        <f t="shared" si="256"/>
        <v>0</v>
      </c>
      <c r="BI196">
        <f t="shared" si="256"/>
        <v>0</v>
      </c>
      <c r="BJ196">
        <f t="shared" si="256"/>
        <v>0</v>
      </c>
      <c r="BK196">
        <f t="shared" si="256"/>
        <v>0</v>
      </c>
      <c r="BL196">
        <f t="shared" si="256"/>
        <v>0</v>
      </c>
      <c r="BM196">
        <f t="shared" si="256"/>
        <v>0</v>
      </c>
      <c r="BN196">
        <f t="shared" si="256"/>
        <v>0</v>
      </c>
    </row>
    <row r="197" spans="2:66" hidden="1" x14ac:dyDescent="0.2">
      <c r="B197" t="s">
        <v>43</v>
      </c>
      <c r="C197" t="s">
        <v>35</v>
      </c>
      <c r="G197" s="39">
        <f>G189</f>
        <v>30</v>
      </c>
      <c r="H197" s="39">
        <f t="shared" ref="H197:BN197" si="257">H189</f>
        <v>31</v>
      </c>
      <c r="I197" s="39">
        <f t="shared" si="257"/>
        <v>31</v>
      </c>
      <c r="J197" s="39">
        <f t="shared" si="257"/>
        <v>30</v>
      </c>
      <c r="K197" s="39">
        <f t="shared" si="257"/>
        <v>31</v>
      </c>
      <c r="L197" s="39">
        <f t="shared" si="257"/>
        <v>30</v>
      </c>
      <c r="M197" s="39">
        <f t="shared" si="257"/>
        <v>31</v>
      </c>
      <c r="N197" s="39">
        <f t="shared" si="257"/>
        <v>30.571428571428573</v>
      </c>
      <c r="O197" s="39">
        <f t="shared" si="257"/>
        <v>31</v>
      </c>
      <c r="P197" s="39">
        <f t="shared" si="257"/>
        <v>28</v>
      </c>
      <c r="Q197" s="39">
        <f t="shared" si="257"/>
        <v>31</v>
      </c>
      <c r="R197" s="39">
        <f t="shared" si="257"/>
        <v>30</v>
      </c>
      <c r="S197" s="39">
        <f t="shared" si="257"/>
        <v>31</v>
      </c>
      <c r="T197" s="39">
        <f t="shared" si="257"/>
        <v>30</v>
      </c>
      <c r="U197" s="39">
        <f t="shared" si="257"/>
        <v>31</v>
      </c>
      <c r="V197" s="39">
        <f t="shared" si="257"/>
        <v>31</v>
      </c>
      <c r="W197" s="39">
        <f t="shared" si="257"/>
        <v>30</v>
      </c>
      <c r="X197" s="39">
        <f t="shared" si="257"/>
        <v>31</v>
      </c>
      <c r="Y197" s="39">
        <f t="shared" si="257"/>
        <v>30</v>
      </c>
      <c r="Z197" s="39">
        <f t="shared" si="257"/>
        <v>31</v>
      </c>
      <c r="AA197" s="39">
        <f t="shared" si="257"/>
        <v>30.416666666666668</v>
      </c>
      <c r="AB197" s="39">
        <f t="shared" si="257"/>
        <v>31</v>
      </c>
      <c r="AC197" s="39">
        <f t="shared" si="257"/>
        <v>28</v>
      </c>
      <c r="AD197" s="39">
        <f t="shared" si="257"/>
        <v>31</v>
      </c>
      <c r="AE197" s="39">
        <f t="shared" si="257"/>
        <v>30</v>
      </c>
      <c r="AF197" s="39">
        <f t="shared" si="257"/>
        <v>31</v>
      </c>
      <c r="AG197" s="39">
        <f t="shared" si="257"/>
        <v>30</v>
      </c>
      <c r="AH197" s="39">
        <f t="shared" si="257"/>
        <v>31</v>
      </c>
      <c r="AI197" s="39">
        <f t="shared" si="257"/>
        <v>31</v>
      </c>
      <c r="AJ197" s="39">
        <f t="shared" si="257"/>
        <v>30</v>
      </c>
      <c r="AK197" s="39">
        <f t="shared" si="257"/>
        <v>31</v>
      </c>
      <c r="AL197" s="39">
        <f t="shared" si="257"/>
        <v>30</v>
      </c>
      <c r="AM197" s="39">
        <f t="shared" si="257"/>
        <v>31</v>
      </c>
      <c r="AN197" s="39">
        <f t="shared" si="257"/>
        <v>30.416666666666668</v>
      </c>
      <c r="AO197" s="39">
        <f t="shared" si="257"/>
        <v>31</v>
      </c>
      <c r="AP197" s="39">
        <f t="shared" si="257"/>
        <v>29</v>
      </c>
      <c r="AQ197" s="39">
        <f t="shared" si="257"/>
        <v>31</v>
      </c>
      <c r="AR197" s="39">
        <f t="shared" si="257"/>
        <v>30</v>
      </c>
      <c r="AS197" s="39">
        <f t="shared" si="257"/>
        <v>31</v>
      </c>
      <c r="AT197" s="39">
        <f t="shared" si="257"/>
        <v>30</v>
      </c>
      <c r="AU197" s="39">
        <f t="shared" si="257"/>
        <v>31</v>
      </c>
      <c r="AV197" s="39">
        <f t="shared" si="257"/>
        <v>31</v>
      </c>
      <c r="AW197" s="39">
        <f t="shared" si="257"/>
        <v>30</v>
      </c>
      <c r="AX197" s="39">
        <f t="shared" si="257"/>
        <v>31</v>
      </c>
      <c r="AY197" s="39">
        <f t="shared" si="257"/>
        <v>30</v>
      </c>
      <c r="AZ197" s="39">
        <f t="shared" si="257"/>
        <v>31</v>
      </c>
      <c r="BA197" s="39">
        <f t="shared" si="257"/>
        <v>30.5</v>
      </c>
      <c r="BB197" s="39">
        <f t="shared" si="257"/>
        <v>31</v>
      </c>
      <c r="BC197" s="39">
        <f t="shared" si="257"/>
        <v>28</v>
      </c>
      <c r="BD197" s="39">
        <f t="shared" si="257"/>
        <v>31</v>
      </c>
      <c r="BE197" s="39">
        <f t="shared" si="257"/>
        <v>30</v>
      </c>
      <c r="BF197" s="39">
        <f t="shared" si="257"/>
        <v>31</v>
      </c>
      <c r="BG197" s="39">
        <f t="shared" si="257"/>
        <v>30</v>
      </c>
      <c r="BH197" s="39">
        <f t="shared" si="257"/>
        <v>31</v>
      </c>
      <c r="BI197" s="39">
        <f t="shared" si="257"/>
        <v>31</v>
      </c>
      <c r="BJ197" s="39">
        <f t="shared" si="257"/>
        <v>30</v>
      </c>
      <c r="BK197" s="39">
        <f t="shared" si="257"/>
        <v>31</v>
      </c>
      <c r="BL197" s="39">
        <f t="shared" si="257"/>
        <v>30</v>
      </c>
      <c r="BM197" s="39">
        <f t="shared" si="257"/>
        <v>31</v>
      </c>
      <c r="BN197" s="39">
        <f t="shared" si="257"/>
        <v>30.416666666666668</v>
      </c>
    </row>
    <row r="199" spans="2:66" x14ac:dyDescent="0.2">
      <c r="B199" s="6" t="s">
        <v>89</v>
      </c>
    </row>
    <row r="200" spans="2:66" x14ac:dyDescent="0.2">
      <c r="B200" t="s">
        <v>31</v>
      </c>
      <c r="C200" t="s">
        <v>32</v>
      </c>
      <c r="G200" s="76">
        <f>G194</f>
        <v>1.75</v>
      </c>
      <c r="H200" s="76">
        <f t="shared" ref="H200:BN200" si="258">H194</f>
        <v>1.75</v>
      </c>
      <c r="I200" s="76">
        <f t="shared" si="258"/>
        <v>1.75</v>
      </c>
      <c r="J200" s="76">
        <f t="shared" si="258"/>
        <v>1.75</v>
      </c>
      <c r="K200" s="76">
        <f t="shared" si="258"/>
        <v>1.75</v>
      </c>
      <c r="L200" s="76">
        <f t="shared" si="258"/>
        <v>1.75</v>
      </c>
      <c r="M200" s="76">
        <f t="shared" si="258"/>
        <v>1.75</v>
      </c>
      <c r="N200" s="76">
        <f t="shared" si="258"/>
        <v>1.75</v>
      </c>
      <c r="O200" s="76">
        <f>O194</f>
        <v>1.75</v>
      </c>
      <c r="P200" s="76">
        <f t="shared" si="258"/>
        <v>1.75</v>
      </c>
      <c r="Q200" s="76">
        <f t="shared" si="258"/>
        <v>1.7867499999999998</v>
      </c>
      <c r="R200" s="76">
        <f t="shared" si="258"/>
        <v>1.7867499999999998</v>
      </c>
      <c r="S200" s="76">
        <f t="shared" si="258"/>
        <v>1.7867499999999998</v>
      </c>
      <c r="T200" s="76">
        <f t="shared" si="258"/>
        <v>1.7867499999999998</v>
      </c>
      <c r="U200" s="76">
        <f t="shared" si="258"/>
        <v>1.7867499999999998</v>
      </c>
      <c r="V200" s="76">
        <f t="shared" si="258"/>
        <v>1.7867499999999998</v>
      </c>
      <c r="W200" s="76">
        <f t="shared" si="258"/>
        <v>1.7867499999999998</v>
      </c>
      <c r="X200" s="76">
        <f t="shared" si="258"/>
        <v>1.7867499999999998</v>
      </c>
      <c r="Y200" s="76">
        <f t="shared" si="258"/>
        <v>1.7867499999999998</v>
      </c>
      <c r="Z200" s="76">
        <f t="shared" si="258"/>
        <v>1.7867499999999998</v>
      </c>
      <c r="AA200" s="76">
        <f t="shared" si="258"/>
        <v>1.7867499999999998</v>
      </c>
      <c r="AB200" s="76">
        <f t="shared" si="258"/>
        <v>1.8224849999999999</v>
      </c>
      <c r="AC200" s="76">
        <f t="shared" si="258"/>
        <v>1.8224849999999999</v>
      </c>
      <c r="AD200" s="76">
        <f t="shared" si="258"/>
        <v>1.8224849999999999</v>
      </c>
      <c r="AE200" s="76">
        <f t="shared" si="258"/>
        <v>1.8224849999999999</v>
      </c>
      <c r="AF200" s="76">
        <f t="shared" si="258"/>
        <v>1.8224849999999999</v>
      </c>
      <c r="AG200" s="76">
        <f t="shared" si="258"/>
        <v>1.8224849999999999</v>
      </c>
      <c r="AH200" s="76">
        <f t="shared" si="258"/>
        <v>1.8224849999999999</v>
      </c>
      <c r="AI200" s="76">
        <f t="shared" si="258"/>
        <v>1.8224849999999999</v>
      </c>
      <c r="AJ200" s="76">
        <f t="shared" si="258"/>
        <v>1.8224849999999999</v>
      </c>
      <c r="AK200" s="76">
        <f t="shared" si="258"/>
        <v>1.8224849999999999</v>
      </c>
      <c r="AL200" s="76">
        <f t="shared" si="258"/>
        <v>1.8224849999999999</v>
      </c>
      <c r="AM200" s="76">
        <f t="shared" si="258"/>
        <v>1.8224849999999999</v>
      </c>
      <c r="AN200" s="76">
        <f t="shared" si="258"/>
        <v>1.8224849999999999</v>
      </c>
      <c r="AO200" s="76">
        <f t="shared" si="258"/>
        <v>1.8589347000000001</v>
      </c>
      <c r="AP200" s="76">
        <f t="shared" si="258"/>
        <v>1.8589347000000001</v>
      </c>
      <c r="AQ200" s="76">
        <f t="shared" si="258"/>
        <v>1.8589347000000001</v>
      </c>
      <c r="AR200" s="76">
        <f t="shared" si="258"/>
        <v>1.8589347000000001</v>
      </c>
      <c r="AS200" s="76">
        <f t="shared" si="258"/>
        <v>1.8589347000000001</v>
      </c>
      <c r="AT200" s="76">
        <f t="shared" si="258"/>
        <v>1.8589347000000001</v>
      </c>
      <c r="AU200" s="76">
        <f t="shared" si="258"/>
        <v>1.8589347000000001</v>
      </c>
      <c r="AV200" s="76">
        <f t="shared" si="258"/>
        <v>1.8589347000000001</v>
      </c>
      <c r="AW200" s="76">
        <f t="shared" si="258"/>
        <v>1.8589347000000001</v>
      </c>
      <c r="AX200" s="76">
        <f t="shared" si="258"/>
        <v>1.8589347000000001</v>
      </c>
      <c r="AY200" s="76">
        <f t="shared" si="258"/>
        <v>1.8589347000000001</v>
      </c>
      <c r="AZ200" s="76">
        <f t="shared" si="258"/>
        <v>1.8589347000000001</v>
      </c>
      <c r="BA200" s="76">
        <f t="shared" si="258"/>
        <v>1.8589347000000001</v>
      </c>
      <c r="BB200" s="76">
        <f t="shared" si="258"/>
        <v>1.8961133940000001</v>
      </c>
      <c r="BC200" s="76">
        <f t="shared" si="258"/>
        <v>1.8961133940000001</v>
      </c>
      <c r="BD200" s="76">
        <f t="shared" si="258"/>
        <v>1.8961133940000001</v>
      </c>
      <c r="BE200" s="76">
        <f t="shared" si="258"/>
        <v>1.8961133940000001</v>
      </c>
      <c r="BF200" s="76">
        <f t="shared" si="258"/>
        <v>1.8961133940000001</v>
      </c>
      <c r="BG200" s="76">
        <f t="shared" si="258"/>
        <v>1.8961133940000001</v>
      </c>
      <c r="BH200" s="76">
        <f t="shared" si="258"/>
        <v>1.8961133940000001</v>
      </c>
      <c r="BI200" s="76">
        <f t="shared" si="258"/>
        <v>1.8961133940000001</v>
      </c>
      <c r="BJ200" s="76">
        <f t="shared" si="258"/>
        <v>1.8961133940000001</v>
      </c>
      <c r="BK200" s="76">
        <f t="shared" si="258"/>
        <v>1.8961133940000001</v>
      </c>
      <c r="BL200" s="76">
        <f t="shared" si="258"/>
        <v>1.8961133940000001</v>
      </c>
      <c r="BM200" s="76">
        <f t="shared" si="258"/>
        <v>1.8961133940000001</v>
      </c>
      <c r="BN200" s="76">
        <f t="shared" si="258"/>
        <v>1.8961133940000001</v>
      </c>
    </row>
    <row r="201" spans="2:66" x14ac:dyDescent="0.2">
      <c r="B201" t="s">
        <v>23</v>
      </c>
      <c r="C201" t="s">
        <v>28</v>
      </c>
      <c r="G201" s="75">
        <f>G172</f>
        <v>11</v>
      </c>
      <c r="H201" s="75">
        <f t="shared" ref="H201:BN201" si="259">H172</f>
        <v>11</v>
      </c>
      <c r="I201" s="75">
        <f t="shared" si="259"/>
        <v>11</v>
      </c>
      <c r="J201" s="75">
        <f t="shared" si="259"/>
        <v>10.906666666666666</v>
      </c>
      <c r="K201" s="75">
        <f t="shared" si="259"/>
        <v>16.733333333333334</v>
      </c>
      <c r="L201" s="75">
        <f t="shared" si="259"/>
        <v>22.546666666666667</v>
      </c>
      <c r="M201" s="75">
        <f t="shared" si="259"/>
        <v>28.373333333333335</v>
      </c>
      <c r="N201" s="75">
        <f t="shared" si="259"/>
        <v>78.56</v>
      </c>
      <c r="O201" s="75">
        <f t="shared" si="259"/>
        <v>34.186666666666667</v>
      </c>
      <c r="P201" s="75">
        <f t="shared" si="259"/>
        <v>40</v>
      </c>
      <c r="Q201" s="75">
        <f t="shared" si="259"/>
        <v>40</v>
      </c>
      <c r="R201" s="75">
        <f t="shared" si="259"/>
        <v>40</v>
      </c>
      <c r="S201" s="75">
        <f t="shared" si="259"/>
        <v>40</v>
      </c>
      <c r="T201" s="75">
        <f t="shared" si="259"/>
        <v>40</v>
      </c>
      <c r="U201" s="75">
        <f t="shared" si="259"/>
        <v>40</v>
      </c>
      <c r="V201" s="75">
        <f t="shared" si="259"/>
        <v>40</v>
      </c>
      <c r="W201" s="75">
        <f t="shared" si="259"/>
        <v>40</v>
      </c>
      <c r="X201" s="75">
        <f t="shared" si="259"/>
        <v>40</v>
      </c>
      <c r="Y201" s="75">
        <f t="shared" si="259"/>
        <v>40</v>
      </c>
      <c r="Z201" s="75">
        <f t="shared" si="259"/>
        <v>40</v>
      </c>
      <c r="AA201" s="75">
        <f t="shared" si="259"/>
        <v>474.18666666666667</v>
      </c>
      <c r="AB201" s="75">
        <f t="shared" si="259"/>
        <v>40</v>
      </c>
      <c r="AC201" s="75">
        <f t="shared" si="259"/>
        <v>40</v>
      </c>
      <c r="AD201" s="75">
        <f t="shared" si="259"/>
        <v>42.106666666666669</v>
      </c>
      <c r="AE201" s="75">
        <f t="shared" si="259"/>
        <v>44.213333333333331</v>
      </c>
      <c r="AF201" s="75">
        <f t="shared" si="259"/>
        <v>46.32</v>
      </c>
      <c r="AG201" s="75">
        <f t="shared" si="259"/>
        <v>48.426666666666669</v>
      </c>
      <c r="AH201" s="75">
        <f t="shared" si="259"/>
        <v>50.533333333333331</v>
      </c>
      <c r="AI201" s="75">
        <f t="shared" si="259"/>
        <v>52.626666666666665</v>
      </c>
      <c r="AJ201" s="75">
        <f t="shared" si="259"/>
        <v>54.733333333333334</v>
      </c>
      <c r="AK201" s="75">
        <f t="shared" si="259"/>
        <v>56.84</v>
      </c>
      <c r="AL201" s="75">
        <f t="shared" si="259"/>
        <v>58.93333333333333</v>
      </c>
      <c r="AM201" s="75">
        <f t="shared" si="259"/>
        <v>61.04</v>
      </c>
      <c r="AN201" s="75">
        <f t="shared" si="259"/>
        <v>595.77333333333331</v>
      </c>
      <c r="AO201" s="75">
        <f t="shared" si="259"/>
        <v>63.146666666666668</v>
      </c>
      <c r="AP201" s="75">
        <f t="shared" si="259"/>
        <v>65.25333333333333</v>
      </c>
      <c r="AQ201" s="75">
        <f t="shared" si="259"/>
        <v>67.36</v>
      </c>
      <c r="AR201" s="75">
        <f t="shared" si="259"/>
        <v>69.466666666666669</v>
      </c>
      <c r="AS201" s="75">
        <f t="shared" si="259"/>
        <v>71.573333333333338</v>
      </c>
      <c r="AT201" s="75">
        <f t="shared" si="259"/>
        <v>73.680000000000007</v>
      </c>
      <c r="AU201" s="75">
        <f t="shared" si="259"/>
        <v>75.773333333333326</v>
      </c>
      <c r="AV201" s="75">
        <f t="shared" si="259"/>
        <v>79.999998883722668</v>
      </c>
      <c r="AW201" s="75">
        <f t="shared" si="259"/>
        <v>79.999998883722668</v>
      </c>
      <c r="AX201" s="75">
        <f t="shared" si="259"/>
        <v>79.999998883722668</v>
      </c>
      <c r="AY201" s="75">
        <f t="shared" si="259"/>
        <v>79.999998883722668</v>
      </c>
      <c r="AZ201" s="75">
        <f t="shared" si="259"/>
        <v>79.999998883722668</v>
      </c>
      <c r="BA201" s="75">
        <f t="shared" si="259"/>
        <v>886.25332775194659</v>
      </c>
      <c r="BB201" s="75">
        <f t="shared" si="259"/>
        <v>73.854443979328892</v>
      </c>
      <c r="BC201" s="75">
        <f t="shared" si="259"/>
        <v>73.854443979328892</v>
      </c>
      <c r="BD201" s="75">
        <f t="shared" si="259"/>
        <v>73.854443979328892</v>
      </c>
      <c r="BE201" s="75">
        <f t="shared" si="259"/>
        <v>73.854443979328892</v>
      </c>
      <c r="BF201" s="75">
        <f t="shared" si="259"/>
        <v>73.854443979328892</v>
      </c>
      <c r="BG201" s="75">
        <f t="shared" si="259"/>
        <v>73.854443979328892</v>
      </c>
      <c r="BH201" s="75">
        <f t="shared" si="259"/>
        <v>73.854443979328892</v>
      </c>
      <c r="BI201" s="75">
        <f t="shared" si="259"/>
        <v>73.854443979328892</v>
      </c>
      <c r="BJ201" s="75">
        <f t="shared" si="259"/>
        <v>73.854443979328892</v>
      </c>
      <c r="BK201" s="75">
        <f t="shared" si="259"/>
        <v>73.854443979328892</v>
      </c>
      <c r="BL201" s="75">
        <f t="shared" si="259"/>
        <v>73.854443979328892</v>
      </c>
      <c r="BM201" s="75">
        <f t="shared" si="259"/>
        <v>73.854443979328892</v>
      </c>
      <c r="BN201" s="75">
        <f t="shared" si="259"/>
        <v>886.25332775194659</v>
      </c>
    </row>
    <row r="202" spans="2:66" hidden="1" x14ac:dyDescent="0.2">
      <c r="B202" t="s">
        <v>42</v>
      </c>
      <c r="C202" t="s">
        <v>49</v>
      </c>
      <c r="G202">
        <f>G173</f>
        <v>30</v>
      </c>
      <c r="H202">
        <f t="shared" ref="H202:BN202" si="260">H173</f>
        <v>31</v>
      </c>
      <c r="I202">
        <f t="shared" si="260"/>
        <v>31</v>
      </c>
      <c r="J202">
        <f t="shared" si="260"/>
        <v>30</v>
      </c>
      <c r="K202">
        <f t="shared" si="260"/>
        <v>31</v>
      </c>
      <c r="L202">
        <f t="shared" si="260"/>
        <v>30</v>
      </c>
      <c r="M202">
        <f t="shared" si="260"/>
        <v>31</v>
      </c>
      <c r="N202">
        <f t="shared" si="260"/>
        <v>30.571428571428573</v>
      </c>
      <c r="O202">
        <f t="shared" si="260"/>
        <v>31</v>
      </c>
      <c r="P202">
        <f t="shared" si="260"/>
        <v>28</v>
      </c>
      <c r="Q202">
        <f t="shared" si="260"/>
        <v>31</v>
      </c>
      <c r="R202">
        <f t="shared" si="260"/>
        <v>30</v>
      </c>
      <c r="S202">
        <f t="shared" si="260"/>
        <v>31</v>
      </c>
      <c r="T202">
        <f t="shared" si="260"/>
        <v>30</v>
      </c>
      <c r="U202">
        <f t="shared" si="260"/>
        <v>31</v>
      </c>
      <c r="V202">
        <f t="shared" si="260"/>
        <v>31</v>
      </c>
      <c r="W202">
        <f t="shared" si="260"/>
        <v>30</v>
      </c>
      <c r="X202">
        <f t="shared" si="260"/>
        <v>31</v>
      </c>
      <c r="Y202">
        <f t="shared" si="260"/>
        <v>30</v>
      </c>
      <c r="Z202">
        <f t="shared" si="260"/>
        <v>31</v>
      </c>
      <c r="AA202">
        <f t="shared" si="260"/>
        <v>30.416666666666668</v>
      </c>
      <c r="AB202">
        <f t="shared" si="260"/>
        <v>31</v>
      </c>
      <c r="AC202">
        <f t="shared" si="260"/>
        <v>28</v>
      </c>
      <c r="AD202">
        <f t="shared" si="260"/>
        <v>31</v>
      </c>
      <c r="AE202">
        <f t="shared" si="260"/>
        <v>30</v>
      </c>
      <c r="AF202">
        <f t="shared" si="260"/>
        <v>31</v>
      </c>
      <c r="AG202">
        <f t="shared" si="260"/>
        <v>30</v>
      </c>
      <c r="AH202">
        <f t="shared" si="260"/>
        <v>31</v>
      </c>
      <c r="AI202">
        <f t="shared" si="260"/>
        <v>31</v>
      </c>
      <c r="AJ202">
        <f t="shared" si="260"/>
        <v>30</v>
      </c>
      <c r="AK202">
        <f t="shared" si="260"/>
        <v>31</v>
      </c>
      <c r="AL202">
        <f t="shared" si="260"/>
        <v>30</v>
      </c>
      <c r="AM202">
        <f t="shared" si="260"/>
        <v>31</v>
      </c>
      <c r="AN202">
        <f t="shared" si="260"/>
        <v>30.416666666666668</v>
      </c>
      <c r="AO202">
        <f t="shared" si="260"/>
        <v>31</v>
      </c>
      <c r="AP202">
        <f t="shared" si="260"/>
        <v>29</v>
      </c>
      <c r="AQ202">
        <f t="shared" si="260"/>
        <v>31</v>
      </c>
      <c r="AR202">
        <f t="shared" si="260"/>
        <v>30</v>
      </c>
      <c r="AS202">
        <f t="shared" si="260"/>
        <v>31</v>
      </c>
      <c r="AT202">
        <f t="shared" si="260"/>
        <v>30</v>
      </c>
      <c r="AU202">
        <f t="shared" si="260"/>
        <v>31</v>
      </c>
      <c r="AV202">
        <f t="shared" si="260"/>
        <v>31</v>
      </c>
      <c r="AW202">
        <f t="shared" si="260"/>
        <v>30</v>
      </c>
      <c r="AX202">
        <f t="shared" si="260"/>
        <v>31</v>
      </c>
      <c r="AY202">
        <f t="shared" si="260"/>
        <v>30</v>
      </c>
      <c r="AZ202">
        <f t="shared" si="260"/>
        <v>31</v>
      </c>
      <c r="BA202">
        <f t="shared" si="260"/>
        <v>30.5</v>
      </c>
      <c r="BB202">
        <f t="shared" si="260"/>
        <v>31</v>
      </c>
      <c r="BC202">
        <f t="shared" si="260"/>
        <v>28</v>
      </c>
      <c r="BD202">
        <f t="shared" si="260"/>
        <v>31</v>
      </c>
      <c r="BE202">
        <f t="shared" si="260"/>
        <v>30</v>
      </c>
      <c r="BF202">
        <f t="shared" si="260"/>
        <v>31</v>
      </c>
      <c r="BG202">
        <f t="shared" si="260"/>
        <v>30</v>
      </c>
      <c r="BH202">
        <f t="shared" si="260"/>
        <v>31</v>
      </c>
      <c r="BI202">
        <f t="shared" si="260"/>
        <v>31</v>
      </c>
      <c r="BJ202">
        <f t="shared" si="260"/>
        <v>30</v>
      </c>
      <c r="BK202">
        <f t="shared" si="260"/>
        <v>31</v>
      </c>
      <c r="BL202">
        <f t="shared" si="260"/>
        <v>30</v>
      </c>
      <c r="BM202">
        <f t="shared" si="260"/>
        <v>31</v>
      </c>
      <c r="BN202" s="40">
        <f t="shared" si="260"/>
        <v>30.416666666666668</v>
      </c>
    </row>
    <row r="203" spans="2:66" hidden="1" x14ac:dyDescent="0.2">
      <c r="B203" t="s">
        <v>43</v>
      </c>
      <c r="C203" t="s">
        <v>35</v>
      </c>
      <c r="G203" s="39">
        <f>G196</f>
        <v>0</v>
      </c>
      <c r="H203" s="39">
        <f t="shared" ref="H203:BN203" si="261">H196</f>
        <v>0</v>
      </c>
      <c r="I203" s="39">
        <f t="shared" si="261"/>
        <v>0</v>
      </c>
      <c r="J203" s="39">
        <f t="shared" si="261"/>
        <v>0</v>
      </c>
      <c r="K203" s="39">
        <f t="shared" si="261"/>
        <v>0</v>
      </c>
      <c r="L203" s="39">
        <f t="shared" si="261"/>
        <v>0</v>
      </c>
      <c r="M203" s="39">
        <f t="shared" si="261"/>
        <v>0</v>
      </c>
      <c r="N203" s="39">
        <f t="shared" si="261"/>
        <v>0</v>
      </c>
      <c r="O203" s="39">
        <f t="shared" si="261"/>
        <v>0</v>
      </c>
      <c r="P203" s="39">
        <f t="shared" si="261"/>
        <v>0</v>
      </c>
      <c r="Q203" s="39">
        <f t="shared" si="261"/>
        <v>0</v>
      </c>
      <c r="R203" s="39">
        <f t="shared" si="261"/>
        <v>0</v>
      </c>
      <c r="S203" s="39">
        <f t="shared" si="261"/>
        <v>0</v>
      </c>
      <c r="T203" s="39">
        <f t="shared" si="261"/>
        <v>0</v>
      </c>
      <c r="U203" s="39">
        <f t="shared" si="261"/>
        <v>0</v>
      </c>
      <c r="V203" s="39">
        <f t="shared" si="261"/>
        <v>0</v>
      </c>
      <c r="W203" s="39">
        <f t="shared" si="261"/>
        <v>0</v>
      </c>
      <c r="X203" s="39">
        <f t="shared" si="261"/>
        <v>0</v>
      </c>
      <c r="Y203" s="39">
        <f t="shared" si="261"/>
        <v>0</v>
      </c>
      <c r="Z203" s="39">
        <f t="shared" si="261"/>
        <v>0</v>
      </c>
      <c r="AA203" s="39">
        <f t="shared" si="261"/>
        <v>0</v>
      </c>
      <c r="AB203" s="39">
        <f t="shared" si="261"/>
        <v>0</v>
      </c>
      <c r="AC203" s="39">
        <f t="shared" si="261"/>
        <v>0</v>
      </c>
      <c r="AD203" s="39">
        <f t="shared" si="261"/>
        <v>0</v>
      </c>
      <c r="AE203" s="39">
        <f t="shared" si="261"/>
        <v>0</v>
      </c>
      <c r="AF203" s="39">
        <f t="shared" si="261"/>
        <v>0</v>
      </c>
      <c r="AG203" s="39">
        <f t="shared" si="261"/>
        <v>0</v>
      </c>
      <c r="AH203" s="39">
        <f t="shared" si="261"/>
        <v>0</v>
      </c>
      <c r="AI203" s="39">
        <f t="shared" si="261"/>
        <v>0</v>
      </c>
      <c r="AJ203" s="39">
        <f t="shared" si="261"/>
        <v>0</v>
      </c>
      <c r="AK203" s="39">
        <f t="shared" si="261"/>
        <v>0</v>
      </c>
      <c r="AL203" s="39">
        <f t="shared" si="261"/>
        <v>0</v>
      </c>
      <c r="AM203" s="39">
        <f t="shared" si="261"/>
        <v>0</v>
      </c>
      <c r="AN203" s="39">
        <f t="shared" si="261"/>
        <v>0</v>
      </c>
      <c r="AO203" s="39">
        <f t="shared" si="261"/>
        <v>0</v>
      </c>
      <c r="AP203" s="39">
        <f t="shared" si="261"/>
        <v>0</v>
      </c>
      <c r="AQ203" s="39">
        <f t="shared" si="261"/>
        <v>0</v>
      </c>
      <c r="AR203" s="39">
        <f t="shared" si="261"/>
        <v>0</v>
      </c>
      <c r="AS203" s="39">
        <f t="shared" si="261"/>
        <v>0</v>
      </c>
      <c r="AT203" s="39">
        <f t="shared" si="261"/>
        <v>0</v>
      </c>
      <c r="AU203" s="39">
        <f t="shared" si="261"/>
        <v>0</v>
      </c>
      <c r="AV203" s="39">
        <f t="shared" si="261"/>
        <v>0</v>
      </c>
      <c r="AW203" s="39">
        <f t="shared" si="261"/>
        <v>0</v>
      </c>
      <c r="AX203" s="39">
        <f t="shared" si="261"/>
        <v>0</v>
      </c>
      <c r="AY203" s="39">
        <f t="shared" si="261"/>
        <v>0</v>
      </c>
      <c r="AZ203" s="39">
        <f t="shared" si="261"/>
        <v>0</v>
      </c>
      <c r="BA203" s="39">
        <f t="shared" si="261"/>
        <v>0</v>
      </c>
      <c r="BB203" s="39">
        <f t="shared" si="261"/>
        <v>0</v>
      </c>
      <c r="BC203" s="39">
        <f t="shared" si="261"/>
        <v>0</v>
      </c>
      <c r="BD203" s="39">
        <f t="shared" si="261"/>
        <v>0</v>
      </c>
      <c r="BE203" s="39">
        <f t="shared" si="261"/>
        <v>0</v>
      </c>
      <c r="BF203" s="39">
        <f t="shared" si="261"/>
        <v>0</v>
      </c>
      <c r="BG203" s="39">
        <f t="shared" si="261"/>
        <v>0</v>
      </c>
      <c r="BH203" s="39">
        <f t="shared" si="261"/>
        <v>0</v>
      </c>
      <c r="BI203" s="39">
        <f t="shared" si="261"/>
        <v>0</v>
      </c>
      <c r="BJ203" s="39">
        <f t="shared" si="261"/>
        <v>0</v>
      </c>
      <c r="BK203" s="39">
        <f t="shared" si="261"/>
        <v>0</v>
      </c>
      <c r="BL203" s="39">
        <f t="shared" si="261"/>
        <v>0</v>
      </c>
      <c r="BM203" s="39">
        <f t="shared" si="261"/>
        <v>0</v>
      </c>
      <c r="BN203" s="39">
        <f t="shared" si="261"/>
        <v>0</v>
      </c>
    </row>
    <row r="205" spans="2:66" x14ac:dyDescent="0.2">
      <c r="B205" s="6" t="s">
        <v>90</v>
      </c>
    </row>
    <row r="206" spans="2:66" x14ac:dyDescent="0.2">
      <c r="B206" t="s">
        <v>31</v>
      </c>
      <c r="C206" t="s">
        <v>32</v>
      </c>
      <c r="G206" s="76">
        <f>G200</f>
        <v>1.75</v>
      </c>
      <c r="H206" s="76">
        <f t="shared" ref="H206:BN206" si="262">H200</f>
        <v>1.75</v>
      </c>
      <c r="I206" s="76">
        <f t="shared" si="262"/>
        <v>1.75</v>
      </c>
      <c r="J206" s="76">
        <f t="shared" si="262"/>
        <v>1.75</v>
      </c>
      <c r="K206" s="76">
        <f t="shared" si="262"/>
        <v>1.75</v>
      </c>
      <c r="L206" s="76">
        <f t="shared" si="262"/>
        <v>1.75</v>
      </c>
      <c r="M206" s="76">
        <f t="shared" si="262"/>
        <v>1.75</v>
      </c>
      <c r="N206" s="76">
        <f t="shared" si="262"/>
        <v>1.75</v>
      </c>
      <c r="O206" s="76">
        <f t="shared" si="262"/>
        <v>1.75</v>
      </c>
      <c r="P206" s="76">
        <f>P200</f>
        <v>1.75</v>
      </c>
      <c r="Q206" s="76">
        <f t="shared" si="262"/>
        <v>1.7867499999999998</v>
      </c>
      <c r="R206" s="76">
        <f t="shared" si="262"/>
        <v>1.7867499999999998</v>
      </c>
      <c r="S206" s="76">
        <f t="shared" si="262"/>
        <v>1.7867499999999998</v>
      </c>
      <c r="T206" s="76">
        <f t="shared" si="262"/>
        <v>1.7867499999999998</v>
      </c>
      <c r="U206" s="76">
        <f t="shared" si="262"/>
        <v>1.7867499999999998</v>
      </c>
      <c r="V206" s="76">
        <f t="shared" si="262"/>
        <v>1.7867499999999998</v>
      </c>
      <c r="W206" s="76">
        <f t="shared" si="262"/>
        <v>1.7867499999999998</v>
      </c>
      <c r="X206" s="76">
        <f t="shared" si="262"/>
        <v>1.7867499999999998</v>
      </c>
      <c r="Y206" s="76">
        <f t="shared" si="262"/>
        <v>1.7867499999999998</v>
      </c>
      <c r="Z206" s="76">
        <f t="shared" si="262"/>
        <v>1.7867499999999998</v>
      </c>
      <c r="AA206" s="76">
        <f t="shared" si="262"/>
        <v>1.7867499999999998</v>
      </c>
      <c r="AB206" s="76">
        <f t="shared" si="262"/>
        <v>1.8224849999999999</v>
      </c>
      <c r="AC206" s="76">
        <f t="shared" si="262"/>
        <v>1.8224849999999999</v>
      </c>
      <c r="AD206" s="76">
        <f t="shared" si="262"/>
        <v>1.8224849999999999</v>
      </c>
      <c r="AE206" s="76">
        <f t="shared" si="262"/>
        <v>1.8224849999999999</v>
      </c>
      <c r="AF206" s="76">
        <f t="shared" si="262"/>
        <v>1.8224849999999999</v>
      </c>
      <c r="AG206" s="76">
        <f t="shared" si="262"/>
        <v>1.8224849999999999</v>
      </c>
      <c r="AH206" s="76">
        <f t="shared" si="262"/>
        <v>1.8224849999999999</v>
      </c>
      <c r="AI206" s="76">
        <f t="shared" si="262"/>
        <v>1.8224849999999999</v>
      </c>
      <c r="AJ206" s="76">
        <f t="shared" si="262"/>
        <v>1.8224849999999999</v>
      </c>
      <c r="AK206" s="76">
        <f t="shared" si="262"/>
        <v>1.8224849999999999</v>
      </c>
      <c r="AL206" s="76">
        <f t="shared" si="262"/>
        <v>1.8224849999999999</v>
      </c>
      <c r="AM206" s="76">
        <f t="shared" si="262"/>
        <v>1.8224849999999999</v>
      </c>
      <c r="AN206" s="76">
        <f t="shared" si="262"/>
        <v>1.8224849999999999</v>
      </c>
      <c r="AO206" s="76">
        <f t="shared" si="262"/>
        <v>1.8589347000000001</v>
      </c>
      <c r="AP206" s="76">
        <f t="shared" si="262"/>
        <v>1.8589347000000001</v>
      </c>
      <c r="AQ206" s="76">
        <f t="shared" si="262"/>
        <v>1.8589347000000001</v>
      </c>
      <c r="AR206" s="76">
        <f t="shared" si="262"/>
        <v>1.8589347000000001</v>
      </c>
      <c r="AS206" s="76">
        <f t="shared" si="262"/>
        <v>1.8589347000000001</v>
      </c>
      <c r="AT206" s="76">
        <f t="shared" si="262"/>
        <v>1.8589347000000001</v>
      </c>
      <c r="AU206" s="76">
        <f t="shared" si="262"/>
        <v>1.8589347000000001</v>
      </c>
      <c r="AV206" s="76">
        <f t="shared" si="262"/>
        <v>1.8589347000000001</v>
      </c>
      <c r="AW206" s="76">
        <f t="shared" si="262"/>
        <v>1.8589347000000001</v>
      </c>
      <c r="AX206" s="76">
        <f t="shared" si="262"/>
        <v>1.8589347000000001</v>
      </c>
      <c r="AY206" s="76">
        <f t="shared" si="262"/>
        <v>1.8589347000000001</v>
      </c>
      <c r="AZ206" s="76">
        <f t="shared" si="262"/>
        <v>1.8589347000000001</v>
      </c>
      <c r="BA206" s="76">
        <f t="shared" si="262"/>
        <v>1.8589347000000001</v>
      </c>
      <c r="BB206" s="76">
        <f t="shared" si="262"/>
        <v>1.8961133940000001</v>
      </c>
      <c r="BC206" s="76">
        <f t="shared" si="262"/>
        <v>1.8961133940000001</v>
      </c>
      <c r="BD206" s="76">
        <f t="shared" si="262"/>
        <v>1.8961133940000001</v>
      </c>
      <c r="BE206" s="76">
        <f t="shared" si="262"/>
        <v>1.8961133940000001</v>
      </c>
      <c r="BF206" s="76">
        <f t="shared" si="262"/>
        <v>1.8961133940000001</v>
      </c>
      <c r="BG206" s="76">
        <f t="shared" si="262"/>
        <v>1.8961133940000001</v>
      </c>
      <c r="BH206" s="76">
        <f t="shared" si="262"/>
        <v>1.8961133940000001</v>
      </c>
      <c r="BI206" s="76">
        <f t="shared" si="262"/>
        <v>1.8961133940000001</v>
      </c>
      <c r="BJ206" s="76">
        <f t="shared" si="262"/>
        <v>1.8961133940000001</v>
      </c>
      <c r="BK206" s="76">
        <f t="shared" si="262"/>
        <v>1.8961133940000001</v>
      </c>
      <c r="BL206" s="76">
        <f t="shared" si="262"/>
        <v>1.8961133940000001</v>
      </c>
      <c r="BM206" s="76">
        <f t="shared" si="262"/>
        <v>1.8961133940000001</v>
      </c>
      <c r="BN206" s="76">
        <f t="shared" si="262"/>
        <v>1.8961133940000001</v>
      </c>
    </row>
    <row r="207" spans="2:66" x14ac:dyDescent="0.2">
      <c r="B207" t="s">
        <v>23</v>
      </c>
      <c r="C207" t="s">
        <v>28</v>
      </c>
      <c r="G207" s="75">
        <f>G180</f>
        <v>6</v>
      </c>
      <c r="H207" s="75">
        <f t="shared" ref="H207:BN207" si="263">H180</f>
        <v>6</v>
      </c>
      <c r="I207" s="75">
        <f t="shared" si="263"/>
        <v>6</v>
      </c>
      <c r="J207" s="75">
        <f t="shared" si="263"/>
        <v>5.4533333333333331</v>
      </c>
      <c r="K207" s="75">
        <f t="shared" si="263"/>
        <v>8.36</v>
      </c>
      <c r="L207" s="75">
        <f t="shared" si="263"/>
        <v>11.266666666666667</v>
      </c>
      <c r="M207" s="75">
        <f t="shared" si="263"/>
        <v>14.173333333333334</v>
      </c>
      <c r="N207" s="75">
        <f t="shared" si="263"/>
        <v>39.25333333333333</v>
      </c>
      <c r="O207" s="75">
        <f t="shared" si="263"/>
        <v>17.093333333333334</v>
      </c>
      <c r="P207" s="75">
        <f t="shared" si="263"/>
        <v>20</v>
      </c>
      <c r="Q207" s="75">
        <f t="shared" si="263"/>
        <v>20</v>
      </c>
      <c r="R207" s="75">
        <f t="shared" si="263"/>
        <v>20</v>
      </c>
      <c r="S207" s="75">
        <f t="shared" si="263"/>
        <v>20</v>
      </c>
      <c r="T207" s="75">
        <f t="shared" si="263"/>
        <v>20</v>
      </c>
      <c r="U207" s="75">
        <f t="shared" si="263"/>
        <v>20</v>
      </c>
      <c r="V207" s="75">
        <f t="shared" si="263"/>
        <v>20</v>
      </c>
      <c r="W207" s="75">
        <f t="shared" si="263"/>
        <v>20</v>
      </c>
      <c r="X207" s="75">
        <f t="shared" si="263"/>
        <v>20</v>
      </c>
      <c r="Y207" s="75">
        <f t="shared" si="263"/>
        <v>20</v>
      </c>
      <c r="Z207" s="75">
        <f t="shared" si="263"/>
        <v>20</v>
      </c>
      <c r="AA207" s="75">
        <f t="shared" si="263"/>
        <v>237.09333333333333</v>
      </c>
      <c r="AB207" s="75">
        <f t="shared" si="263"/>
        <v>20</v>
      </c>
      <c r="AC207" s="75">
        <f t="shared" si="263"/>
        <v>20</v>
      </c>
      <c r="AD207" s="75">
        <f t="shared" si="263"/>
        <v>21.053333333333335</v>
      </c>
      <c r="AE207" s="75">
        <f t="shared" si="263"/>
        <v>22.106666666666666</v>
      </c>
      <c r="AF207" s="75">
        <f t="shared" si="263"/>
        <v>23.16</v>
      </c>
      <c r="AG207" s="75">
        <f t="shared" si="263"/>
        <v>24.213333333333335</v>
      </c>
      <c r="AH207" s="75">
        <f t="shared" si="263"/>
        <v>25.266666666666666</v>
      </c>
      <c r="AI207" s="75">
        <f t="shared" si="263"/>
        <v>26.32</v>
      </c>
      <c r="AJ207" s="75">
        <f t="shared" si="263"/>
        <v>27.373333333333335</v>
      </c>
      <c r="AK207" s="75">
        <f t="shared" si="263"/>
        <v>28.426666666666666</v>
      </c>
      <c r="AL207" s="75">
        <f t="shared" si="263"/>
        <v>29.466666666666665</v>
      </c>
      <c r="AM207" s="75">
        <f t="shared" si="263"/>
        <v>30.52</v>
      </c>
      <c r="AN207" s="75">
        <f t="shared" si="263"/>
        <v>297.90666666666669</v>
      </c>
      <c r="AO207" s="75">
        <f t="shared" si="263"/>
        <v>31.573333333333334</v>
      </c>
      <c r="AP207" s="75">
        <f t="shared" si="263"/>
        <v>32.626666666666665</v>
      </c>
      <c r="AQ207" s="75">
        <f t="shared" si="263"/>
        <v>33.68</v>
      </c>
      <c r="AR207" s="75">
        <f t="shared" si="263"/>
        <v>34.72</v>
      </c>
      <c r="AS207" s="75">
        <f t="shared" si="263"/>
        <v>35.773333333333333</v>
      </c>
      <c r="AT207" s="75">
        <f t="shared" si="263"/>
        <v>36.826666666666668</v>
      </c>
      <c r="AU207" s="75">
        <f t="shared" si="263"/>
        <v>37.880000000000003</v>
      </c>
      <c r="AV207" s="75">
        <f t="shared" si="263"/>
        <v>39.999999441861334</v>
      </c>
      <c r="AW207" s="75">
        <f t="shared" si="263"/>
        <v>39.999999441861334</v>
      </c>
      <c r="AX207" s="75">
        <f t="shared" si="263"/>
        <v>39.999999441861334</v>
      </c>
      <c r="AY207" s="75">
        <f t="shared" si="263"/>
        <v>39.999999441861334</v>
      </c>
      <c r="AZ207" s="75">
        <f t="shared" si="263"/>
        <v>39.999999441861334</v>
      </c>
      <c r="BA207" s="75">
        <f t="shared" si="263"/>
        <v>443.07999720930667</v>
      </c>
      <c r="BB207" s="75">
        <f t="shared" si="263"/>
        <v>36.923333100775558</v>
      </c>
      <c r="BC207" s="75">
        <f t="shared" si="263"/>
        <v>36.923333100775558</v>
      </c>
      <c r="BD207" s="75">
        <f t="shared" si="263"/>
        <v>36.923333100775558</v>
      </c>
      <c r="BE207" s="75">
        <f t="shared" si="263"/>
        <v>36.923333100775558</v>
      </c>
      <c r="BF207" s="75">
        <f t="shared" si="263"/>
        <v>36.923333100775558</v>
      </c>
      <c r="BG207" s="75">
        <f t="shared" si="263"/>
        <v>36.923333100775558</v>
      </c>
      <c r="BH207" s="75">
        <f t="shared" si="263"/>
        <v>36.923333100775558</v>
      </c>
      <c r="BI207" s="75">
        <f t="shared" si="263"/>
        <v>36.923333100775558</v>
      </c>
      <c r="BJ207" s="75">
        <f t="shared" si="263"/>
        <v>36.923333100775558</v>
      </c>
      <c r="BK207" s="75">
        <f t="shared" si="263"/>
        <v>36.923333100775558</v>
      </c>
      <c r="BL207" s="75">
        <f t="shared" si="263"/>
        <v>36.923333100775558</v>
      </c>
      <c r="BM207" s="75">
        <f t="shared" si="263"/>
        <v>36.923333100775558</v>
      </c>
      <c r="BN207" s="75">
        <f t="shared" si="263"/>
        <v>443.07999720930667</v>
      </c>
    </row>
    <row r="208" spans="2:66" hidden="1" x14ac:dyDescent="0.2">
      <c r="B208" t="s">
        <v>42</v>
      </c>
      <c r="C208" t="s">
        <v>49</v>
      </c>
      <c r="G208">
        <f>G182</f>
        <v>0</v>
      </c>
      <c r="H208">
        <f t="shared" ref="H208:BN208" si="264">H182</f>
        <v>0</v>
      </c>
      <c r="I208">
        <f t="shared" si="264"/>
        <v>0</v>
      </c>
      <c r="J208">
        <f t="shared" si="264"/>
        <v>0</v>
      </c>
      <c r="K208">
        <f t="shared" si="264"/>
        <v>0</v>
      </c>
      <c r="L208">
        <f t="shared" si="264"/>
        <v>0</v>
      </c>
      <c r="M208">
        <f t="shared" si="264"/>
        <v>0</v>
      </c>
      <c r="N208">
        <f t="shared" si="264"/>
        <v>0</v>
      </c>
      <c r="O208">
        <f t="shared" si="264"/>
        <v>0</v>
      </c>
      <c r="P208">
        <f t="shared" si="264"/>
        <v>0</v>
      </c>
      <c r="Q208">
        <f t="shared" si="264"/>
        <v>0</v>
      </c>
      <c r="R208">
        <f t="shared" si="264"/>
        <v>0</v>
      </c>
      <c r="S208">
        <f t="shared" si="264"/>
        <v>0</v>
      </c>
      <c r="T208">
        <f t="shared" si="264"/>
        <v>0</v>
      </c>
      <c r="U208">
        <f t="shared" si="264"/>
        <v>0</v>
      </c>
      <c r="V208">
        <f t="shared" si="264"/>
        <v>0</v>
      </c>
      <c r="W208">
        <f t="shared" si="264"/>
        <v>0</v>
      </c>
      <c r="X208">
        <f t="shared" si="264"/>
        <v>0</v>
      </c>
      <c r="Y208">
        <f t="shared" si="264"/>
        <v>0</v>
      </c>
      <c r="Z208">
        <f t="shared" si="264"/>
        <v>0</v>
      </c>
      <c r="AA208">
        <f t="shared" si="264"/>
        <v>0</v>
      </c>
      <c r="AB208">
        <f t="shared" si="264"/>
        <v>0</v>
      </c>
      <c r="AC208">
        <f t="shared" si="264"/>
        <v>0</v>
      </c>
      <c r="AD208">
        <f t="shared" si="264"/>
        <v>0</v>
      </c>
      <c r="AE208">
        <f t="shared" si="264"/>
        <v>0</v>
      </c>
      <c r="AF208">
        <f t="shared" si="264"/>
        <v>0</v>
      </c>
      <c r="AG208">
        <f t="shared" si="264"/>
        <v>0</v>
      </c>
      <c r="AH208">
        <f t="shared" si="264"/>
        <v>0</v>
      </c>
      <c r="AI208">
        <f t="shared" si="264"/>
        <v>0</v>
      </c>
      <c r="AJ208">
        <f t="shared" si="264"/>
        <v>0</v>
      </c>
      <c r="AK208">
        <f t="shared" si="264"/>
        <v>0</v>
      </c>
      <c r="AL208">
        <f t="shared" si="264"/>
        <v>0</v>
      </c>
      <c r="AM208">
        <f t="shared" si="264"/>
        <v>0</v>
      </c>
      <c r="AN208">
        <f t="shared" si="264"/>
        <v>0</v>
      </c>
      <c r="AO208">
        <f t="shared" si="264"/>
        <v>0</v>
      </c>
      <c r="AP208">
        <f t="shared" si="264"/>
        <v>0</v>
      </c>
      <c r="AQ208">
        <f t="shared" si="264"/>
        <v>0</v>
      </c>
      <c r="AR208">
        <f t="shared" si="264"/>
        <v>0</v>
      </c>
      <c r="AS208">
        <f t="shared" si="264"/>
        <v>0</v>
      </c>
      <c r="AT208">
        <f t="shared" si="264"/>
        <v>0</v>
      </c>
      <c r="AU208">
        <f t="shared" si="264"/>
        <v>0</v>
      </c>
      <c r="AV208">
        <f t="shared" si="264"/>
        <v>0</v>
      </c>
      <c r="AW208">
        <f t="shared" si="264"/>
        <v>0</v>
      </c>
      <c r="AX208">
        <f t="shared" si="264"/>
        <v>0</v>
      </c>
      <c r="AY208">
        <f t="shared" si="264"/>
        <v>0</v>
      </c>
      <c r="AZ208">
        <f t="shared" si="264"/>
        <v>0</v>
      </c>
      <c r="BA208">
        <f t="shared" si="264"/>
        <v>0</v>
      </c>
      <c r="BB208">
        <f t="shared" si="264"/>
        <v>0</v>
      </c>
      <c r="BC208">
        <f t="shared" si="264"/>
        <v>0</v>
      </c>
      <c r="BD208">
        <f t="shared" si="264"/>
        <v>0</v>
      </c>
      <c r="BE208">
        <f t="shared" si="264"/>
        <v>0</v>
      </c>
      <c r="BF208">
        <f t="shared" si="264"/>
        <v>0</v>
      </c>
      <c r="BG208">
        <f t="shared" si="264"/>
        <v>0</v>
      </c>
      <c r="BH208">
        <f t="shared" si="264"/>
        <v>0</v>
      </c>
      <c r="BI208">
        <f t="shared" si="264"/>
        <v>0</v>
      </c>
      <c r="BJ208">
        <f t="shared" si="264"/>
        <v>0</v>
      </c>
      <c r="BK208">
        <f t="shared" si="264"/>
        <v>0</v>
      </c>
      <c r="BL208">
        <f t="shared" si="264"/>
        <v>0</v>
      </c>
      <c r="BM208">
        <f t="shared" si="264"/>
        <v>0</v>
      </c>
      <c r="BN208">
        <f t="shared" si="264"/>
        <v>0</v>
      </c>
    </row>
    <row r="209" spans="2:66" hidden="1" x14ac:dyDescent="0.2">
      <c r="B209" t="s">
        <v>43</v>
      </c>
      <c r="C209" t="s">
        <v>35</v>
      </c>
      <c r="G209" s="39">
        <f>G202</f>
        <v>30</v>
      </c>
      <c r="H209" s="39">
        <f t="shared" ref="H209:BN209" si="265">H202</f>
        <v>31</v>
      </c>
      <c r="I209" s="39">
        <f t="shared" si="265"/>
        <v>31</v>
      </c>
      <c r="J209" s="39">
        <f t="shared" si="265"/>
        <v>30</v>
      </c>
      <c r="K209" s="39">
        <f t="shared" si="265"/>
        <v>31</v>
      </c>
      <c r="L209" s="39">
        <f t="shared" si="265"/>
        <v>30</v>
      </c>
      <c r="M209" s="39">
        <f t="shared" si="265"/>
        <v>31</v>
      </c>
      <c r="N209" s="39">
        <f t="shared" si="265"/>
        <v>30.571428571428573</v>
      </c>
      <c r="O209" s="39">
        <f t="shared" si="265"/>
        <v>31</v>
      </c>
      <c r="P209" s="39">
        <f t="shared" si="265"/>
        <v>28</v>
      </c>
      <c r="Q209" s="39">
        <f t="shared" si="265"/>
        <v>31</v>
      </c>
      <c r="R209" s="39">
        <f t="shared" si="265"/>
        <v>30</v>
      </c>
      <c r="S209" s="39">
        <f t="shared" si="265"/>
        <v>31</v>
      </c>
      <c r="T209" s="39">
        <f t="shared" si="265"/>
        <v>30</v>
      </c>
      <c r="U209" s="39">
        <f t="shared" si="265"/>
        <v>31</v>
      </c>
      <c r="V209" s="39">
        <f t="shared" si="265"/>
        <v>31</v>
      </c>
      <c r="W209" s="39">
        <f t="shared" si="265"/>
        <v>30</v>
      </c>
      <c r="X209" s="39">
        <f t="shared" si="265"/>
        <v>31</v>
      </c>
      <c r="Y209" s="39">
        <f t="shared" si="265"/>
        <v>30</v>
      </c>
      <c r="Z209" s="39">
        <f t="shared" si="265"/>
        <v>31</v>
      </c>
      <c r="AA209" s="39">
        <f t="shared" si="265"/>
        <v>30.416666666666668</v>
      </c>
      <c r="AB209" s="39">
        <f t="shared" si="265"/>
        <v>31</v>
      </c>
      <c r="AC209" s="39">
        <f t="shared" si="265"/>
        <v>28</v>
      </c>
      <c r="AD209" s="39">
        <f t="shared" si="265"/>
        <v>31</v>
      </c>
      <c r="AE209" s="39">
        <f t="shared" si="265"/>
        <v>30</v>
      </c>
      <c r="AF209" s="39">
        <f t="shared" si="265"/>
        <v>31</v>
      </c>
      <c r="AG209" s="39">
        <f t="shared" si="265"/>
        <v>30</v>
      </c>
      <c r="AH209" s="39">
        <f t="shared" si="265"/>
        <v>31</v>
      </c>
      <c r="AI209" s="39">
        <f t="shared" si="265"/>
        <v>31</v>
      </c>
      <c r="AJ209" s="39">
        <f t="shared" si="265"/>
        <v>30</v>
      </c>
      <c r="AK209" s="39">
        <f t="shared" si="265"/>
        <v>31</v>
      </c>
      <c r="AL209" s="39">
        <f t="shared" si="265"/>
        <v>30</v>
      </c>
      <c r="AM209" s="39">
        <f t="shared" si="265"/>
        <v>31</v>
      </c>
      <c r="AN209" s="39">
        <f t="shared" si="265"/>
        <v>30.416666666666668</v>
      </c>
      <c r="AO209" s="39">
        <f t="shared" si="265"/>
        <v>31</v>
      </c>
      <c r="AP209" s="39">
        <f t="shared" si="265"/>
        <v>29</v>
      </c>
      <c r="AQ209" s="39">
        <f t="shared" si="265"/>
        <v>31</v>
      </c>
      <c r="AR209" s="39">
        <f t="shared" si="265"/>
        <v>30</v>
      </c>
      <c r="AS209" s="39">
        <f t="shared" si="265"/>
        <v>31</v>
      </c>
      <c r="AT209" s="39">
        <f t="shared" si="265"/>
        <v>30</v>
      </c>
      <c r="AU209" s="39">
        <f t="shared" si="265"/>
        <v>31</v>
      </c>
      <c r="AV209" s="39">
        <f t="shared" si="265"/>
        <v>31</v>
      </c>
      <c r="AW209" s="39">
        <f t="shared" si="265"/>
        <v>30</v>
      </c>
      <c r="AX209" s="39">
        <f t="shared" si="265"/>
        <v>31</v>
      </c>
      <c r="AY209" s="39">
        <f t="shared" si="265"/>
        <v>30</v>
      </c>
      <c r="AZ209" s="39">
        <f t="shared" si="265"/>
        <v>31</v>
      </c>
      <c r="BA209" s="39">
        <f t="shared" si="265"/>
        <v>30.5</v>
      </c>
      <c r="BB209" s="39">
        <f t="shared" si="265"/>
        <v>31</v>
      </c>
      <c r="BC209" s="39">
        <f t="shared" si="265"/>
        <v>28</v>
      </c>
      <c r="BD209" s="39">
        <f t="shared" si="265"/>
        <v>31</v>
      </c>
      <c r="BE209" s="39">
        <f t="shared" si="265"/>
        <v>30</v>
      </c>
      <c r="BF209" s="39">
        <f t="shared" si="265"/>
        <v>31</v>
      </c>
      <c r="BG209" s="39">
        <f t="shared" si="265"/>
        <v>30</v>
      </c>
      <c r="BH209" s="39">
        <f t="shared" si="265"/>
        <v>31</v>
      </c>
      <c r="BI209" s="39">
        <f t="shared" si="265"/>
        <v>31</v>
      </c>
      <c r="BJ209" s="39">
        <f t="shared" si="265"/>
        <v>30</v>
      </c>
      <c r="BK209" s="39">
        <f t="shared" si="265"/>
        <v>31</v>
      </c>
      <c r="BL209" s="39">
        <f t="shared" si="265"/>
        <v>30</v>
      </c>
      <c r="BM209" s="39">
        <f t="shared" si="265"/>
        <v>31</v>
      </c>
      <c r="BN209" s="39">
        <f t="shared" si="265"/>
        <v>30.416666666666668</v>
      </c>
    </row>
    <row r="210" spans="2:66" x14ac:dyDescent="0.2"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</row>
    <row r="211" spans="2:66" x14ac:dyDescent="0.2">
      <c r="B211" s="6" t="s">
        <v>91</v>
      </c>
    </row>
    <row r="212" spans="2:66" x14ac:dyDescent="0.2">
      <c r="B212" t="s">
        <v>31</v>
      </c>
      <c r="C212" t="s">
        <v>32</v>
      </c>
      <c r="G212" s="76">
        <f>G206</f>
        <v>1.75</v>
      </c>
      <c r="H212" s="76">
        <f t="shared" ref="H212:BN212" si="266">H206</f>
        <v>1.75</v>
      </c>
      <c r="I212" s="76">
        <f t="shared" si="266"/>
        <v>1.75</v>
      </c>
      <c r="J212" s="76">
        <f t="shared" si="266"/>
        <v>1.75</v>
      </c>
      <c r="K212" s="76">
        <f t="shared" si="266"/>
        <v>1.75</v>
      </c>
      <c r="L212" s="76">
        <f t="shared" si="266"/>
        <v>1.75</v>
      </c>
      <c r="M212" s="76">
        <f t="shared" si="266"/>
        <v>1.75</v>
      </c>
      <c r="N212" s="76">
        <f t="shared" si="266"/>
        <v>1.75</v>
      </c>
      <c r="O212" s="76">
        <f t="shared" si="266"/>
        <v>1.75</v>
      </c>
      <c r="P212" s="76">
        <f>P206</f>
        <v>1.75</v>
      </c>
      <c r="Q212" s="76">
        <f t="shared" si="266"/>
        <v>1.7867499999999998</v>
      </c>
      <c r="R212" s="76">
        <f t="shared" si="266"/>
        <v>1.7867499999999998</v>
      </c>
      <c r="S212" s="76">
        <f t="shared" si="266"/>
        <v>1.7867499999999998</v>
      </c>
      <c r="T212" s="76">
        <f t="shared" si="266"/>
        <v>1.7867499999999998</v>
      </c>
      <c r="U212" s="76">
        <f t="shared" si="266"/>
        <v>1.7867499999999998</v>
      </c>
      <c r="V212" s="76">
        <f t="shared" si="266"/>
        <v>1.7867499999999998</v>
      </c>
      <c r="W212" s="76">
        <f t="shared" si="266"/>
        <v>1.7867499999999998</v>
      </c>
      <c r="X212" s="76">
        <f t="shared" si="266"/>
        <v>1.7867499999999998</v>
      </c>
      <c r="Y212" s="76">
        <f t="shared" si="266"/>
        <v>1.7867499999999998</v>
      </c>
      <c r="Z212" s="76">
        <f t="shared" si="266"/>
        <v>1.7867499999999998</v>
      </c>
      <c r="AA212" s="76">
        <f t="shared" si="266"/>
        <v>1.7867499999999998</v>
      </c>
      <c r="AB212" s="76">
        <f t="shared" si="266"/>
        <v>1.8224849999999999</v>
      </c>
      <c r="AC212" s="76">
        <f t="shared" si="266"/>
        <v>1.8224849999999999</v>
      </c>
      <c r="AD212" s="76">
        <f t="shared" si="266"/>
        <v>1.8224849999999999</v>
      </c>
      <c r="AE212" s="76">
        <f t="shared" si="266"/>
        <v>1.8224849999999999</v>
      </c>
      <c r="AF212" s="76">
        <f t="shared" si="266"/>
        <v>1.8224849999999999</v>
      </c>
      <c r="AG212" s="76">
        <f t="shared" si="266"/>
        <v>1.8224849999999999</v>
      </c>
      <c r="AH212" s="76">
        <f t="shared" si="266"/>
        <v>1.8224849999999999</v>
      </c>
      <c r="AI212" s="76">
        <f t="shared" si="266"/>
        <v>1.8224849999999999</v>
      </c>
      <c r="AJ212" s="76">
        <f t="shared" si="266"/>
        <v>1.8224849999999999</v>
      </c>
      <c r="AK212" s="76">
        <f t="shared" si="266"/>
        <v>1.8224849999999999</v>
      </c>
      <c r="AL212" s="76">
        <f t="shared" si="266"/>
        <v>1.8224849999999999</v>
      </c>
      <c r="AM212" s="76">
        <f t="shared" si="266"/>
        <v>1.8224849999999999</v>
      </c>
      <c r="AN212" s="76">
        <f t="shared" si="266"/>
        <v>1.8224849999999999</v>
      </c>
      <c r="AO212" s="76">
        <f t="shared" si="266"/>
        <v>1.8589347000000001</v>
      </c>
      <c r="AP212" s="76">
        <f t="shared" si="266"/>
        <v>1.8589347000000001</v>
      </c>
      <c r="AQ212" s="76">
        <f t="shared" si="266"/>
        <v>1.8589347000000001</v>
      </c>
      <c r="AR212" s="76">
        <f t="shared" si="266"/>
        <v>1.8589347000000001</v>
      </c>
      <c r="AS212" s="76">
        <f t="shared" si="266"/>
        <v>1.8589347000000001</v>
      </c>
      <c r="AT212" s="76">
        <f t="shared" si="266"/>
        <v>1.8589347000000001</v>
      </c>
      <c r="AU212" s="76">
        <f t="shared" si="266"/>
        <v>1.8589347000000001</v>
      </c>
      <c r="AV212" s="76">
        <f t="shared" si="266"/>
        <v>1.8589347000000001</v>
      </c>
      <c r="AW212" s="76">
        <f t="shared" si="266"/>
        <v>1.8589347000000001</v>
      </c>
      <c r="AX212" s="76">
        <f t="shared" si="266"/>
        <v>1.8589347000000001</v>
      </c>
      <c r="AY212" s="76">
        <f t="shared" si="266"/>
        <v>1.8589347000000001</v>
      </c>
      <c r="AZ212" s="76">
        <f t="shared" si="266"/>
        <v>1.8589347000000001</v>
      </c>
      <c r="BA212" s="76">
        <f t="shared" si="266"/>
        <v>1.8589347000000001</v>
      </c>
      <c r="BB212" s="76">
        <f t="shared" si="266"/>
        <v>1.8961133940000001</v>
      </c>
      <c r="BC212" s="76">
        <f t="shared" si="266"/>
        <v>1.8961133940000001</v>
      </c>
      <c r="BD212" s="76">
        <f t="shared" si="266"/>
        <v>1.8961133940000001</v>
      </c>
      <c r="BE212" s="76">
        <f t="shared" si="266"/>
        <v>1.8961133940000001</v>
      </c>
      <c r="BF212" s="76">
        <f t="shared" si="266"/>
        <v>1.8961133940000001</v>
      </c>
      <c r="BG212" s="76">
        <f t="shared" si="266"/>
        <v>1.8961133940000001</v>
      </c>
      <c r="BH212" s="76">
        <f t="shared" si="266"/>
        <v>1.8961133940000001</v>
      </c>
      <c r="BI212" s="76">
        <f t="shared" si="266"/>
        <v>1.8961133940000001</v>
      </c>
      <c r="BJ212" s="76">
        <f t="shared" si="266"/>
        <v>1.8961133940000001</v>
      </c>
      <c r="BK212" s="76">
        <f t="shared" si="266"/>
        <v>1.8961133940000001</v>
      </c>
      <c r="BL212" s="76">
        <f t="shared" si="266"/>
        <v>1.8961133940000001</v>
      </c>
      <c r="BM212" s="76">
        <f t="shared" si="266"/>
        <v>1.8961133940000001</v>
      </c>
      <c r="BN212" s="76">
        <f t="shared" si="266"/>
        <v>1.8961133940000001</v>
      </c>
    </row>
    <row r="213" spans="2:66" x14ac:dyDescent="0.2">
      <c r="B213" t="s">
        <v>23</v>
      </c>
      <c r="C213" t="s">
        <v>28</v>
      </c>
      <c r="G213" s="75">
        <f>G188</f>
        <v>6</v>
      </c>
      <c r="H213" s="75">
        <f t="shared" ref="H213:BN213" si="267">H188</f>
        <v>6</v>
      </c>
      <c r="I213" s="75">
        <f t="shared" si="267"/>
        <v>6</v>
      </c>
      <c r="J213" s="75">
        <f t="shared" si="267"/>
        <v>5.4533333333333331</v>
      </c>
      <c r="K213" s="75">
        <f t="shared" si="267"/>
        <v>8.36</v>
      </c>
      <c r="L213" s="75">
        <f t="shared" si="267"/>
        <v>11.266666666666667</v>
      </c>
      <c r="M213" s="75">
        <f t="shared" si="267"/>
        <v>14.173333333333334</v>
      </c>
      <c r="N213" s="75">
        <f t="shared" si="267"/>
        <v>39.25333333333333</v>
      </c>
      <c r="O213" s="75">
        <f t="shared" si="267"/>
        <v>17.093333333333334</v>
      </c>
      <c r="P213" s="75">
        <f t="shared" si="267"/>
        <v>20</v>
      </c>
      <c r="Q213" s="75">
        <f t="shared" si="267"/>
        <v>20</v>
      </c>
      <c r="R213" s="75">
        <f t="shared" si="267"/>
        <v>20</v>
      </c>
      <c r="S213" s="75">
        <f t="shared" si="267"/>
        <v>20</v>
      </c>
      <c r="T213" s="75">
        <f t="shared" si="267"/>
        <v>20</v>
      </c>
      <c r="U213" s="75">
        <f t="shared" si="267"/>
        <v>20</v>
      </c>
      <c r="V213" s="75">
        <f t="shared" si="267"/>
        <v>20</v>
      </c>
      <c r="W213" s="75">
        <f t="shared" si="267"/>
        <v>20</v>
      </c>
      <c r="X213" s="75">
        <f t="shared" si="267"/>
        <v>20</v>
      </c>
      <c r="Y213" s="75">
        <f t="shared" si="267"/>
        <v>20</v>
      </c>
      <c r="Z213" s="75">
        <f t="shared" si="267"/>
        <v>20</v>
      </c>
      <c r="AA213" s="75">
        <f t="shared" si="267"/>
        <v>237.09333333333333</v>
      </c>
      <c r="AB213" s="75">
        <f t="shared" si="267"/>
        <v>20</v>
      </c>
      <c r="AC213" s="75">
        <f t="shared" si="267"/>
        <v>20</v>
      </c>
      <c r="AD213" s="75">
        <f t="shared" si="267"/>
        <v>21.053333333333335</v>
      </c>
      <c r="AE213" s="75">
        <f t="shared" si="267"/>
        <v>22.106666666666666</v>
      </c>
      <c r="AF213" s="75">
        <f t="shared" si="267"/>
        <v>23.146666666666668</v>
      </c>
      <c r="AG213" s="75">
        <f t="shared" si="267"/>
        <v>24.2</v>
      </c>
      <c r="AH213" s="75">
        <f t="shared" si="267"/>
        <v>25.253333333333334</v>
      </c>
      <c r="AI213" s="75">
        <f t="shared" si="267"/>
        <v>26.306666666666668</v>
      </c>
      <c r="AJ213" s="75">
        <f t="shared" si="267"/>
        <v>27.36</v>
      </c>
      <c r="AK213" s="75">
        <f t="shared" si="267"/>
        <v>28.413333333333334</v>
      </c>
      <c r="AL213" s="75">
        <f t="shared" si="267"/>
        <v>29.48</v>
      </c>
      <c r="AM213" s="75">
        <f t="shared" si="267"/>
        <v>30.533333333333335</v>
      </c>
      <c r="AN213" s="75">
        <f t="shared" si="267"/>
        <v>297.85333333333335</v>
      </c>
      <c r="AO213" s="75">
        <f t="shared" si="267"/>
        <v>31.573333333333334</v>
      </c>
      <c r="AP213" s="75">
        <f t="shared" si="267"/>
        <v>32.626666666666665</v>
      </c>
      <c r="AQ213" s="75">
        <f t="shared" si="267"/>
        <v>33.68</v>
      </c>
      <c r="AR213" s="75">
        <f t="shared" si="267"/>
        <v>34.733333333333334</v>
      </c>
      <c r="AS213" s="75">
        <f t="shared" si="267"/>
        <v>35.786666666666669</v>
      </c>
      <c r="AT213" s="75">
        <f t="shared" si="267"/>
        <v>36.840000000000003</v>
      </c>
      <c r="AU213" s="75">
        <f t="shared" si="267"/>
        <v>37.893333333333331</v>
      </c>
      <c r="AV213" s="75">
        <f t="shared" si="267"/>
        <v>39.999999441861334</v>
      </c>
      <c r="AW213" s="75">
        <f t="shared" si="267"/>
        <v>39.999999441861334</v>
      </c>
      <c r="AX213" s="75">
        <f t="shared" si="267"/>
        <v>39.999999441861334</v>
      </c>
      <c r="AY213" s="75">
        <f t="shared" si="267"/>
        <v>39.999999441861334</v>
      </c>
      <c r="AZ213" s="75">
        <f t="shared" si="267"/>
        <v>39.999999441861334</v>
      </c>
      <c r="BA213" s="75">
        <f t="shared" si="267"/>
        <v>443.13333054264001</v>
      </c>
      <c r="BB213" s="75">
        <f t="shared" si="267"/>
        <v>36.927777545219996</v>
      </c>
      <c r="BC213" s="75">
        <f t="shared" si="267"/>
        <v>36.927777545219996</v>
      </c>
      <c r="BD213" s="75">
        <f t="shared" si="267"/>
        <v>36.927777545219996</v>
      </c>
      <c r="BE213" s="75">
        <f t="shared" si="267"/>
        <v>36.927777545219996</v>
      </c>
      <c r="BF213" s="75">
        <f t="shared" si="267"/>
        <v>36.927777545219996</v>
      </c>
      <c r="BG213" s="75">
        <f t="shared" si="267"/>
        <v>36.927777545219996</v>
      </c>
      <c r="BH213" s="75">
        <f t="shared" si="267"/>
        <v>36.927777545219996</v>
      </c>
      <c r="BI213" s="75">
        <f t="shared" si="267"/>
        <v>36.927777545219996</v>
      </c>
      <c r="BJ213" s="75">
        <f t="shared" si="267"/>
        <v>36.927777545219996</v>
      </c>
      <c r="BK213" s="75">
        <f t="shared" si="267"/>
        <v>36.927777545219996</v>
      </c>
      <c r="BL213" s="75">
        <f t="shared" si="267"/>
        <v>36.927777545219996</v>
      </c>
      <c r="BM213" s="75">
        <f t="shared" si="267"/>
        <v>36.927777545219996</v>
      </c>
      <c r="BN213" s="75">
        <f t="shared" si="267"/>
        <v>443.13333054264001</v>
      </c>
    </row>
    <row r="214" spans="2:66" hidden="1" x14ac:dyDescent="0.2">
      <c r="B214" t="s">
        <v>42</v>
      </c>
      <c r="C214" t="s">
        <v>49</v>
      </c>
      <c r="G214">
        <f>G190</f>
        <v>0</v>
      </c>
      <c r="H214">
        <f t="shared" ref="H214:BN214" si="268">H190</f>
        <v>0</v>
      </c>
      <c r="I214">
        <f t="shared" si="268"/>
        <v>0</v>
      </c>
      <c r="J214">
        <f t="shared" si="268"/>
        <v>0</v>
      </c>
      <c r="K214">
        <f t="shared" si="268"/>
        <v>0</v>
      </c>
      <c r="L214">
        <f t="shared" si="268"/>
        <v>0</v>
      </c>
      <c r="M214">
        <f t="shared" si="268"/>
        <v>0</v>
      </c>
      <c r="N214">
        <f t="shared" si="268"/>
        <v>0</v>
      </c>
      <c r="O214">
        <f t="shared" si="268"/>
        <v>0</v>
      </c>
      <c r="P214">
        <f t="shared" si="268"/>
        <v>0</v>
      </c>
      <c r="Q214">
        <f t="shared" si="268"/>
        <v>0</v>
      </c>
      <c r="R214">
        <f t="shared" si="268"/>
        <v>0</v>
      </c>
      <c r="S214">
        <f t="shared" si="268"/>
        <v>0</v>
      </c>
      <c r="T214">
        <f t="shared" si="268"/>
        <v>0</v>
      </c>
      <c r="U214">
        <f t="shared" si="268"/>
        <v>0</v>
      </c>
      <c r="V214">
        <f t="shared" si="268"/>
        <v>0</v>
      </c>
      <c r="W214">
        <f t="shared" si="268"/>
        <v>0</v>
      </c>
      <c r="X214">
        <f t="shared" si="268"/>
        <v>0</v>
      </c>
      <c r="Y214">
        <f t="shared" si="268"/>
        <v>0</v>
      </c>
      <c r="Z214">
        <f t="shared" si="268"/>
        <v>0</v>
      </c>
      <c r="AA214">
        <f t="shared" si="268"/>
        <v>0</v>
      </c>
      <c r="AB214">
        <f t="shared" si="268"/>
        <v>0</v>
      </c>
      <c r="AC214">
        <f t="shared" si="268"/>
        <v>0</v>
      </c>
      <c r="AD214">
        <f t="shared" si="268"/>
        <v>0</v>
      </c>
      <c r="AE214">
        <f t="shared" si="268"/>
        <v>0</v>
      </c>
      <c r="AF214">
        <f t="shared" si="268"/>
        <v>0</v>
      </c>
      <c r="AG214">
        <f t="shared" si="268"/>
        <v>0</v>
      </c>
      <c r="AH214">
        <f t="shared" si="268"/>
        <v>0</v>
      </c>
      <c r="AI214">
        <f t="shared" si="268"/>
        <v>0</v>
      </c>
      <c r="AJ214">
        <f t="shared" si="268"/>
        <v>0</v>
      </c>
      <c r="AK214">
        <f t="shared" si="268"/>
        <v>0</v>
      </c>
      <c r="AL214">
        <f t="shared" si="268"/>
        <v>0</v>
      </c>
      <c r="AM214">
        <f t="shared" si="268"/>
        <v>0</v>
      </c>
      <c r="AN214">
        <f t="shared" si="268"/>
        <v>0</v>
      </c>
      <c r="AO214">
        <f t="shared" si="268"/>
        <v>0</v>
      </c>
      <c r="AP214">
        <f t="shared" si="268"/>
        <v>0</v>
      </c>
      <c r="AQ214">
        <f t="shared" si="268"/>
        <v>0</v>
      </c>
      <c r="AR214">
        <f t="shared" si="268"/>
        <v>0</v>
      </c>
      <c r="AS214">
        <f t="shared" si="268"/>
        <v>0</v>
      </c>
      <c r="AT214">
        <f t="shared" si="268"/>
        <v>0</v>
      </c>
      <c r="AU214">
        <f t="shared" si="268"/>
        <v>0</v>
      </c>
      <c r="AV214">
        <f t="shared" si="268"/>
        <v>0</v>
      </c>
      <c r="AW214">
        <f t="shared" si="268"/>
        <v>0</v>
      </c>
      <c r="AX214">
        <f t="shared" si="268"/>
        <v>0</v>
      </c>
      <c r="AY214">
        <f t="shared" si="268"/>
        <v>0</v>
      </c>
      <c r="AZ214">
        <f t="shared" si="268"/>
        <v>0</v>
      </c>
      <c r="BA214">
        <f t="shared" si="268"/>
        <v>0</v>
      </c>
      <c r="BB214">
        <f t="shared" si="268"/>
        <v>0</v>
      </c>
      <c r="BC214">
        <f t="shared" si="268"/>
        <v>0</v>
      </c>
      <c r="BD214">
        <f t="shared" si="268"/>
        <v>0</v>
      </c>
      <c r="BE214">
        <f t="shared" si="268"/>
        <v>0</v>
      </c>
      <c r="BF214">
        <f t="shared" si="268"/>
        <v>0</v>
      </c>
      <c r="BG214">
        <f t="shared" si="268"/>
        <v>0</v>
      </c>
      <c r="BH214">
        <f t="shared" si="268"/>
        <v>0</v>
      </c>
      <c r="BI214">
        <f t="shared" si="268"/>
        <v>0</v>
      </c>
      <c r="BJ214">
        <f t="shared" si="268"/>
        <v>0</v>
      </c>
      <c r="BK214">
        <f t="shared" si="268"/>
        <v>0</v>
      </c>
      <c r="BL214">
        <f t="shared" si="268"/>
        <v>0</v>
      </c>
      <c r="BM214">
        <f t="shared" si="268"/>
        <v>0</v>
      </c>
      <c r="BN214">
        <f t="shared" si="268"/>
        <v>0</v>
      </c>
    </row>
    <row r="215" spans="2:66" hidden="1" x14ac:dyDescent="0.2">
      <c r="B215" t="s">
        <v>43</v>
      </c>
      <c r="C215" t="s">
        <v>35</v>
      </c>
      <c r="G215" s="39">
        <f>G209</f>
        <v>30</v>
      </c>
      <c r="H215" s="39">
        <f t="shared" ref="H215:BN215" si="269">H209</f>
        <v>31</v>
      </c>
      <c r="I215" s="39">
        <f>I209</f>
        <v>31</v>
      </c>
      <c r="J215" s="39">
        <f t="shared" si="269"/>
        <v>30</v>
      </c>
      <c r="K215" s="39">
        <f t="shared" si="269"/>
        <v>31</v>
      </c>
      <c r="L215" s="39">
        <f t="shared" si="269"/>
        <v>30</v>
      </c>
      <c r="M215" s="39">
        <f t="shared" si="269"/>
        <v>31</v>
      </c>
      <c r="N215" s="39">
        <f t="shared" si="269"/>
        <v>30.571428571428573</v>
      </c>
      <c r="O215" s="39">
        <f t="shared" si="269"/>
        <v>31</v>
      </c>
      <c r="P215" s="39">
        <f t="shared" si="269"/>
        <v>28</v>
      </c>
      <c r="Q215" s="39">
        <f t="shared" si="269"/>
        <v>31</v>
      </c>
      <c r="R215" s="39">
        <f t="shared" si="269"/>
        <v>30</v>
      </c>
      <c r="S215" s="39">
        <f t="shared" si="269"/>
        <v>31</v>
      </c>
      <c r="T215" s="39">
        <f t="shared" si="269"/>
        <v>30</v>
      </c>
      <c r="U215" s="39">
        <f t="shared" si="269"/>
        <v>31</v>
      </c>
      <c r="V215" s="39">
        <f t="shared" si="269"/>
        <v>31</v>
      </c>
      <c r="W215" s="39">
        <f t="shared" si="269"/>
        <v>30</v>
      </c>
      <c r="X215" s="39">
        <f t="shared" si="269"/>
        <v>31</v>
      </c>
      <c r="Y215" s="39">
        <f t="shared" si="269"/>
        <v>30</v>
      </c>
      <c r="Z215" s="39">
        <f t="shared" si="269"/>
        <v>31</v>
      </c>
      <c r="AA215" s="39">
        <f t="shared" si="269"/>
        <v>30.416666666666668</v>
      </c>
      <c r="AB215" s="39">
        <f t="shared" si="269"/>
        <v>31</v>
      </c>
      <c r="AC215" s="39">
        <f t="shared" si="269"/>
        <v>28</v>
      </c>
      <c r="AD215" s="39">
        <f t="shared" si="269"/>
        <v>31</v>
      </c>
      <c r="AE215" s="39">
        <f t="shared" si="269"/>
        <v>30</v>
      </c>
      <c r="AF215" s="39">
        <f t="shared" si="269"/>
        <v>31</v>
      </c>
      <c r="AG215" s="39">
        <f t="shared" si="269"/>
        <v>30</v>
      </c>
      <c r="AH215" s="39">
        <f t="shared" si="269"/>
        <v>31</v>
      </c>
      <c r="AI215" s="39">
        <f t="shared" si="269"/>
        <v>31</v>
      </c>
      <c r="AJ215" s="39">
        <f t="shared" si="269"/>
        <v>30</v>
      </c>
      <c r="AK215" s="39">
        <f t="shared" si="269"/>
        <v>31</v>
      </c>
      <c r="AL215" s="39">
        <f t="shared" si="269"/>
        <v>30</v>
      </c>
      <c r="AM215" s="39">
        <f t="shared" si="269"/>
        <v>31</v>
      </c>
      <c r="AN215" s="39">
        <f t="shared" si="269"/>
        <v>30.416666666666668</v>
      </c>
      <c r="AO215" s="39">
        <f t="shared" si="269"/>
        <v>31</v>
      </c>
      <c r="AP215" s="39">
        <f t="shared" si="269"/>
        <v>29</v>
      </c>
      <c r="AQ215" s="39">
        <f t="shared" si="269"/>
        <v>31</v>
      </c>
      <c r="AR215" s="39">
        <f t="shared" si="269"/>
        <v>30</v>
      </c>
      <c r="AS215" s="39">
        <f t="shared" si="269"/>
        <v>31</v>
      </c>
      <c r="AT215" s="39">
        <f t="shared" si="269"/>
        <v>30</v>
      </c>
      <c r="AU215" s="39">
        <f t="shared" si="269"/>
        <v>31</v>
      </c>
      <c r="AV215" s="39">
        <f t="shared" si="269"/>
        <v>31</v>
      </c>
      <c r="AW215" s="39">
        <f t="shared" si="269"/>
        <v>30</v>
      </c>
      <c r="AX215" s="39">
        <f t="shared" si="269"/>
        <v>31</v>
      </c>
      <c r="AY215" s="39">
        <f t="shared" si="269"/>
        <v>30</v>
      </c>
      <c r="AZ215" s="39">
        <f t="shared" si="269"/>
        <v>31</v>
      </c>
      <c r="BA215" s="39">
        <f t="shared" si="269"/>
        <v>30.5</v>
      </c>
      <c r="BB215" s="39">
        <f t="shared" si="269"/>
        <v>31</v>
      </c>
      <c r="BC215" s="39">
        <f t="shared" si="269"/>
        <v>28</v>
      </c>
      <c r="BD215" s="39">
        <f t="shared" si="269"/>
        <v>31</v>
      </c>
      <c r="BE215" s="39">
        <f t="shared" si="269"/>
        <v>30</v>
      </c>
      <c r="BF215" s="39">
        <f t="shared" si="269"/>
        <v>31</v>
      </c>
      <c r="BG215" s="39">
        <f t="shared" si="269"/>
        <v>30</v>
      </c>
      <c r="BH215" s="39">
        <f t="shared" si="269"/>
        <v>31</v>
      </c>
      <c r="BI215" s="39">
        <f t="shared" si="269"/>
        <v>31</v>
      </c>
      <c r="BJ215" s="39">
        <f t="shared" si="269"/>
        <v>30</v>
      </c>
      <c r="BK215" s="39">
        <f t="shared" si="269"/>
        <v>31</v>
      </c>
      <c r="BL215" s="39">
        <f t="shared" si="269"/>
        <v>30</v>
      </c>
      <c r="BM215" s="39">
        <f t="shared" si="269"/>
        <v>31</v>
      </c>
      <c r="BN215" s="39">
        <f t="shared" si="269"/>
        <v>30.416666666666668</v>
      </c>
    </row>
    <row r="216" spans="2:66" x14ac:dyDescent="0.2"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</row>
    <row r="217" spans="2:66" x14ac:dyDescent="0.2">
      <c r="B217" s="6" t="s">
        <v>73</v>
      </c>
      <c r="N217" s="23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</row>
    <row r="218" spans="2:66" x14ac:dyDescent="0.2">
      <c r="B218" t="s">
        <v>129</v>
      </c>
      <c r="C218" t="s">
        <v>41</v>
      </c>
      <c r="D218" s="53" t="s">
        <v>130</v>
      </c>
      <c r="G218" s="41">
        <f t="shared" ref="G218:I218" si="270">H218</f>
        <v>1000</v>
      </c>
      <c r="H218" s="41">
        <f t="shared" si="270"/>
        <v>1000</v>
      </c>
      <c r="I218" s="41">
        <f t="shared" si="270"/>
        <v>1000</v>
      </c>
      <c r="J218" s="111">
        <v>1000</v>
      </c>
      <c r="K218" s="41"/>
      <c r="L218" s="41"/>
      <c r="M218" s="41"/>
      <c r="N218" s="226">
        <f>SUM(J218:M218)</f>
        <v>1000</v>
      </c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>
        <f t="shared" ref="BB218:BN218" si="271">BA218</f>
        <v>0</v>
      </c>
      <c r="BC218" s="41">
        <f t="shared" si="271"/>
        <v>0</v>
      </c>
      <c r="BD218" s="41">
        <f t="shared" si="271"/>
        <v>0</v>
      </c>
      <c r="BE218" s="41">
        <f t="shared" si="271"/>
        <v>0</v>
      </c>
      <c r="BF218" s="41">
        <f t="shared" si="271"/>
        <v>0</v>
      </c>
      <c r="BG218" s="41">
        <f t="shared" si="271"/>
        <v>0</v>
      </c>
      <c r="BH218" s="41">
        <f t="shared" si="271"/>
        <v>0</v>
      </c>
      <c r="BI218" s="41">
        <f t="shared" si="271"/>
        <v>0</v>
      </c>
      <c r="BJ218" s="41">
        <f t="shared" si="271"/>
        <v>0</v>
      </c>
      <c r="BK218" s="41">
        <f t="shared" si="271"/>
        <v>0</v>
      </c>
      <c r="BL218" s="41">
        <f t="shared" si="271"/>
        <v>0</v>
      </c>
      <c r="BM218" s="41">
        <f t="shared" si="271"/>
        <v>0</v>
      </c>
      <c r="BN218" s="41">
        <f t="shared" si="271"/>
        <v>0</v>
      </c>
    </row>
    <row r="219" spans="2:66" x14ac:dyDescent="0.2">
      <c r="B219" t="s">
        <v>146</v>
      </c>
      <c r="C219" t="s">
        <v>41</v>
      </c>
      <c r="D219" s="53" t="s">
        <v>130</v>
      </c>
      <c r="G219" s="41">
        <f t="shared" ref="G219:I221" si="272">H219</f>
        <v>66.666666666666671</v>
      </c>
      <c r="H219" s="41">
        <f t="shared" si="272"/>
        <v>66.666666666666671</v>
      </c>
      <c r="I219" s="41">
        <f t="shared" si="272"/>
        <v>66.666666666666671</v>
      </c>
      <c r="J219" s="41">
        <f t="shared" ref="J219:K221" si="273">K219</f>
        <v>66.666666666666671</v>
      </c>
      <c r="K219" s="41">
        <f t="shared" si="273"/>
        <v>66.666666666666671</v>
      </c>
      <c r="L219" s="41">
        <f>M219</f>
        <v>66.666666666666671</v>
      </c>
      <c r="M219" s="41">
        <f>O219</f>
        <v>66.666666666666671</v>
      </c>
      <c r="N219" s="226">
        <f>SUM(J219:M219)</f>
        <v>266.66666666666669</v>
      </c>
      <c r="O219" s="75">
        <f>AA219/COUNT($O$6:$Z$6)</f>
        <v>66.666666666666671</v>
      </c>
      <c r="P219" s="75">
        <f t="shared" ref="P219:Z221" si="274">O219</f>
        <v>66.666666666666671</v>
      </c>
      <c r="Q219" s="75">
        <f t="shared" si="274"/>
        <v>66.666666666666671</v>
      </c>
      <c r="R219" s="75">
        <f t="shared" si="274"/>
        <v>66.666666666666671</v>
      </c>
      <c r="S219" s="75">
        <f t="shared" si="274"/>
        <v>66.666666666666671</v>
      </c>
      <c r="T219" s="75">
        <f t="shared" si="274"/>
        <v>66.666666666666671</v>
      </c>
      <c r="U219" s="75">
        <f t="shared" si="274"/>
        <v>66.666666666666671</v>
      </c>
      <c r="V219" s="75">
        <f t="shared" si="274"/>
        <v>66.666666666666671</v>
      </c>
      <c r="W219" s="75">
        <f t="shared" si="274"/>
        <v>66.666666666666671</v>
      </c>
      <c r="X219" s="75">
        <f t="shared" si="274"/>
        <v>66.666666666666671</v>
      </c>
      <c r="Y219" s="75">
        <f t="shared" si="274"/>
        <v>66.666666666666671</v>
      </c>
      <c r="Z219" s="75">
        <f t="shared" si="274"/>
        <v>66.666666666666671</v>
      </c>
      <c r="AA219" s="340">
        <v>800</v>
      </c>
      <c r="AB219" s="113">
        <f>AN219/COUNT($AB$6:$AM$6)</f>
        <v>68</v>
      </c>
      <c r="AC219" s="113">
        <f t="shared" ref="AC219:BM220" si="275">AB219</f>
        <v>68</v>
      </c>
      <c r="AD219" s="113">
        <f t="shared" si="275"/>
        <v>68</v>
      </c>
      <c r="AE219" s="113">
        <f t="shared" si="275"/>
        <v>68</v>
      </c>
      <c r="AF219" s="113">
        <f t="shared" si="275"/>
        <v>68</v>
      </c>
      <c r="AG219" s="113">
        <f t="shared" si="275"/>
        <v>68</v>
      </c>
      <c r="AH219" s="113">
        <f t="shared" si="275"/>
        <v>68</v>
      </c>
      <c r="AI219" s="113">
        <f t="shared" si="275"/>
        <v>68</v>
      </c>
      <c r="AJ219" s="113">
        <f t="shared" si="275"/>
        <v>68</v>
      </c>
      <c r="AK219" s="113">
        <f t="shared" si="275"/>
        <v>68</v>
      </c>
      <c r="AL219" s="113">
        <f t="shared" si="275"/>
        <v>68</v>
      </c>
      <c r="AM219" s="113">
        <f t="shared" si="275"/>
        <v>68</v>
      </c>
      <c r="AN219" s="75">
        <f>AA219*(1+$AN$223)</f>
        <v>816</v>
      </c>
      <c r="AO219" s="113">
        <f>BA219/COUNT($AO$6:$AZ$6)</f>
        <v>69.36</v>
      </c>
      <c r="AP219" s="113">
        <f t="shared" si="275"/>
        <v>69.36</v>
      </c>
      <c r="AQ219" s="113">
        <f t="shared" si="275"/>
        <v>69.36</v>
      </c>
      <c r="AR219" s="113">
        <f t="shared" si="275"/>
        <v>69.36</v>
      </c>
      <c r="AS219" s="113">
        <f t="shared" si="275"/>
        <v>69.36</v>
      </c>
      <c r="AT219" s="113">
        <f t="shared" si="275"/>
        <v>69.36</v>
      </c>
      <c r="AU219" s="113">
        <f t="shared" si="275"/>
        <v>69.36</v>
      </c>
      <c r="AV219" s="113">
        <f t="shared" si="275"/>
        <v>69.36</v>
      </c>
      <c r="AW219" s="113">
        <f t="shared" si="275"/>
        <v>69.36</v>
      </c>
      <c r="AX219" s="113">
        <f t="shared" si="275"/>
        <v>69.36</v>
      </c>
      <c r="AY219" s="113">
        <f t="shared" si="275"/>
        <v>69.36</v>
      </c>
      <c r="AZ219" s="113">
        <f t="shared" si="275"/>
        <v>69.36</v>
      </c>
      <c r="BA219" s="75">
        <f>AN219*(1+$BA$223)</f>
        <v>832.32</v>
      </c>
      <c r="BB219" s="113">
        <f>BN219/COUNT($BB$6:$BM$6)</f>
        <v>70.747200000000007</v>
      </c>
      <c r="BC219" s="113">
        <f t="shared" si="275"/>
        <v>70.747200000000007</v>
      </c>
      <c r="BD219" s="113">
        <f t="shared" si="275"/>
        <v>70.747200000000007</v>
      </c>
      <c r="BE219" s="113">
        <f t="shared" si="275"/>
        <v>70.747200000000007</v>
      </c>
      <c r="BF219" s="113">
        <f t="shared" si="275"/>
        <v>70.747200000000007</v>
      </c>
      <c r="BG219" s="113">
        <f t="shared" si="275"/>
        <v>70.747200000000007</v>
      </c>
      <c r="BH219" s="113">
        <f t="shared" si="275"/>
        <v>70.747200000000007</v>
      </c>
      <c r="BI219" s="113">
        <f t="shared" si="275"/>
        <v>70.747200000000007</v>
      </c>
      <c r="BJ219" s="113">
        <f t="shared" si="275"/>
        <v>70.747200000000007</v>
      </c>
      <c r="BK219" s="113">
        <f t="shared" si="275"/>
        <v>70.747200000000007</v>
      </c>
      <c r="BL219" s="113">
        <f t="shared" si="275"/>
        <v>70.747200000000007</v>
      </c>
      <c r="BM219" s="113">
        <f t="shared" si="275"/>
        <v>70.747200000000007</v>
      </c>
      <c r="BN219" s="75">
        <f>BA219*(1+$BN$223)</f>
        <v>848.96640000000002</v>
      </c>
    </row>
    <row r="220" spans="2:66" x14ac:dyDescent="0.2">
      <c r="B220" t="s">
        <v>132</v>
      </c>
      <c r="C220" t="s">
        <v>41</v>
      </c>
      <c r="D220" s="53" t="s">
        <v>130</v>
      </c>
      <c r="G220" s="41">
        <f t="shared" si="272"/>
        <v>291.66666666666669</v>
      </c>
      <c r="H220" s="41">
        <f t="shared" si="272"/>
        <v>291.66666666666669</v>
      </c>
      <c r="I220" s="41">
        <f t="shared" si="272"/>
        <v>291.66666666666669</v>
      </c>
      <c r="J220" s="41">
        <f t="shared" si="273"/>
        <v>291.66666666666669</v>
      </c>
      <c r="K220" s="41">
        <f t="shared" si="273"/>
        <v>291.66666666666669</v>
      </c>
      <c r="L220" s="41">
        <f>M220</f>
        <v>291.66666666666669</v>
      </c>
      <c r="M220" s="41">
        <f>O220</f>
        <v>291.66666666666669</v>
      </c>
      <c r="N220" s="226">
        <f>SUM(J220:M220)</f>
        <v>1166.6666666666667</v>
      </c>
      <c r="O220" s="75">
        <f>AA220/COUNT($O$6:$Z$6)</f>
        <v>291.66666666666669</v>
      </c>
      <c r="P220" s="75">
        <f t="shared" si="274"/>
        <v>291.66666666666669</v>
      </c>
      <c r="Q220" s="75">
        <f t="shared" si="274"/>
        <v>291.66666666666669</v>
      </c>
      <c r="R220" s="75">
        <f t="shared" si="274"/>
        <v>291.66666666666669</v>
      </c>
      <c r="S220" s="75">
        <f t="shared" si="274"/>
        <v>291.66666666666669</v>
      </c>
      <c r="T220" s="75">
        <f t="shared" si="274"/>
        <v>291.66666666666669</v>
      </c>
      <c r="U220" s="75">
        <f t="shared" si="274"/>
        <v>291.66666666666669</v>
      </c>
      <c r="V220" s="75">
        <f t="shared" si="274"/>
        <v>291.66666666666669</v>
      </c>
      <c r="W220" s="75">
        <f t="shared" si="274"/>
        <v>291.66666666666669</v>
      </c>
      <c r="X220" s="75">
        <f t="shared" si="274"/>
        <v>291.66666666666669</v>
      </c>
      <c r="Y220" s="75">
        <f t="shared" si="274"/>
        <v>291.66666666666669</v>
      </c>
      <c r="Z220" s="75">
        <f t="shared" si="274"/>
        <v>291.66666666666669</v>
      </c>
      <c r="AA220" s="36">
        <v>3500</v>
      </c>
      <c r="AB220" s="113">
        <f>AN220/COUNT($AB$6:$AM$6)</f>
        <v>297.5</v>
      </c>
      <c r="AC220" s="113">
        <f t="shared" si="275"/>
        <v>297.5</v>
      </c>
      <c r="AD220" s="113">
        <f t="shared" si="275"/>
        <v>297.5</v>
      </c>
      <c r="AE220" s="113">
        <f t="shared" si="275"/>
        <v>297.5</v>
      </c>
      <c r="AF220" s="113">
        <f t="shared" si="275"/>
        <v>297.5</v>
      </c>
      <c r="AG220" s="113">
        <f t="shared" si="275"/>
        <v>297.5</v>
      </c>
      <c r="AH220" s="113">
        <f t="shared" si="275"/>
        <v>297.5</v>
      </c>
      <c r="AI220" s="113">
        <f t="shared" si="275"/>
        <v>297.5</v>
      </c>
      <c r="AJ220" s="113">
        <f t="shared" si="275"/>
        <v>297.5</v>
      </c>
      <c r="AK220" s="113">
        <f t="shared" si="275"/>
        <v>297.5</v>
      </c>
      <c r="AL220" s="113">
        <f t="shared" si="275"/>
        <v>297.5</v>
      </c>
      <c r="AM220" s="113">
        <f t="shared" si="275"/>
        <v>297.5</v>
      </c>
      <c r="AN220" s="75">
        <f>AA220*(1+$AN$223)</f>
        <v>3570</v>
      </c>
      <c r="AO220" s="113">
        <f>BA220/COUNT($AO$6:$AZ$6)</f>
        <v>303.45</v>
      </c>
      <c r="AP220" s="113">
        <f t="shared" si="275"/>
        <v>303.45</v>
      </c>
      <c r="AQ220" s="113">
        <f t="shared" si="275"/>
        <v>303.45</v>
      </c>
      <c r="AR220" s="113">
        <f t="shared" si="275"/>
        <v>303.45</v>
      </c>
      <c r="AS220" s="113">
        <f t="shared" si="275"/>
        <v>303.45</v>
      </c>
      <c r="AT220" s="113">
        <f t="shared" si="275"/>
        <v>303.45</v>
      </c>
      <c r="AU220" s="113">
        <f t="shared" si="275"/>
        <v>303.45</v>
      </c>
      <c r="AV220" s="113">
        <f t="shared" si="275"/>
        <v>303.45</v>
      </c>
      <c r="AW220" s="113">
        <f t="shared" si="275"/>
        <v>303.45</v>
      </c>
      <c r="AX220" s="113">
        <f t="shared" si="275"/>
        <v>303.45</v>
      </c>
      <c r="AY220" s="113">
        <f t="shared" si="275"/>
        <v>303.45</v>
      </c>
      <c r="AZ220" s="113">
        <f t="shared" si="275"/>
        <v>303.45</v>
      </c>
      <c r="BA220" s="75">
        <f>AN220*(1+$BA$223)</f>
        <v>3641.4</v>
      </c>
      <c r="BB220" s="113">
        <f>BN220/COUNT($BB$6:$BM$6)</f>
        <v>309.51900000000001</v>
      </c>
      <c r="BC220" s="113">
        <f t="shared" si="275"/>
        <v>309.51900000000001</v>
      </c>
      <c r="BD220" s="113">
        <f t="shared" si="275"/>
        <v>309.51900000000001</v>
      </c>
      <c r="BE220" s="113">
        <f t="shared" si="275"/>
        <v>309.51900000000001</v>
      </c>
      <c r="BF220" s="113">
        <f t="shared" si="275"/>
        <v>309.51900000000001</v>
      </c>
      <c r="BG220" s="113">
        <f t="shared" si="275"/>
        <v>309.51900000000001</v>
      </c>
      <c r="BH220" s="113">
        <f t="shared" si="275"/>
        <v>309.51900000000001</v>
      </c>
      <c r="BI220" s="113">
        <f t="shared" si="275"/>
        <v>309.51900000000001</v>
      </c>
      <c r="BJ220" s="113">
        <f t="shared" si="275"/>
        <v>309.51900000000001</v>
      </c>
      <c r="BK220" s="113">
        <f t="shared" si="275"/>
        <v>309.51900000000001</v>
      </c>
      <c r="BL220" s="113">
        <f t="shared" si="275"/>
        <v>309.51900000000001</v>
      </c>
      <c r="BM220" s="113">
        <f t="shared" si="275"/>
        <v>309.51900000000001</v>
      </c>
      <c r="BN220" s="75">
        <f>BA220*(1+$BN$223)</f>
        <v>3714.2280000000001</v>
      </c>
    </row>
    <row r="221" spans="2:66" x14ac:dyDescent="0.2">
      <c r="B221" t="s">
        <v>38</v>
      </c>
      <c r="C221" t="s">
        <v>41</v>
      </c>
      <c r="D221" s="53" t="s">
        <v>130</v>
      </c>
      <c r="G221" s="41">
        <f t="shared" si="272"/>
        <v>1666.6666666666667</v>
      </c>
      <c r="H221" s="41">
        <f t="shared" si="272"/>
        <v>1666.6666666666667</v>
      </c>
      <c r="I221" s="41">
        <f t="shared" si="272"/>
        <v>1666.6666666666667</v>
      </c>
      <c r="J221" s="111">
        <f t="shared" si="273"/>
        <v>1666.6666666666667</v>
      </c>
      <c r="K221" s="111">
        <f t="shared" si="273"/>
        <v>1666.6666666666667</v>
      </c>
      <c r="L221" s="111">
        <f>M221</f>
        <v>1666.6666666666667</v>
      </c>
      <c r="M221" s="111">
        <f>O221</f>
        <v>1666.6666666666667</v>
      </c>
      <c r="N221" s="226">
        <f>SUM(J221:M221)</f>
        <v>6666.666666666667</v>
      </c>
      <c r="O221" s="75">
        <f>AA221/COUNT($O$6:$Z$6)</f>
        <v>1666.6666666666667</v>
      </c>
      <c r="P221" s="75">
        <f t="shared" si="274"/>
        <v>1666.6666666666667</v>
      </c>
      <c r="Q221" s="75">
        <f t="shared" si="274"/>
        <v>1666.6666666666667</v>
      </c>
      <c r="R221" s="75">
        <f t="shared" si="274"/>
        <v>1666.6666666666667</v>
      </c>
      <c r="S221" s="75">
        <f t="shared" si="274"/>
        <v>1666.6666666666667</v>
      </c>
      <c r="T221" s="75">
        <f t="shared" si="274"/>
        <v>1666.6666666666667</v>
      </c>
      <c r="U221" s="75">
        <f t="shared" si="274"/>
        <v>1666.6666666666667</v>
      </c>
      <c r="V221" s="75">
        <f t="shared" si="274"/>
        <v>1666.6666666666667</v>
      </c>
      <c r="W221" s="75">
        <f t="shared" si="274"/>
        <v>1666.6666666666667</v>
      </c>
      <c r="X221" s="75">
        <f t="shared" si="274"/>
        <v>1666.6666666666667</v>
      </c>
      <c r="Y221" s="75">
        <f t="shared" si="274"/>
        <v>1666.6666666666667</v>
      </c>
      <c r="Z221" s="75">
        <f t="shared" si="274"/>
        <v>1666.6666666666667</v>
      </c>
      <c r="AA221" s="36">
        <v>20000</v>
      </c>
      <c r="AB221" s="113">
        <f>AN221/COUNT($AB$6:$AM$6)</f>
        <v>1700</v>
      </c>
      <c r="AC221" s="113">
        <f t="shared" ref="AC221:BM221" si="276">AB221</f>
        <v>1700</v>
      </c>
      <c r="AD221" s="113">
        <f t="shared" si="276"/>
        <v>1700</v>
      </c>
      <c r="AE221" s="113">
        <f t="shared" si="276"/>
        <v>1700</v>
      </c>
      <c r="AF221" s="113">
        <f t="shared" si="276"/>
        <v>1700</v>
      </c>
      <c r="AG221" s="113">
        <f t="shared" si="276"/>
        <v>1700</v>
      </c>
      <c r="AH221" s="113">
        <f t="shared" si="276"/>
        <v>1700</v>
      </c>
      <c r="AI221" s="113">
        <f t="shared" si="276"/>
        <v>1700</v>
      </c>
      <c r="AJ221" s="113">
        <f t="shared" si="276"/>
        <v>1700</v>
      </c>
      <c r="AK221" s="113">
        <f t="shared" si="276"/>
        <v>1700</v>
      </c>
      <c r="AL221" s="113">
        <f t="shared" si="276"/>
        <v>1700</v>
      </c>
      <c r="AM221" s="113">
        <f t="shared" si="276"/>
        <v>1700</v>
      </c>
      <c r="AN221" s="75">
        <f>AA221*(1+$AN$223)</f>
        <v>20400</v>
      </c>
      <c r="AO221" s="113">
        <f>BA221/COUNT($AO$6:$AZ$6)</f>
        <v>1734</v>
      </c>
      <c r="AP221" s="113">
        <f t="shared" si="276"/>
        <v>1734</v>
      </c>
      <c r="AQ221" s="113">
        <f t="shared" si="276"/>
        <v>1734</v>
      </c>
      <c r="AR221" s="113">
        <f t="shared" si="276"/>
        <v>1734</v>
      </c>
      <c r="AS221" s="113">
        <f t="shared" si="276"/>
        <v>1734</v>
      </c>
      <c r="AT221" s="113">
        <f t="shared" si="276"/>
        <v>1734</v>
      </c>
      <c r="AU221" s="113">
        <f t="shared" si="276"/>
        <v>1734</v>
      </c>
      <c r="AV221" s="113">
        <f t="shared" si="276"/>
        <v>1734</v>
      </c>
      <c r="AW221" s="113">
        <f t="shared" si="276"/>
        <v>1734</v>
      </c>
      <c r="AX221" s="113">
        <f t="shared" si="276"/>
        <v>1734</v>
      </c>
      <c r="AY221" s="113">
        <f t="shared" si="276"/>
        <v>1734</v>
      </c>
      <c r="AZ221" s="113">
        <f t="shared" si="276"/>
        <v>1734</v>
      </c>
      <c r="BA221" s="75">
        <f>AN221*(1+$BA$223)</f>
        <v>20808</v>
      </c>
      <c r="BB221" s="113">
        <f>BN221/COUNT($BB$6:$BM$6)</f>
        <v>1768.68</v>
      </c>
      <c r="BC221" s="113">
        <f t="shared" si="276"/>
        <v>1768.68</v>
      </c>
      <c r="BD221" s="113">
        <f t="shared" si="276"/>
        <v>1768.68</v>
      </c>
      <c r="BE221" s="113">
        <f t="shared" si="276"/>
        <v>1768.68</v>
      </c>
      <c r="BF221" s="113">
        <f t="shared" si="276"/>
        <v>1768.68</v>
      </c>
      <c r="BG221" s="113">
        <f t="shared" si="276"/>
        <v>1768.68</v>
      </c>
      <c r="BH221" s="113">
        <f t="shared" si="276"/>
        <v>1768.68</v>
      </c>
      <c r="BI221" s="113">
        <f t="shared" si="276"/>
        <v>1768.68</v>
      </c>
      <c r="BJ221" s="113">
        <f t="shared" si="276"/>
        <v>1768.68</v>
      </c>
      <c r="BK221" s="113">
        <f t="shared" si="276"/>
        <v>1768.68</v>
      </c>
      <c r="BL221" s="113">
        <f t="shared" si="276"/>
        <v>1768.68</v>
      </c>
      <c r="BM221" s="113">
        <f t="shared" si="276"/>
        <v>1768.68</v>
      </c>
      <c r="BN221" s="75">
        <f>BA221*(1+$BN$223)</f>
        <v>21224.16</v>
      </c>
    </row>
    <row r="222" spans="2:66" x14ac:dyDescent="0.2">
      <c r="B222" t="s">
        <v>133</v>
      </c>
      <c r="C222" t="s">
        <v>123</v>
      </c>
      <c r="D222" s="53" t="s">
        <v>131</v>
      </c>
      <c r="G222" s="38">
        <f t="shared" ref="G222:M222" si="277">H222</f>
        <v>0.01</v>
      </c>
      <c r="H222" s="38">
        <f t="shared" si="277"/>
        <v>0.01</v>
      </c>
      <c r="I222" s="38">
        <f t="shared" si="277"/>
        <v>0.01</v>
      </c>
      <c r="J222" s="38">
        <f t="shared" si="277"/>
        <v>0.01</v>
      </c>
      <c r="K222" s="38">
        <f t="shared" si="277"/>
        <v>0.01</v>
      </c>
      <c r="L222" s="38">
        <f t="shared" si="277"/>
        <v>0.01</v>
      </c>
      <c r="M222" s="38">
        <f t="shared" si="277"/>
        <v>0.01</v>
      </c>
      <c r="N222" s="28">
        <v>0.01</v>
      </c>
      <c r="O222" s="38">
        <f t="shared" ref="O222:AT222" si="278">N222</f>
        <v>0.01</v>
      </c>
      <c r="P222" s="38">
        <f t="shared" si="278"/>
        <v>0.01</v>
      </c>
      <c r="Q222" s="38">
        <f t="shared" si="278"/>
        <v>0.01</v>
      </c>
      <c r="R222" s="38">
        <f t="shared" si="278"/>
        <v>0.01</v>
      </c>
      <c r="S222" s="38">
        <f t="shared" si="278"/>
        <v>0.01</v>
      </c>
      <c r="T222" s="38">
        <f t="shared" si="278"/>
        <v>0.01</v>
      </c>
      <c r="U222" s="38">
        <f t="shared" si="278"/>
        <v>0.01</v>
      </c>
      <c r="V222" s="38">
        <f t="shared" si="278"/>
        <v>0.01</v>
      </c>
      <c r="W222" s="38">
        <f t="shared" si="278"/>
        <v>0.01</v>
      </c>
      <c r="X222" s="38">
        <f t="shared" si="278"/>
        <v>0.01</v>
      </c>
      <c r="Y222" s="38">
        <f t="shared" si="278"/>
        <v>0.01</v>
      </c>
      <c r="Z222" s="38">
        <f t="shared" si="278"/>
        <v>0.01</v>
      </c>
      <c r="AA222" s="38">
        <f t="shared" si="278"/>
        <v>0.01</v>
      </c>
      <c r="AB222" s="38">
        <f t="shared" si="278"/>
        <v>0.01</v>
      </c>
      <c r="AC222" s="38">
        <f t="shared" si="278"/>
        <v>0.01</v>
      </c>
      <c r="AD222" s="38">
        <f t="shared" si="278"/>
        <v>0.01</v>
      </c>
      <c r="AE222" s="38">
        <f t="shared" si="278"/>
        <v>0.01</v>
      </c>
      <c r="AF222" s="38">
        <f t="shared" si="278"/>
        <v>0.01</v>
      </c>
      <c r="AG222" s="38">
        <f t="shared" si="278"/>
        <v>0.01</v>
      </c>
      <c r="AH222" s="38">
        <f t="shared" si="278"/>
        <v>0.01</v>
      </c>
      <c r="AI222" s="38">
        <f t="shared" si="278"/>
        <v>0.01</v>
      </c>
      <c r="AJ222" s="38">
        <f t="shared" si="278"/>
        <v>0.01</v>
      </c>
      <c r="AK222" s="38">
        <f t="shared" si="278"/>
        <v>0.01</v>
      </c>
      <c r="AL222" s="38">
        <f t="shared" si="278"/>
        <v>0.01</v>
      </c>
      <c r="AM222" s="38">
        <f t="shared" si="278"/>
        <v>0.01</v>
      </c>
      <c r="AN222" s="38">
        <f t="shared" si="278"/>
        <v>0.01</v>
      </c>
      <c r="AO222" s="38">
        <f t="shared" si="278"/>
        <v>0.01</v>
      </c>
      <c r="AP222" s="38">
        <f t="shared" si="278"/>
        <v>0.01</v>
      </c>
      <c r="AQ222" s="38">
        <f t="shared" si="278"/>
        <v>0.01</v>
      </c>
      <c r="AR222" s="38">
        <f t="shared" si="278"/>
        <v>0.01</v>
      </c>
      <c r="AS222" s="38">
        <f t="shared" si="278"/>
        <v>0.01</v>
      </c>
      <c r="AT222" s="38">
        <f t="shared" si="278"/>
        <v>0.01</v>
      </c>
      <c r="AU222" s="38">
        <f t="shared" ref="AU222:BN222" si="279">AT222</f>
        <v>0.01</v>
      </c>
      <c r="AV222" s="38">
        <f t="shared" si="279"/>
        <v>0.01</v>
      </c>
      <c r="AW222" s="38">
        <f t="shared" si="279"/>
        <v>0.01</v>
      </c>
      <c r="AX222" s="38">
        <f t="shared" si="279"/>
        <v>0.01</v>
      </c>
      <c r="AY222" s="38">
        <f t="shared" si="279"/>
        <v>0.01</v>
      </c>
      <c r="AZ222" s="38">
        <f t="shared" si="279"/>
        <v>0.01</v>
      </c>
      <c r="BA222" s="38">
        <f t="shared" si="279"/>
        <v>0.01</v>
      </c>
      <c r="BB222" s="38">
        <f t="shared" si="279"/>
        <v>0.01</v>
      </c>
      <c r="BC222" s="38">
        <f t="shared" si="279"/>
        <v>0.01</v>
      </c>
      <c r="BD222" s="38">
        <f t="shared" si="279"/>
        <v>0.01</v>
      </c>
      <c r="BE222" s="38">
        <f t="shared" si="279"/>
        <v>0.01</v>
      </c>
      <c r="BF222" s="38">
        <f t="shared" si="279"/>
        <v>0.01</v>
      </c>
      <c r="BG222" s="38">
        <f t="shared" si="279"/>
        <v>0.01</v>
      </c>
      <c r="BH222" s="38">
        <f t="shared" si="279"/>
        <v>0.01</v>
      </c>
      <c r="BI222" s="38">
        <f t="shared" si="279"/>
        <v>0.01</v>
      </c>
      <c r="BJ222" s="38">
        <f t="shared" si="279"/>
        <v>0.01</v>
      </c>
      <c r="BK222" s="38">
        <f t="shared" si="279"/>
        <v>0.01</v>
      </c>
      <c r="BL222" s="38">
        <f t="shared" si="279"/>
        <v>0.01</v>
      </c>
      <c r="BM222" s="38">
        <f t="shared" si="279"/>
        <v>0.01</v>
      </c>
      <c r="BN222" s="38">
        <f t="shared" si="279"/>
        <v>0.01</v>
      </c>
    </row>
    <row r="223" spans="2:66" x14ac:dyDescent="0.2">
      <c r="B223" t="s">
        <v>19</v>
      </c>
      <c r="C223" t="s">
        <v>13</v>
      </c>
      <c r="D223" s="53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Scenarios!AA13</f>
        <v>2.1000000000000001E-2</v>
      </c>
      <c r="AB223" s="38">
        <f>Scenarios!AB13</f>
        <v>0</v>
      </c>
      <c r="AC223" s="38">
        <f>Scenarios!AC13</f>
        <v>0</v>
      </c>
      <c r="AD223" s="38">
        <f>Scenarios!AD13</f>
        <v>0</v>
      </c>
      <c r="AE223" s="38">
        <f>Scenarios!AE13</f>
        <v>0</v>
      </c>
      <c r="AF223" s="38">
        <f>Scenarios!AF13</f>
        <v>0</v>
      </c>
      <c r="AG223" s="38">
        <f>Scenarios!AG13</f>
        <v>0</v>
      </c>
      <c r="AH223" s="38">
        <f>Scenarios!AH13</f>
        <v>0</v>
      </c>
      <c r="AI223" s="38">
        <f>Scenarios!AI13</f>
        <v>0</v>
      </c>
      <c r="AJ223" s="38">
        <f>Scenarios!AJ13</f>
        <v>0</v>
      </c>
      <c r="AK223" s="38">
        <f>Scenarios!AK13</f>
        <v>0</v>
      </c>
      <c r="AL223" s="38">
        <f>Scenarios!AL13</f>
        <v>0</v>
      </c>
      <c r="AM223" s="38">
        <f>Scenarios!AM13</f>
        <v>0</v>
      </c>
      <c r="AN223" s="38">
        <f>Scenarios!AN13</f>
        <v>0.02</v>
      </c>
      <c r="AO223" s="38">
        <f>Scenarios!AO13</f>
        <v>0</v>
      </c>
      <c r="AP223" s="38">
        <f>Scenarios!AP13</f>
        <v>0</v>
      </c>
      <c r="AQ223" s="38">
        <f>Scenarios!AQ13</f>
        <v>0</v>
      </c>
      <c r="AR223" s="38">
        <f>Scenarios!AR13</f>
        <v>0</v>
      </c>
      <c r="AS223" s="38">
        <f>Scenarios!AS13</f>
        <v>0</v>
      </c>
      <c r="AT223" s="38">
        <f>Scenarios!AT13</f>
        <v>0</v>
      </c>
      <c r="AU223" s="38">
        <f>Scenarios!AU13</f>
        <v>0</v>
      </c>
      <c r="AV223" s="38">
        <f>Scenarios!AV13</f>
        <v>0</v>
      </c>
      <c r="AW223" s="38">
        <f>Scenarios!AW13</f>
        <v>0</v>
      </c>
      <c r="AX223" s="38">
        <f>Scenarios!AX13</f>
        <v>0</v>
      </c>
      <c r="AY223" s="38">
        <f>Scenarios!AY13</f>
        <v>0</v>
      </c>
      <c r="AZ223" s="38">
        <f>Scenarios!AZ13</f>
        <v>0</v>
      </c>
      <c r="BA223" s="38">
        <f>Scenarios!BA13</f>
        <v>0.02</v>
      </c>
      <c r="BB223" s="38">
        <f>Scenarios!BB13</f>
        <v>0</v>
      </c>
      <c r="BC223" s="38">
        <f>Scenarios!BC13</f>
        <v>0</v>
      </c>
      <c r="BD223" s="38">
        <f>Scenarios!BD13</f>
        <v>0</v>
      </c>
      <c r="BE223" s="38">
        <f>Scenarios!BE13</f>
        <v>0</v>
      </c>
      <c r="BF223" s="38">
        <f>Scenarios!BF13</f>
        <v>0</v>
      </c>
      <c r="BG223" s="38">
        <f>Scenarios!BG13</f>
        <v>0</v>
      </c>
      <c r="BH223" s="38">
        <f>Scenarios!BH13</f>
        <v>0</v>
      </c>
      <c r="BI223" s="38">
        <f>Scenarios!BI13</f>
        <v>0</v>
      </c>
      <c r="BJ223" s="38">
        <f>Scenarios!BJ13</f>
        <v>0</v>
      </c>
      <c r="BK223" s="38">
        <f>Scenarios!BK13</f>
        <v>0</v>
      </c>
      <c r="BL223" s="38">
        <f>Scenarios!BL13</f>
        <v>0</v>
      </c>
      <c r="BM223" s="38">
        <f>Scenarios!BM13</f>
        <v>0</v>
      </c>
      <c r="BN223" s="38">
        <f>Scenarios!BN13</f>
        <v>0.02</v>
      </c>
    </row>
    <row r="225" spans="2:66" x14ac:dyDescent="0.2">
      <c r="B225" s="6" t="s">
        <v>39</v>
      </c>
    </row>
    <row r="226" spans="2:66" x14ac:dyDescent="0.2">
      <c r="B226" t="s">
        <v>40</v>
      </c>
      <c r="C226" t="s">
        <v>123</v>
      </c>
      <c r="D226" s="53" t="s">
        <v>260</v>
      </c>
      <c r="N226" s="224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224">
        <v>0.25</v>
      </c>
      <c r="AB226" s="65"/>
      <c r="AC226" s="65"/>
      <c r="AD226" s="65"/>
      <c r="AE226" s="65"/>
      <c r="AF226" s="65"/>
      <c r="AG226" s="65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  <c r="AV226" s="65"/>
      <c r="AW226" s="65"/>
      <c r="AX226" s="65"/>
      <c r="AY226" s="65"/>
      <c r="AZ226" s="65"/>
      <c r="BA226" s="65"/>
      <c r="BB226" s="65">
        <f>Scenarios!BB13</f>
        <v>0</v>
      </c>
      <c r="BC226" s="65">
        <f>Scenarios!BC13</f>
        <v>0</v>
      </c>
      <c r="BD226" s="65">
        <f>Scenarios!BD13</f>
        <v>0</v>
      </c>
      <c r="BE226" s="65">
        <f>Scenarios!BE13</f>
        <v>0</v>
      </c>
      <c r="BF226" s="65">
        <f>Scenarios!BF13</f>
        <v>0</v>
      </c>
      <c r="BG226" s="65">
        <f>Scenarios!BG13</f>
        <v>0</v>
      </c>
      <c r="BH226" s="65">
        <f>Scenarios!BH13</f>
        <v>0</v>
      </c>
      <c r="BI226" s="65">
        <f>Scenarios!BI13</f>
        <v>0</v>
      </c>
      <c r="BJ226" s="65">
        <f>Scenarios!BJ13</f>
        <v>0</v>
      </c>
      <c r="BK226" s="65">
        <f>Scenarios!BK13</f>
        <v>0</v>
      </c>
      <c r="BL226" s="65">
        <f>Scenarios!BL13</f>
        <v>0</v>
      </c>
      <c r="BM226" s="65">
        <f>Scenarios!BM13</f>
        <v>0</v>
      </c>
      <c r="BN226" s="65">
        <f>Scenarios!BN13</f>
        <v>0.02</v>
      </c>
    </row>
    <row r="227" spans="2:66" x14ac:dyDescent="0.2">
      <c r="B227" t="s">
        <v>134</v>
      </c>
      <c r="C227" t="s">
        <v>41</v>
      </c>
      <c r="D227" s="53" t="s">
        <v>130</v>
      </c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44">
        <f>2200*12</f>
        <v>26400</v>
      </c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>
        <f t="shared" ref="BB227:BN228" si="280">BB226</f>
        <v>0</v>
      </c>
      <c r="BC227" s="65">
        <f t="shared" si="280"/>
        <v>0</v>
      </c>
      <c r="BD227" s="65">
        <f t="shared" si="280"/>
        <v>0</v>
      </c>
      <c r="BE227" s="65">
        <f t="shared" si="280"/>
        <v>0</v>
      </c>
      <c r="BF227" s="65">
        <f t="shared" si="280"/>
        <v>0</v>
      </c>
      <c r="BG227" s="65">
        <f t="shared" si="280"/>
        <v>0</v>
      </c>
      <c r="BH227" s="65">
        <f t="shared" si="280"/>
        <v>0</v>
      </c>
      <c r="BI227" s="65">
        <f t="shared" si="280"/>
        <v>0</v>
      </c>
      <c r="BJ227" s="65">
        <f t="shared" si="280"/>
        <v>0</v>
      </c>
      <c r="BK227" s="65">
        <f t="shared" si="280"/>
        <v>0</v>
      </c>
      <c r="BL227" s="65">
        <f t="shared" si="280"/>
        <v>0</v>
      </c>
      <c r="BM227" s="65">
        <f t="shared" si="280"/>
        <v>0</v>
      </c>
      <c r="BN227" s="65">
        <f t="shared" si="280"/>
        <v>0.02</v>
      </c>
    </row>
    <row r="228" spans="2:66" hidden="1" x14ac:dyDescent="0.2">
      <c r="B228" t="s">
        <v>136</v>
      </c>
      <c r="C228" t="s">
        <v>123</v>
      </c>
      <c r="D228" s="53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229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  <c r="AV228" s="65"/>
      <c r="AW228" s="65"/>
      <c r="AX228" s="65"/>
      <c r="AY228" s="65"/>
      <c r="AZ228" s="65"/>
      <c r="BA228" s="65"/>
      <c r="BB228" s="65">
        <f t="shared" si="280"/>
        <v>0</v>
      </c>
      <c r="BC228" s="65">
        <f t="shared" si="280"/>
        <v>0</v>
      </c>
      <c r="BD228" s="65">
        <f t="shared" si="280"/>
        <v>0</v>
      </c>
      <c r="BE228" s="65">
        <f t="shared" si="280"/>
        <v>0</v>
      </c>
      <c r="BF228" s="65">
        <f t="shared" si="280"/>
        <v>0</v>
      </c>
      <c r="BG228" s="65">
        <f t="shared" si="280"/>
        <v>0</v>
      </c>
      <c r="BH228" s="65">
        <f t="shared" si="280"/>
        <v>0</v>
      </c>
      <c r="BI228" s="65">
        <f t="shared" si="280"/>
        <v>0</v>
      </c>
      <c r="BJ228" s="65">
        <f t="shared" si="280"/>
        <v>0</v>
      </c>
      <c r="BK228" s="65">
        <f t="shared" si="280"/>
        <v>0</v>
      </c>
      <c r="BL228" s="65">
        <f t="shared" si="280"/>
        <v>0</v>
      </c>
      <c r="BM228" s="65">
        <f t="shared" si="280"/>
        <v>0</v>
      </c>
      <c r="BN228" s="65">
        <f t="shared" si="280"/>
        <v>0.02</v>
      </c>
    </row>
    <row r="230" spans="2:66" hidden="1" x14ac:dyDescent="0.2">
      <c r="B230" s="6" t="s">
        <v>215</v>
      </c>
    </row>
    <row r="231" spans="2:66" hidden="1" x14ac:dyDescent="0.2">
      <c r="B231" t="s">
        <v>216</v>
      </c>
      <c r="C231" t="s">
        <v>49</v>
      </c>
      <c r="G231">
        <f t="shared" ref="G231:L234" si="281">H231</f>
        <v>30</v>
      </c>
      <c r="H231">
        <f t="shared" si="281"/>
        <v>30</v>
      </c>
      <c r="I231">
        <f t="shared" si="281"/>
        <v>30</v>
      </c>
      <c r="J231">
        <f t="shared" si="281"/>
        <v>30</v>
      </c>
      <c r="K231">
        <f t="shared" si="281"/>
        <v>30</v>
      </c>
      <c r="L231">
        <f t="shared" si="281"/>
        <v>30</v>
      </c>
      <c r="M231">
        <f>N231</f>
        <v>30</v>
      </c>
      <c r="N231" s="159">
        <v>30</v>
      </c>
      <c r="O231">
        <f>N231</f>
        <v>30</v>
      </c>
      <c r="P231">
        <f t="shared" ref="P231:BN234" si="282">O231</f>
        <v>30</v>
      </c>
      <c r="Q231">
        <f t="shared" si="282"/>
        <v>30</v>
      </c>
      <c r="R231">
        <f t="shared" si="282"/>
        <v>30</v>
      </c>
      <c r="S231">
        <f t="shared" si="282"/>
        <v>30</v>
      </c>
      <c r="T231">
        <f t="shared" si="282"/>
        <v>30</v>
      </c>
      <c r="U231">
        <f t="shared" si="282"/>
        <v>30</v>
      </c>
      <c r="V231">
        <f t="shared" si="282"/>
        <v>30</v>
      </c>
      <c r="W231">
        <f t="shared" si="282"/>
        <v>30</v>
      </c>
      <c r="X231">
        <f t="shared" si="282"/>
        <v>30</v>
      </c>
      <c r="Y231">
        <f t="shared" si="282"/>
        <v>30</v>
      </c>
      <c r="Z231">
        <f t="shared" si="282"/>
        <v>30</v>
      </c>
      <c r="AA231">
        <f t="shared" si="282"/>
        <v>30</v>
      </c>
      <c r="AB231">
        <f t="shared" si="282"/>
        <v>30</v>
      </c>
      <c r="AC231">
        <f t="shared" si="282"/>
        <v>30</v>
      </c>
      <c r="AD231">
        <f t="shared" si="282"/>
        <v>30</v>
      </c>
      <c r="AE231">
        <f t="shared" si="282"/>
        <v>30</v>
      </c>
      <c r="AF231">
        <f t="shared" si="282"/>
        <v>30</v>
      </c>
      <c r="AG231">
        <f t="shared" si="282"/>
        <v>30</v>
      </c>
      <c r="AH231">
        <f t="shared" si="282"/>
        <v>30</v>
      </c>
      <c r="AI231">
        <f t="shared" si="282"/>
        <v>30</v>
      </c>
      <c r="AJ231">
        <f t="shared" si="282"/>
        <v>30</v>
      </c>
      <c r="AK231">
        <f t="shared" si="282"/>
        <v>30</v>
      </c>
      <c r="AL231">
        <f t="shared" si="282"/>
        <v>30</v>
      </c>
      <c r="AM231">
        <f t="shared" si="282"/>
        <v>30</v>
      </c>
      <c r="AN231">
        <f t="shared" si="282"/>
        <v>30</v>
      </c>
      <c r="AO231">
        <f t="shared" si="282"/>
        <v>30</v>
      </c>
      <c r="AP231">
        <f t="shared" si="282"/>
        <v>30</v>
      </c>
      <c r="AQ231">
        <f t="shared" si="282"/>
        <v>30</v>
      </c>
      <c r="AR231">
        <f t="shared" si="282"/>
        <v>30</v>
      </c>
      <c r="AS231">
        <f t="shared" si="282"/>
        <v>30</v>
      </c>
      <c r="AT231">
        <f t="shared" si="282"/>
        <v>30</v>
      </c>
      <c r="AU231">
        <f t="shared" si="282"/>
        <v>30</v>
      </c>
      <c r="AV231">
        <f t="shared" si="282"/>
        <v>30</v>
      </c>
      <c r="AW231">
        <f t="shared" si="282"/>
        <v>30</v>
      </c>
      <c r="AX231">
        <f t="shared" si="282"/>
        <v>30</v>
      </c>
      <c r="AY231">
        <f t="shared" si="282"/>
        <v>30</v>
      </c>
      <c r="AZ231">
        <f t="shared" si="282"/>
        <v>30</v>
      </c>
      <c r="BA231">
        <f t="shared" si="282"/>
        <v>30</v>
      </c>
      <c r="BB231">
        <f t="shared" si="282"/>
        <v>30</v>
      </c>
      <c r="BC231">
        <f t="shared" si="282"/>
        <v>30</v>
      </c>
      <c r="BD231">
        <f t="shared" si="282"/>
        <v>30</v>
      </c>
      <c r="BE231">
        <f t="shared" si="282"/>
        <v>30</v>
      </c>
      <c r="BF231">
        <f t="shared" si="282"/>
        <v>30</v>
      </c>
      <c r="BG231">
        <f t="shared" si="282"/>
        <v>30</v>
      </c>
      <c r="BH231">
        <f t="shared" si="282"/>
        <v>30</v>
      </c>
      <c r="BI231">
        <f t="shared" si="282"/>
        <v>30</v>
      </c>
      <c r="BJ231">
        <f t="shared" si="282"/>
        <v>30</v>
      </c>
      <c r="BK231">
        <f t="shared" si="282"/>
        <v>30</v>
      </c>
      <c r="BL231">
        <f t="shared" si="282"/>
        <v>30</v>
      </c>
      <c r="BM231">
        <f t="shared" si="282"/>
        <v>30</v>
      </c>
      <c r="BN231">
        <f t="shared" si="282"/>
        <v>30</v>
      </c>
    </row>
    <row r="232" spans="2:66" hidden="1" x14ac:dyDescent="0.2">
      <c r="B232" t="s">
        <v>217</v>
      </c>
      <c r="C232" t="s">
        <v>49</v>
      </c>
      <c r="G232">
        <f t="shared" si="281"/>
        <v>30</v>
      </c>
      <c r="H232">
        <f t="shared" si="281"/>
        <v>30</v>
      </c>
      <c r="I232">
        <f t="shared" si="281"/>
        <v>30</v>
      </c>
      <c r="J232">
        <f t="shared" si="281"/>
        <v>30</v>
      </c>
      <c r="K232">
        <f t="shared" si="281"/>
        <v>30</v>
      </c>
      <c r="L232">
        <f t="shared" si="281"/>
        <v>30</v>
      </c>
      <c r="M232">
        <f t="shared" ref="M232:M234" si="283">N232</f>
        <v>30</v>
      </c>
      <c r="N232" s="159">
        <v>30</v>
      </c>
      <c r="O232">
        <f t="shared" ref="O232:AD234" si="284">N232</f>
        <v>30</v>
      </c>
      <c r="P232">
        <f t="shared" si="284"/>
        <v>30</v>
      </c>
      <c r="Q232">
        <f t="shared" si="284"/>
        <v>30</v>
      </c>
      <c r="R232">
        <f t="shared" si="284"/>
        <v>30</v>
      </c>
      <c r="S232">
        <f t="shared" si="284"/>
        <v>30</v>
      </c>
      <c r="T232">
        <f t="shared" si="284"/>
        <v>30</v>
      </c>
      <c r="U232">
        <f t="shared" si="284"/>
        <v>30</v>
      </c>
      <c r="V232">
        <f t="shared" si="284"/>
        <v>30</v>
      </c>
      <c r="W232">
        <f t="shared" si="284"/>
        <v>30</v>
      </c>
      <c r="X232">
        <f t="shared" si="284"/>
        <v>30</v>
      </c>
      <c r="Y232">
        <f t="shared" si="284"/>
        <v>30</v>
      </c>
      <c r="Z232">
        <f t="shared" si="284"/>
        <v>30</v>
      </c>
      <c r="AA232">
        <f t="shared" si="284"/>
        <v>30</v>
      </c>
      <c r="AB232">
        <f t="shared" si="284"/>
        <v>30</v>
      </c>
      <c r="AC232">
        <f t="shared" si="284"/>
        <v>30</v>
      </c>
      <c r="AD232">
        <f t="shared" si="284"/>
        <v>30</v>
      </c>
      <c r="AE232">
        <f t="shared" si="282"/>
        <v>30</v>
      </c>
      <c r="AF232">
        <f t="shared" si="282"/>
        <v>30</v>
      </c>
      <c r="AG232">
        <f t="shared" si="282"/>
        <v>30</v>
      </c>
      <c r="AH232">
        <f t="shared" si="282"/>
        <v>30</v>
      </c>
      <c r="AI232">
        <f t="shared" si="282"/>
        <v>30</v>
      </c>
      <c r="AJ232">
        <f t="shared" si="282"/>
        <v>30</v>
      </c>
      <c r="AK232">
        <f t="shared" si="282"/>
        <v>30</v>
      </c>
      <c r="AL232">
        <f t="shared" si="282"/>
        <v>30</v>
      </c>
      <c r="AM232">
        <f t="shared" si="282"/>
        <v>30</v>
      </c>
      <c r="AN232">
        <f t="shared" si="282"/>
        <v>30</v>
      </c>
      <c r="AO232">
        <f t="shared" si="282"/>
        <v>30</v>
      </c>
      <c r="AP232">
        <f t="shared" si="282"/>
        <v>30</v>
      </c>
      <c r="AQ232">
        <f t="shared" si="282"/>
        <v>30</v>
      </c>
      <c r="AR232">
        <f t="shared" si="282"/>
        <v>30</v>
      </c>
      <c r="AS232">
        <f t="shared" si="282"/>
        <v>30</v>
      </c>
      <c r="AT232">
        <f t="shared" si="282"/>
        <v>30</v>
      </c>
      <c r="AU232">
        <f t="shared" si="282"/>
        <v>30</v>
      </c>
      <c r="AV232">
        <f t="shared" si="282"/>
        <v>30</v>
      </c>
      <c r="AW232">
        <f t="shared" si="282"/>
        <v>30</v>
      </c>
      <c r="AX232">
        <f t="shared" si="282"/>
        <v>30</v>
      </c>
      <c r="AY232">
        <f t="shared" si="282"/>
        <v>30</v>
      </c>
      <c r="AZ232">
        <f t="shared" si="282"/>
        <v>30</v>
      </c>
      <c r="BA232">
        <f t="shared" si="282"/>
        <v>30</v>
      </c>
      <c r="BB232">
        <f t="shared" si="282"/>
        <v>30</v>
      </c>
      <c r="BC232">
        <f t="shared" si="282"/>
        <v>30</v>
      </c>
      <c r="BD232">
        <f t="shared" si="282"/>
        <v>30</v>
      </c>
      <c r="BE232">
        <f t="shared" si="282"/>
        <v>30</v>
      </c>
      <c r="BF232">
        <f t="shared" si="282"/>
        <v>30</v>
      </c>
      <c r="BG232">
        <f t="shared" si="282"/>
        <v>30</v>
      </c>
      <c r="BH232">
        <f t="shared" si="282"/>
        <v>30</v>
      </c>
      <c r="BI232">
        <f t="shared" si="282"/>
        <v>30</v>
      </c>
      <c r="BJ232">
        <f t="shared" si="282"/>
        <v>30</v>
      </c>
      <c r="BK232">
        <f t="shared" si="282"/>
        <v>30</v>
      </c>
      <c r="BL232">
        <f t="shared" si="282"/>
        <v>30</v>
      </c>
      <c r="BM232">
        <f t="shared" si="282"/>
        <v>30</v>
      </c>
      <c r="BN232">
        <f t="shared" si="282"/>
        <v>30</v>
      </c>
    </row>
    <row r="233" spans="2:66" hidden="1" x14ac:dyDescent="0.2">
      <c r="B233" t="s">
        <v>42</v>
      </c>
      <c r="C233" t="s">
        <v>49</v>
      </c>
      <c r="G233">
        <f t="shared" si="281"/>
        <v>0</v>
      </c>
      <c r="H233">
        <f t="shared" si="281"/>
        <v>0</v>
      </c>
      <c r="I233">
        <f t="shared" si="281"/>
        <v>0</v>
      </c>
      <c r="J233">
        <f t="shared" si="281"/>
        <v>0</v>
      </c>
      <c r="K233">
        <f t="shared" si="281"/>
        <v>0</v>
      </c>
      <c r="L233">
        <f t="shared" si="281"/>
        <v>0</v>
      </c>
      <c r="M233">
        <f t="shared" si="283"/>
        <v>0</v>
      </c>
      <c r="N233" s="41">
        <f>SUMPRODUCT('Price Analysis'!$C$7:$C$10,'Price Analysis'!$E$7:$E$10)</f>
        <v>0</v>
      </c>
      <c r="O233">
        <f t="shared" si="284"/>
        <v>0</v>
      </c>
      <c r="P233">
        <f t="shared" si="282"/>
        <v>0</v>
      </c>
      <c r="Q233">
        <f t="shared" si="282"/>
        <v>0</v>
      </c>
      <c r="R233">
        <f t="shared" si="282"/>
        <v>0</v>
      </c>
      <c r="S233">
        <f t="shared" si="282"/>
        <v>0</v>
      </c>
      <c r="T233">
        <f t="shared" si="282"/>
        <v>0</v>
      </c>
      <c r="U233">
        <f t="shared" si="282"/>
        <v>0</v>
      </c>
      <c r="V233">
        <f t="shared" si="282"/>
        <v>0</v>
      </c>
      <c r="W233">
        <f t="shared" si="282"/>
        <v>0</v>
      </c>
      <c r="X233">
        <f t="shared" si="282"/>
        <v>0</v>
      </c>
      <c r="Y233">
        <f t="shared" si="282"/>
        <v>0</v>
      </c>
      <c r="Z233">
        <f t="shared" si="282"/>
        <v>0</v>
      </c>
      <c r="AA233">
        <f t="shared" si="282"/>
        <v>0</v>
      </c>
      <c r="AB233">
        <f t="shared" si="282"/>
        <v>0</v>
      </c>
      <c r="AC233">
        <f t="shared" si="282"/>
        <v>0</v>
      </c>
      <c r="AD233">
        <f t="shared" si="282"/>
        <v>0</v>
      </c>
      <c r="AE233">
        <f t="shared" si="282"/>
        <v>0</v>
      </c>
      <c r="AF233">
        <f t="shared" si="282"/>
        <v>0</v>
      </c>
      <c r="AG233">
        <f t="shared" si="282"/>
        <v>0</v>
      </c>
      <c r="AH233">
        <f t="shared" si="282"/>
        <v>0</v>
      </c>
      <c r="AI233">
        <f t="shared" si="282"/>
        <v>0</v>
      </c>
      <c r="AJ233">
        <f t="shared" si="282"/>
        <v>0</v>
      </c>
      <c r="AK233">
        <f t="shared" si="282"/>
        <v>0</v>
      </c>
      <c r="AL233">
        <f t="shared" si="282"/>
        <v>0</v>
      </c>
      <c r="AM233">
        <f t="shared" si="282"/>
        <v>0</v>
      </c>
      <c r="AN233">
        <f t="shared" si="282"/>
        <v>0</v>
      </c>
      <c r="AO233">
        <f t="shared" si="282"/>
        <v>0</v>
      </c>
      <c r="AP233">
        <f t="shared" si="282"/>
        <v>0</v>
      </c>
      <c r="AQ233">
        <f t="shared" si="282"/>
        <v>0</v>
      </c>
      <c r="AR233">
        <f t="shared" si="282"/>
        <v>0</v>
      </c>
      <c r="AS233">
        <f t="shared" si="282"/>
        <v>0</v>
      </c>
      <c r="AT233">
        <f t="shared" si="282"/>
        <v>0</v>
      </c>
      <c r="AU233">
        <f t="shared" si="282"/>
        <v>0</v>
      </c>
      <c r="AV233">
        <f t="shared" si="282"/>
        <v>0</v>
      </c>
      <c r="AW233">
        <f t="shared" si="282"/>
        <v>0</v>
      </c>
      <c r="AX233">
        <f t="shared" si="282"/>
        <v>0</v>
      </c>
      <c r="AY233">
        <f t="shared" si="282"/>
        <v>0</v>
      </c>
      <c r="AZ233">
        <f t="shared" si="282"/>
        <v>0</v>
      </c>
      <c r="BA233">
        <f t="shared" si="282"/>
        <v>0</v>
      </c>
      <c r="BB233">
        <f t="shared" si="282"/>
        <v>0</v>
      </c>
      <c r="BC233">
        <f t="shared" si="282"/>
        <v>0</v>
      </c>
      <c r="BD233">
        <f t="shared" si="282"/>
        <v>0</v>
      </c>
      <c r="BE233">
        <f t="shared" si="282"/>
        <v>0</v>
      </c>
      <c r="BF233">
        <f t="shared" si="282"/>
        <v>0</v>
      </c>
      <c r="BG233">
        <f t="shared" si="282"/>
        <v>0</v>
      </c>
      <c r="BH233">
        <f t="shared" si="282"/>
        <v>0</v>
      </c>
      <c r="BI233">
        <f t="shared" si="282"/>
        <v>0</v>
      </c>
      <c r="BJ233">
        <f t="shared" si="282"/>
        <v>0</v>
      </c>
      <c r="BK233">
        <f t="shared" si="282"/>
        <v>0</v>
      </c>
      <c r="BL233">
        <f t="shared" si="282"/>
        <v>0</v>
      </c>
      <c r="BM233">
        <f t="shared" si="282"/>
        <v>0</v>
      </c>
      <c r="BN233">
        <f t="shared" si="282"/>
        <v>0</v>
      </c>
    </row>
    <row r="234" spans="2:66" hidden="1" x14ac:dyDescent="0.2">
      <c r="B234" t="s">
        <v>193</v>
      </c>
      <c r="C234" t="s">
        <v>49</v>
      </c>
      <c r="G234">
        <f t="shared" si="281"/>
        <v>30</v>
      </c>
      <c r="H234">
        <f t="shared" si="281"/>
        <v>30</v>
      </c>
      <c r="I234">
        <f t="shared" si="281"/>
        <v>30</v>
      </c>
      <c r="J234">
        <f t="shared" si="281"/>
        <v>30</v>
      </c>
      <c r="K234">
        <f t="shared" si="281"/>
        <v>30</v>
      </c>
      <c r="L234">
        <f t="shared" si="281"/>
        <v>30</v>
      </c>
      <c r="M234">
        <f t="shared" si="283"/>
        <v>30</v>
      </c>
      <c r="N234" s="159">
        <v>30</v>
      </c>
      <c r="O234">
        <f t="shared" si="284"/>
        <v>30</v>
      </c>
      <c r="P234">
        <f t="shared" si="282"/>
        <v>30</v>
      </c>
      <c r="Q234">
        <f t="shared" si="282"/>
        <v>30</v>
      </c>
      <c r="R234">
        <f t="shared" si="282"/>
        <v>30</v>
      </c>
      <c r="S234">
        <f t="shared" si="282"/>
        <v>30</v>
      </c>
      <c r="T234">
        <f t="shared" si="282"/>
        <v>30</v>
      </c>
      <c r="U234">
        <f t="shared" si="282"/>
        <v>30</v>
      </c>
      <c r="V234">
        <f t="shared" si="282"/>
        <v>30</v>
      </c>
      <c r="W234">
        <f t="shared" si="282"/>
        <v>30</v>
      </c>
      <c r="X234">
        <f t="shared" si="282"/>
        <v>30</v>
      </c>
      <c r="Y234">
        <f t="shared" si="282"/>
        <v>30</v>
      </c>
      <c r="Z234">
        <f t="shared" si="282"/>
        <v>30</v>
      </c>
      <c r="AA234">
        <f t="shared" si="282"/>
        <v>30</v>
      </c>
      <c r="AB234">
        <f t="shared" si="282"/>
        <v>30</v>
      </c>
      <c r="AC234">
        <f t="shared" si="282"/>
        <v>30</v>
      </c>
      <c r="AD234">
        <f t="shared" si="282"/>
        <v>30</v>
      </c>
      <c r="AE234">
        <f t="shared" si="282"/>
        <v>30</v>
      </c>
      <c r="AF234">
        <f t="shared" si="282"/>
        <v>30</v>
      </c>
      <c r="AG234">
        <f t="shared" si="282"/>
        <v>30</v>
      </c>
      <c r="AH234">
        <f t="shared" si="282"/>
        <v>30</v>
      </c>
      <c r="AI234">
        <f t="shared" si="282"/>
        <v>30</v>
      </c>
      <c r="AJ234">
        <f t="shared" si="282"/>
        <v>30</v>
      </c>
      <c r="AK234">
        <f t="shared" si="282"/>
        <v>30</v>
      </c>
      <c r="AL234">
        <f t="shared" si="282"/>
        <v>30</v>
      </c>
      <c r="AM234">
        <f t="shared" si="282"/>
        <v>30</v>
      </c>
      <c r="AN234">
        <f t="shared" si="282"/>
        <v>30</v>
      </c>
      <c r="AO234">
        <f t="shared" si="282"/>
        <v>30</v>
      </c>
      <c r="AP234">
        <f t="shared" si="282"/>
        <v>30</v>
      </c>
      <c r="AQ234">
        <f t="shared" si="282"/>
        <v>30</v>
      </c>
      <c r="AR234">
        <f t="shared" si="282"/>
        <v>30</v>
      </c>
      <c r="AS234">
        <f t="shared" si="282"/>
        <v>30</v>
      </c>
      <c r="AT234">
        <f t="shared" si="282"/>
        <v>30</v>
      </c>
      <c r="AU234">
        <f t="shared" si="282"/>
        <v>30</v>
      </c>
      <c r="AV234">
        <f t="shared" si="282"/>
        <v>30</v>
      </c>
      <c r="AW234">
        <f t="shared" si="282"/>
        <v>30</v>
      </c>
      <c r="AX234">
        <f t="shared" si="282"/>
        <v>30</v>
      </c>
      <c r="AY234">
        <f t="shared" si="282"/>
        <v>30</v>
      </c>
      <c r="AZ234">
        <f t="shared" si="282"/>
        <v>30</v>
      </c>
      <c r="BA234">
        <f t="shared" si="282"/>
        <v>30</v>
      </c>
      <c r="BB234">
        <f t="shared" si="282"/>
        <v>30</v>
      </c>
      <c r="BC234">
        <f t="shared" si="282"/>
        <v>30</v>
      </c>
      <c r="BD234">
        <f t="shared" si="282"/>
        <v>30</v>
      </c>
      <c r="BE234">
        <f t="shared" si="282"/>
        <v>30</v>
      </c>
      <c r="BF234">
        <f t="shared" si="282"/>
        <v>30</v>
      </c>
      <c r="BG234">
        <f t="shared" si="282"/>
        <v>30</v>
      </c>
      <c r="BH234">
        <f t="shared" si="282"/>
        <v>30</v>
      </c>
      <c r="BI234">
        <f t="shared" si="282"/>
        <v>30</v>
      </c>
      <c r="BJ234">
        <f t="shared" si="282"/>
        <v>30</v>
      </c>
      <c r="BK234">
        <f t="shared" si="282"/>
        <v>30</v>
      </c>
      <c r="BL234">
        <f t="shared" si="282"/>
        <v>30</v>
      </c>
      <c r="BM234">
        <f t="shared" si="282"/>
        <v>30</v>
      </c>
      <c r="BN234">
        <f t="shared" si="282"/>
        <v>30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E540-A886-4F61-A8D6-FC916F34E57B}">
  <dimension ref="B2:BP193"/>
  <sheetViews>
    <sheetView showGridLines="0" zoomScaleNormal="83" workbookViewId="0">
      <pane xSplit="3" ySplit="7" topLeftCell="D187" activePane="bottomRight" state="frozen"/>
      <selection activeCell="N201" sqref="N201"/>
      <selection pane="topRight" activeCell="N201" sqref="N201"/>
      <selection pane="bottomLeft" activeCell="N201" sqref="N201"/>
      <selection pane="bottomRight" activeCell="N201" sqref="N201"/>
    </sheetView>
  </sheetViews>
  <sheetFormatPr baseColWidth="10" defaultColWidth="9.1640625" defaultRowHeight="15" outlineLevelCol="1" x14ac:dyDescent="0.2"/>
  <cols>
    <col min="1" max="1" width="4.33203125" style="76" customWidth="1"/>
    <col min="2" max="2" width="65.83203125" style="76" customWidth="1"/>
    <col min="3" max="3" width="14.83203125" style="76" customWidth="1"/>
    <col min="4" max="5" width="9.1640625" style="76"/>
    <col min="6" max="6" width="9.6640625" style="76" hidden="1" customWidth="1" outlineLevel="1"/>
    <col min="7" max="9" width="10.83203125" style="76" hidden="1" customWidth="1" outlineLevel="1"/>
    <col min="10" max="10" width="10.83203125" style="76" bestFit="1" customWidth="1" collapsed="1"/>
    <col min="11" max="13" width="11.1640625" style="76" bestFit="1" customWidth="1"/>
    <col min="14" max="14" width="17.83203125" style="76" bestFit="1" customWidth="1"/>
    <col min="15" max="16" width="9.6640625" style="76" hidden="1" customWidth="1" outlineLevel="1"/>
    <col min="17" max="26" width="10.6640625" style="76" hidden="1" customWidth="1" outlineLevel="1"/>
    <col min="27" max="27" width="12.5" style="76" bestFit="1" customWidth="1" collapsed="1"/>
    <col min="28" max="39" width="10.6640625" style="76" hidden="1" customWidth="1" outlineLevel="1"/>
    <col min="40" max="40" width="11.6640625" style="76" bestFit="1" customWidth="1" collapsed="1"/>
    <col min="41" max="52" width="10.6640625" style="76" hidden="1" customWidth="1" outlineLevel="1"/>
    <col min="53" max="53" width="11.6640625" style="76" bestFit="1" customWidth="1" collapsed="1"/>
    <col min="54" max="65" width="10.6640625" style="76" hidden="1" customWidth="1" outlineLevel="1"/>
    <col min="66" max="66" width="11.6640625" style="76" hidden="1" customWidth="1" outlineLevel="1"/>
    <col min="67" max="67" width="10.6640625" style="76" customWidth="1" collapsed="1"/>
    <col min="68" max="73" width="10.6640625" style="76" customWidth="1"/>
    <col min="74" max="16384" width="9.1640625" style="76"/>
  </cols>
  <sheetData>
    <row r="2" spans="2:66" ht="28" x14ac:dyDescent="0.35">
      <c r="B2" s="323" t="str">
        <f>'Cover Page'!B6</f>
        <v>Solea</v>
      </c>
    </row>
    <row r="3" spans="2:66" x14ac:dyDescent="0.2">
      <c r="B3" s="80" t="str">
        <f>UPPER("currently running: "&amp;CHOOSE(Scenarios!$C$8,Scenarios!B15,Scenarios!B16,Scenarios!B17)&amp;" Scenario")</f>
        <v>CURRENTLY RUNNING: BASE CASE SCENARIO</v>
      </c>
    </row>
    <row r="4" spans="2:66" x14ac:dyDescent="0.2">
      <c r="B4" s="80" t="s">
        <v>44</v>
      </c>
    </row>
    <row r="5" spans="2:66" x14ac:dyDescent="0.2">
      <c r="B5" s="324" t="s">
        <v>2</v>
      </c>
      <c r="C5" s="324" t="s">
        <v>3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5"/>
      <c r="BC5" s="325"/>
      <c r="BD5" s="325"/>
      <c r="BE5" s="325"/>
      <c r="BF5" s="325"/>
      <c r="BG5" s="325"/>
      <c r="BH5" s="325"/>
      <c r="BI5" s="325"/>
      <c r="BJ5" s="325"/>
      <c r="BK5" s="325"/>
      <c r="BL5" s="325"/>
      <c r="BM5" s="325"/>
      <c r="BN5" s="325"/>
    </row>
    <row r="6" spans="2:66" customFormat="1" x14ac:dyDescent="0.2">
      <c r="B6" s="10" t="s">
        <v>59</v>
      </c>
      <c r="C6" s="10"/>
      <c r="D6" s="10"/>
      <c r="E6" s="10"/>
      <c r="F6" s="11">
        <v>45808</v>
      </c>
      <c r="G6" s="11">
        <v>45838</v>
      </c>
      <c r="H6" s="11">
        <f t="shared" ref="H6:M6" si="0">EOMONTH(EDATE(G6,1),0)</f>
        <v>45869</v>
      </c>
      <c r="I6" s="11">
        <f t="shared" si="0"/>
        <v>45900</v>
      </c>
      <c r="J6" s="11">
        <f>EOMONTH(EDATE(I6,1),0)</f>
        <v>45930</v>
      </c>
      <c r="K6" s="11">
        <f t="shared" si="0"/>
        <v>45961</v>
      </c>
      <c r="L6" s="11">
        <f t="shared" si="0"/>
        <v>45991</v>
      </c>
      <c r="M6" s="11">
        <f t="shared" si="0"/>
        <v>46022</v>
      </c>
      <c r="N6" s="10">
        <v>2025</v>
      </c>
      <c r="O6" s="11">
        <f>EOMONTH(EDATE(M6,1),0)</f>
        <v>46053</v>
      </c>
      <c r="P6" s="11">
        <f>EOMONTH(EDATE(O6,1),0)</f>
        <v>46081</v>
      </c>
      <c r="Q6" s="11">
        <f t="shared" ref="Q6:Z6" si="1">EOMONTH(EDATE(P6,1),0)</f>
        <v>46112</v>
      </c>
      <c r="R6" s="11">
        <f t="shared" si="1"/>
        <v>46142</v>
      </c>
      <c r="S6" s="11">
        <f t="shared" si="1"/>
        <v>46173</v>
      </c>
      <c r="T6" s="11">
        <f t="shared" si="1"/>
        <v>46203</v>
      </c>
      <c r="U6" s="11">
        <f t="shared" si="1"/>
        <v>46234</v>
      </c>
      <c r="V6" s="11">
        <f t="shared" si="1"/>
        <v>46265</v>
      </c>
      <c r="W6" s="11">
        <f t="shared" si="1"/>
        <v>46295</v>
      </c>
      <c r="X6" s="11">
        <f t="shared" si="1"/>
        <v>46326</v>
      </c>
      <c r="Y6" s="11">
        <f t="shared" si="1"/>
        <v>46356</v>
      </c>
      <c r="Z6" s="11">
        <f t="shared" si="1"/>
        <v>46387</v>
      </c>
      <c r="AA6" s="10">
        <v>2026</v>
      </c>
      <c r="AB6" s="11">
        <f>EOMONTH(EDATE(Z6,1),0)</f>
        <v>46418</v>
      </c>
      <c r="AC6" s="11">
        <f>EOMONTH(EDATE(AB6,1),0)</f>
        <v>46446</v>
      </c>
      <c r="AD6" s="11">
        <f t="shared" ref="AD6:AM6" si="2">EOMONTH(EDATE(AC6,1),0)</f>
        <v>46477</v>
      </c>
      <c r="AE6" s="11">
        <f t="shared" si="2"/>
        <v>46507</v>
      </c>
      <c r="AF6" s="11">
        <f t="shared" si="2"/>
        <v>46538</v>
      </c>
      <c r="AG6" s="11">
        <f t="shared" si="2"/>
        <v>46568</v>
      </c>
      <c r="AH6" s="11">
        <f t="shared" si="2"/>
        <v>46599</v>
      </c>
      <c r="AI6" s="11">
        <f t="shared" si="2"/>
        <v>46630</v>
      </c>
      <c r="AJ6" s="11">
        <f t="shared" si="2"/>
        <v>46660</v>
      </c>
      <c r="AK6" s="11">
        <f t="shared" si="2"/>
        <v>46691</v>
      </c>
      <c r="AL6" s="11">
        <f t="shared" si="2"/>
        <v>46721</v>
      </c>
      <c r="AM6" s="11">
        <f t="shared" si="2"/>
        <v>46752</v>
      </c>
      <c r="AN6" s="10">
        <v>2027</v>
      </c>
      <c r="AO6" s="11">
        <f>EOMONTH(EDATE(AM6,1),0)</f>
        <v>46783</v>
      </c>
      <c r="AP6" s="11">
        <f>EOMONTH(EDATE(AO6,1),0)</f>
        <v>46812</v>
      </c>
      <c r="AQ6" s="11">
        <f t="shared" ref="AQ6:AZ6" si="3">EOMONTH(EDATE(AP6,1),0)</f>
        <v>46843</v>
      </c>
      <c r="AR6" s="11">
        <f t="shared" si="3"/>
        <v>46873</v>
      </c>
      <c r="AS6" s="11">
        <f t="shared" si="3"/>
        <v>46904</v>
      </c>
      <c r="AT6" s="11">
        <f t="shared" si="3"/>
        <v>46934</v>
      </c>
      <c r="AU6" s="11">
        <f t="shared" si="3"/>
        <v>46965</v>
      </c>
      <c r="AV6" s="11">
        <f t="shared" si="3"/>
        <v>46996</v>
      </c>
      <c r="AW6" s="11">
        <f t="shared" si="3"/>
        <v>47026</v>
      </c>
      <c r="AX6" s="11">
        <f t="shared" si="3"/>
        <v>47057</v>
      </c>
      <c r="AY6" s="11">
        <f t="shared" si="3"/>
        <v>47087</v>
      </c>
      <c r="AZ6" s="11">
        <f t="shared" si="3"/>
        <v>47118</v>
      </c>
      <c r="BA6" s="10">
        <v>2028</v>
      </c>
      <c r="BB6" s="11">
        <f>EOMONTH(EDATE(AZ6,1),0)</f>
        <v>47149</v>
      </c>
      <c r="BC6" s="11">
        <f>EOMONTH(EDATE(BB6,1),0)</f>
        <v>47177</v>
      </c>
      <c r="BD6" s="11">
        <f t="shared" ref="BD6:BM6" si="4">EOMONTH(EDATE(BC6,1),0)</f>
        <v>47208</v>
      </c>
      <c r="BE6" s="11">
        <f t="shared" si="4"/>
        <v>47238</v>
      </c>
      <c r="BF6" s="11">
        <f t="shared" si="4"/>
        <v>47269</v>
      </c>
      <c r="BG6" s="11">
        <f t="shared" si="4"/>
        <v>47299</v>
      </c>
      <c r="BH6" s="11">
        <f t="shared" si="4"/>
        <v>47330</v>
      </c>
      <c r="BI6" s="11">
        <f t="shared" si="4"/>
        <v>47361</v>
      </c>
      <c r="BJ6" s="11">
        <f t="shared" si="4"/>
        <v>47391</v>
      </c>
      <c r="BK6" s="11">
        <f t="shared" si="4"/>
        <v>47422</v>
      </c>
      <c r="BL6" s="11">
        <f t="shared" si="4"/>
        <v>47452</v>
      </c>
      <c r="BM6" s="11">
        <f t="shared" si="4"/>
        <v>47483</v>
      </c>
      <c r="BN6" s="10">
        <v>2029</v>
      </c>
    </row>
    <row r="7" spans="2:66" x14ac:dyDescent="0.2"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</row>
    <row r="8" spans="2:66" x14ac:dyDescent="0.2">
      <c r="B8" s="327" t="s">
        <v>45</v>
      </c>
    </row>
    <row r="10" spans="2:66" x14ac:dyDescent="0.2">
      <c r="B10" s="80" t="s">
        <v>5</v>
      </c>
    </row>
    <row r="11" spans="2:66" x14ac:dyDescent="0.2">
      <c r="B11" s="76" t="s">
        <v>6</v>
      </c>
      <c r="C11" s="76" t="s">
        <v>10</v>
      </c>
      <c r="J11" s="76">
        <f>Assumptions!J11</f>
        <v>15.760391191314776</v>
      </c>
      <c r="K11" s="76">
        <f>Assumptions!K11</f>
        <v>15.760391191314776</v>
      </c>
      <c r="L11" s="76">
        <f>Assumptions!L11</f>
        <v>15.760391191314776</v>
      </c>
      <c r="M11" s="76">
        <f>Assumptions!M11</f>
        <v>15.760391191314776</v>
      </c>
      <c r="N11" s="76">
        <f>Assumptions!N11</f>
        <v>15.760391191314776</v>
      </c>
      <c r="O11" s="76">
        <f>Assumptions!O11</f>
        <v>15.760391191314776</v>
      </c>
      <c r="P11" s="76">
        <f>Assumptions!P11</f>
        <v>15.760391191314776</v>
      </c>
      <c r="Q11" s="76">
        <f>Assumptions!Q11</f>
        <v>16.091359406332383</v>
      </c>
      <c r="R11" s="76">
        <f>Assumptions!R11</f>
        <v>16.091359406332383</v>
      </c>
      <c r="S11" s="76">
        <f>Assumptions!S11</f>
        <v>16.091359406332383</v>
      </c>
      <c r="T11" s="76">
        <f>Assumptions!T11</f>
        <v>16.091359406332383</v>
      </c>
      <c r="U11" s="76">
        <f>Assumptions!U11</f>
        <v>16.091359406332383</v>
      </c>
      <c r="V11" s="76">
        <f>Assumptions!V11</f>
        <v>16.091359406332383</v>
      </c>
      <c r="W11" s="76">
        <f>Assumptions!W11</f>
        <v>16.091359406332383</v>
      </c>
      <c r="X11" s="76">
        <f>Assumptions!X11</f>
        <v>16.091359406332383</v>
      </c>
      <c r="Y11" s="76">
        <f>Assumptions!Y11</f>
        <v>16.091359406332383</v>
      </c>
      <c r="Z11" s="76">
        <f>Assumptions!Z11</f>
        <v>16.091359406332383</v>
      </c>
      <c r="AA11" s="76">
        <f>Assumptions!AA11</f>
        <v>16.091359406332383</v>
      </c>
      <c r="AB11" s="76">
        <f>Assumptions!AB11</f>
        <v>16.413186594459031</v>
      </c>
      <c r="AC11" s="76">
        <f>Assumptions!AC11</f>
        <v>16.413186594459031</v>
      </c>
      <c r="AD11" s="76">
        <f>Assumptions!AD11</f>
        <v>16.413186594459031</v>
      </c>
      <c r="AE11" s="76">
        <f>Assumptions!AE11</f>
        <v>16.413186594459031</v>
      </c>
      <c r="AF11" s="76">
        <f>Assumptions!AF11</f>
        <v>16.413186594459031</v>
      </c>
      <c r="AG11" s="76">
        <f>Assumptions!AG11</f>
        <v>16.413186594459031</v>
      </c>
      <c r="AH11" s="76">
        <f>Assumptions!AH11</f>
        <v>16.413186594459031</v>
      </c>
      <c r="AI11" s="76">
        <f>Assumptions!AI11</f>
        <v>16.413186594459031</v>
      </c>
      <c r="AJ11" s="76">
        <f>Assumptions!AJ11</f>
        <v>16.413186594459031</v>
      </c>
      <c r="AK11" s="76">
        <f>Assumptions!AK11</f>
        <v>16.413186594459031</v>
      </c>
      <c r="AL11" s="76">
        <f>Assumptions!AL11</f>
        <v>16.413186594459031</v>
      </c>
      <c r="AM11" s="76">
        <f>Assumptions!AM11</f>
        <v>16.413186594459031</v>
      </c>
      <c r="AN11" s="76">
        <f>Assumptions!AN11</f>
        <v>16.413186594459031</v>
      </c>
      <c r="AO11" s="76">
        <f>Assumptions!AO11</f>
        <v>16.741450326348211</v>
      </c>
      <c r="AP11" s="76">
        <f>Assumptions!AP11</f>
        <v>16.741450326348211</v>
      </c>
      <c r="AQ11" s="76">
        <f>Assumptions!AQ11</f>
        <v>16.741450326348211</v>
      </c>
      <c r="AR11" s="76">
        <f>Assumptions!AR11</f>
        <v>16.741450326348211</v>
      </c>
      <c r="AS11" s="76">
        <f>Assumptions!AS11</f>
        <v>16.741450326348211</v>
      </c>
      <c r="AT11" s="76">
        <f>Assumptions!AT11</f>
        <v>16.741450326348211</v>
      </c>
      <c r="AU11" s="76">
        <f>Assumptions!AU11</f>
        <v>16.741450326348211</v>
      </c>
      <c r="AV11" s="76">
        <f>Assumptions!AV11</f>
        <v>16.741450326348211</v>
      </c>
      <c r="AW11" s="76">
        <f>Assumptions!AW11</f>
        <v>16.741450326348211</v>
      </c>
      <c r="AX11" s="76">
        <f>Assumptions!AX11</f>
        <v>16.741450326348211</v>
      </c>
      <c r="AY11" s="76">
        <f>Assumptions!AY11</f>
        <v>16.741450326348211</v>
      </c>
      <c r="AZ11" s="76">
        <f>Assumptions!AZ11</f>
        <v>16.741450326348211</v>
      </c>
      <c r="BA11" s="76">
        <f>Assumptions!BA11</f>
        <v>16.741450326348211</v>
      </c>
      <c r="BB11" s="76">
        <f>Assumptions!BB11</f>
        <v>17.076279332875174</v>
      </c>
      <c r="BC11" s="76">
        <f>Assumptions!BC11</f>
        <v>17.076279332875174</v>
      </c>
      <c r="BD11" s="76">
        <f>Assumptions!BD11</f>
        <v>17.076279332875174</v>
      </c>
      <c r="BE11" s="76">
        <f>Assumptions!BE11</f>
        <v>17.076279332875174</v>
      </c>
      <c r="BF11" s="76">
        <f>Assumptions!BF11</f>
        <v>17.076279332875174</v>
      </c>
      <c r="BG11" s="76">
        <f>Assumptions!BG11</f>
        <v>17.076279332875174</v>
      </c>
      <c r="BH11" s="76">
        <f>Assumptions!BH11</f>
        <v>17.076279332875174</v>
      </c>
      <c r="BI11" s="76">
        <f>Assumptions!BI11</f>
        <v>17.076279332875174</v>
      </c>
      <c r="BJ11" s="76">
        <f>Assumptions!BJ11</f>
        <v>17.076279332875174</v>
      </c>
      <c r="BK11" s="76">
        <f>Assumptions!BK11</f>
        <v>17.076279332875174</v>
      </c>
      <c r="BL11" s="76">
        <f>Assumptions!BL11</f>
        <v>17.076279332875174</v>
      </c>
      <c r="BM11" s="76">
        <f>Assumptions!BM11</f>
        <v>17.076279332875174</v>
      </c>
      <c r="BN11" s="76">
        <f>Assumptions!BN11</f>
        <v>17.076279332875174</v>
      </c>
    </row>
    <row r="12" spans="2:66" x14ac:dyDescent="0.2">
      <c r="B12" s="76" t="s">
        <v>7</v>
      </c>
      <c r="C12" s="76" t="s">
        <v>10</v>
      </c>
      <c r="J12" s="76">
        <f>Assumptions!J12</f>
        <v>21.781658462659831</v>
      </c>
      <c r="K12" s="76">
        <f>Assumptions!K12</f>
        <v>21.781658462659831</v>
      </c>
      <c r="L12" s="76">
        <f>Assumptions!L12</f>
        <v>21.781658462659831</v>
      </c>
      <c r="M12" s="76">
        <f>Assumptions!M12</f>
        <v>21.781658462659831</v>
      </c>
      <c r="N12" s="76">
        <f>Assumptions!N12</f>
        <v>21.781658462659831</v>
      </c>
      <c r="O12" s="76">
        <f>Assumptions!O12</f>
        <v>21.781658462659831</v>
      </c>
      <c r="P12" s="76">
        <f>Assumptions!P12</f>
        <v>21.781658462659831</v>
      </c>
      <c r="Q12" s="76">
        <f>Assumptions!Q12</f>
        <v>22.239073290375686</v>
      </c>
      <c r="R12" s="76">
        <f>Assumptions!R12</f>
        <v>22.239073290375686</v>
      </c>
      <c r="S12" s="76">
        <f>Assumptions!S12</f>
        <v>22.239073290375686</v>
      </c>
      <c r="T12" s="76">
        <f>Assumptions!T12</f>
        <v>22.239073290375686</v>
      </c>
      <c r="U12" s="76">
        <f>Assumptions!U12</f>
        <v>22.239073290375686</v>
      </c>
      <c r="V12" s="76">
        <f>Assumptions!V12</f>
        <v>22.239073290375686</v>
      </c>
      <c r="W12" s="76">
        <f>Assumptions!W12</f>
        <v>22.239073290375686</v>
      </c>
      <c r="X12" s="76">
        <f>Assumptions!X12</f>
        <v>22.239073290375686</v>
      </c>
      <c r="Y12" s="76">
        <f>Assumptions!Y12</f>
        <v>22.239073290375686</v>
      </c>
      <c r="Z12" s="76">
        <f>Assumptions!Z12</f>
        <v>22.239073290375686</v>
      </c>
      <c r="AA12" s="76">
        <f>Assumptions!AA12</f>
        <v>22.239073290375686</v>
      </c>
      <c r="AB12" s="76">
        <f>Assumptions!AB12</f>
        <v>22.683854756183198</v>
      </c>
      <c r="AC12" s="76">
        <f>Assumptions!AC12</f>
        <v>22.683854756183198</v>
      </c>
      <c r="AD12" s="76">
        <f>Assumptions!AD12</f>
        <v>22.683854756183198</v>
      </c>
      <c r="AE12" s="76">
        <f>Assumptions!AE12</f>
        <v>22.683854756183198</v>
      </c>
      <c r="AF12" s="76">
        <f>Assumptions!AF12</f>
        <v>22.683854756183198</v>
      </c>
      <c r="AG12" s="76">
        <f>Assumptions!AG12</f>
        <v>22.683854756183198</v>
      </c>
      <c r="AH12" s="76">
        <f>Assumptions!AH12</f>
        <v>22.683854756183198</v>
      </c>
      <c r="AI12" s="76">
        <f>Assumptions!AI12</f>
        <v>22.683854756183198</v>
      </c>
      <c r="AJ12" s="76">
        <f>Assumptions!AJ12</f>
        <v>22.683854756183198</v>
      </c>
      <c r="AK12" s="76">
        <f>Assumptions!AK12</f>
        <v>22.683854756183198</v>
      </c>
      <c r="AL12" s="76">
        <f>Assumptions!AL12</f>
        <v>22.683854756183198</v>
      </c>
      <c r="AM12" s="76">
        <f>Assumptions!AM12</f>
        <v>22.683854756183198</v>
      </c>
      <c r="AN12" s="76">
        <f>Assumptions!AN12</f>
        <v>22.683854756183198</v>
      </c>
      <c r="AO12" s="76">
        <f>Assumptions!AO12</f>
        <v>23.137531851306861</v>
      </c>
      <c r="AP12" s="76">
        <f>Assumptions!AP12</f>
        <v>23.137531851306861</v>
      </c>
      <c r="AQ12" s="76">
        <f>Assumptions!AQ12</f>
        <v>23.137531851306861</v>
      </c>
      <c r="AR12" s="76">
        <f>Assumptions!AR12</f>
        <v>23.137531851306861</v>
      </c>
      <c r="AS12" s="76">
        <f>Assumptions!AS12</f>
        <v>23.137531851306861</v>
      </c>
      <c r="AT12" s="76">
        <f>Assumptions!AT12</f>
        <v>23.137531851306861</v>
      </c>
      <c r="AU12" s="76">
        <f>Assumptions!AU12</f>
        <v>23.137531851306861</v>
      </c>
      <c r="AV12" s="76">
        <f>Assumptions!AV12</f>
        <v>23.137531851306861</v>
      </c>
      <c r="AW12" s="76">
        <f>Assumptions!AW12</f>
        <v>23.137531851306861</v>
      </c>
      <c r="AX12" s="76">
        <f>Assumptions!AX12</f>
        <v>23.137531851306861</v>
      </c>
      <c r="AY12" s="76">
        <f>Assumptions!AY12</f>
        <v>23.137531851306861</v>
      </c>
      <c r="AZ12" s="76">
        <f>Assumptions!AZ12</f>
        <v>23.137531851306861</v>
      </c>
      <c r="BA12" s="76">
        <f>Assumptions!BA12</f>
        <v>23.137531851306861</v>
      </c>
      <c r="BB12" s="76">
        <f>Assumptions!BB12</f>
        <v>23.600282488332997</v>
      </c>
      <c r="BC12" s="76">
        <f>Assumptions!BC12</f>
        <v>23.600282488332997</v>
      </c>
      <c r="BD12" s="76">
        <f>Assumptions!BD12</f>
        <v>23.600282488332997</v>
      </c>
      <c r="BE12" s="76">
        <f>Assumptions!BE12</f>
        <v>23.600282488332997</v>
      </c>
      <c r="BF12" s="76">
        <f>Assumptions!BF12</f>
        <v>23.600282488332997</v>
      </c>
      <c r="BG12" s="76">
        <f>Assumptions!BG12</f>
        <v>23.600282488332997</v>
      </c>
      <c r="BH12" s="76">
        <f>Assumptions!BH12</f>
        <v>23.600282488332997</v>
      </c>
      <c r="BI12" s="76">
        <f>Assumptions!BI12</f>
        <v>23.600282488332997</v>
      </c>
      <c r="BJ12" s="76">
        <f>Assumptions!BJ12</f>
        <v>23.600282488332997</v>
      </c>
      <c r="BK12" s="76">
        <f>Assumptions!BK12</f>
        <v>23.600282488332997</v>
      </c>
      <c r="BL12" s="76">
        <f>Assumptions!BL12</f>
        <v>23.600282488332997</v>
      </c>
      <c r="BM12" s="76">
        <f>Assumptions!BM12</f>
        <v>23.600282488332997</v>
      </c>
      <c r="BN12" s="76">
        <f>Assumptions!BN12</f>
        <v>23.600282488332997</v>
      </c>
    </row>
    <row r="13" spans="2:66" x14ac:dyDescent="0.2">
      <c r="B13" s="76" t="s">
        <v>8</v>
      </c>
      <c r="C13" s="76" t="s">
        <v>10</v>
      </c>
      <c r="J13" s="76">
        <f>Assumptions!J13</f>
        <v>20.229268401127385</v>
      </c>
      <c r="K13" s="76">
        <f>Assumptions!K13</f>
        <v>20.229268401127385</v>
      </c>
      <c r="L13" s="76">
        <f>Assumptions!L13</f>
        <v>20.229268401127385</v>
      </c>
      <c r="M13" s="76">
        <f>Assumptions!M13</f>
        <v>20.229268401127385</v>
      </c>
      <c r="N13" s="76">
        <f>Assumptions!N13</f>
        <v>20.229268401127385</v>
      </c>
      <c r="O13" s="76">
        <f>Assumptions!O13</f>
        <v>20.229268401127385</v>
      </c>
      <c r="P13" s="76">
        <f>Assumptions!P13</f>
        <v>20.229268401127385</v>
      </c>
      <c r="Q13" s="76">
        <f>Assumptions!Q13</f>
        <v>20.654083037551057</v>
      </c>
      <c r="R13" s="76">
        <f>Assumptions!R13</f>
        <v>20.654083037551057</v>
      </c>
      <c r="S13" s="76">
        <f>Assumptions!S13</f>
        <v>20.654083037551057</v>
      </c>
      <c r="T13" s="76">
        <f>Assumptions!T13</f>
        <v>20.654083037551057</v>
      </c>
      <c r="U13" s="76">
        <f>Assumptions!U13</f>
        <v>20.654083037551057</v>
      </c>
      <c r="V13" s="76">
        <f>Assumptions!V13</f>
        <v>20.654083037551057</v>
      </c>
      <c r="W13" s="76">
        <f>Assumptions!W13</f>
        <v>20.654083037551057</v>
      </c>
      <c r="X13" s="76">
        <f>Assumptions!X13</f>
        <v>20.654083037551057</v>
      </c>
      <c r="Y13" s="76">
        <f>Assumptions!Y13</f>
        <v>20.654083037551057</v>
      </c>
      <c r="Z13" s="76">
        <f>Assumptions!Z13</f>
        <v>20.654083037551057</v>
      </c>
      <c r="AA13" s="76">
        <f>Assumptions!AA13</f>
        <v>20.654083037551057</v>
      </c>
      <c r="AB13" s="76">
        <f>Assumptions!AB13</f>
        <v>21.067164698302079</v>
      </c>
      <c r="AC13" s="76">
        <f>Assumptions!AC13</f>
        <v>21.067164698302079</v>
      </c>
      <c r="AD13" s="76">
        <f>Assumptions!AD13</f>
        <v>21.067164698302079</v>
      </c>
      <c r="AE13" s="76">
        <f>Assumptions!AE13</f>
        <v>21.067164698302079</v>
      </c>
      <c r="AF13" s="76">
        <f>Assumptions!AF13</f>
        <v>21.067164698302079</v>
      </c>
      <c r="AG13" s="76">
        <f>Assumptions!AG13</f>
        <v>21.067164698302079</v>
      </c>
      <c r="AH13" s="76">
        <f>Assumptions!AH13</f>
        <v>21.067164698302079</v>
      </c>
      <c r="AI13" s="76">
        <f>Assumptions!AI13</f>
        <v>21.067164698302079</v>
      </c>
      <c r="AJ13" s="76">
        <f>Assumptions!AJ13</f>
        <v>21.067164698302079</v>
      </c>
      <c r="AK13" s="76">
        <f>Assumptions!AK13</f>
        <v>21.067164698302079</v>
      </c>
      <c r="AL13" s="76">
        <f>Assumptions!AL13</f>
        <v>21.067164698302079</v>
      </c>
      <c r="AM13" s="76">
        <f>Assumptions!AM13</f>
        <v>21.067164698302079</v>
      </c>
      <c r="AN13" s="76">
        <f>Assumptions!AN13</f>
        <v>21.067164698302079</v>
      </c>
      <c r="AO13" s="76">
        <f>Assumptions!AO13</f>
        <v>21.488507992268122</v>
      </c>
      <c r="AP13" s="76">
        <f>Assumptions!AP13</f>
        <v>21.488507992268122</v>
      </c>
      <c r="AQ13" s="76">
        <f>Assumptions!AQ13</f>
        <v>21.488507992268122</v>
      </c>
      <c r="AR13" s="76">
        <f>Assumptions!AR13</f>
        <v>21.488507992268122</v>
      </c>
      <c r="AS13" s="76">
        <f>Assumptions!AS13</f>
        <v>21.488507992268122</v>
      </c>
      <c r="AT13" s="76">
        <f>Assumptions!AT13</f>
        <v>21.488507992268122</v>
      </c>
      <c r="AU13" s="76">
        <f>Assumptions!AU13</f>
        <v>21.488507992268122</v>
      </c>
      <c r="AV13" s="76">
        <f>Assumptions!AV13</f>
        <v>21.488507992268122</v>
      </c>
      <c r="AW13" s="76">
        <f>Assumptions!AW13</f>
        <v>21.488507992268122</v>
      </c>
      <c r="AX13" s="76">
        <f>Assumptions!AX13</f>
        <v>21.488507992268122</v>
      </c>
      <c r="AY13" s="76">
        <f>Assumptions!AY13</f>
        <v>21.488507992268122</v>
      </c>
      <c r="AZ13" s="76">
        <f>Assumptions!AZ13</f>
        <v>21.488507992268122</v>
      </c>
      <c r="BA13" s="76">
        <f>Assumptions!BA13</f>
        <v>21.488507992268122</v>
      </c>
      <c r="BB13" s="76">
        <f>Assumptions!BB13</f>
        <v>21.918278152113484</v>
      </c>
      <c r="BC13" s="76">
        <f>Assumptions!BC13</f>
        <v>21.918278152113484</v>
      </c>
      <c r="BD13" s="76">
        <f>Assumptions!BD13</f>
        <v>21.918278152113484</v>
      </c>
      <c r="BE13" s="76">
        <f>Assumptions!BE13</f>
        <v>21.918278152113484</v>
      </c>
      <c r="BF13" s="76">
        <f>Assumptions!BF13</f>
        <v>21.918278152113484</v>
      </c>
      <c r="BG13" s="76">
        <f>Assumptions!BG13</f>
        <v>21.918278152113484</v>
      </c>
      <c r="BH13" s="76">
        <f>Assumptions!BH13</f>
        <v>21.918278152113484</v>
      </c>
      <c r="BI13" s="76">
        <f>Assumptions!BI13</f>
        <v>21.918278152113484</v>
      </c>
      <c r="BJ13" s="76">
        <f>Assumptions!BJ13</f>
        <v>21.918278152113484</v>
      </c>
      <c r="BK13" s="76">
        <f>Assumptions!BK13</f>
        <v>21.918278152113484</v>
      </c>
      <c r="BL13" s="76">
        <f>Assumptions!BL13</f>
        <v>21.918278152113484</v>
      </c>
      <c r="BM13" s="76">
        <f>Assumptions!BM13</f>
        <v>21.918278152113484</v>
      </c>
      <c r="BN13" s="76">
        <f>Assumptions!BN13</f>
        <v>21.918278152113484</v>
      </c>
    </row>
    <row r="14" spans="2:66" x14ac:dyDescent="0.2">
      <c r="B14" s="76" t="s">
        <v>9</v>
      </c>
      <c r="C14" s="76" t="s">
        <v>10</v>
      </c>
      <c r="J14" s="76">
        <f>Assumptions!J14</f>
        <v>12.792289606837606</v>
      </c>
      <c r="K14" s="76">
        <f>Assumptions!K14</f>
        <v>12.792289606837606</v>
      </c>
      <c r="L14" s="76">
        <f>Assumptions!L14</f>
        <v>12.792289606837606</v>
      </c>
      <c r="M14" s="76">
        <f>Assumptions!M14</f>
        <v>12.792289606837606</v>
      </c>
      <c r="N14" s="76">
        <f>Assumptions!N14</f>
        <v>12.792289606837606</v>
      </c>
      <c r="O14" s="76">
        <f>Assumptions!O14</f>
        <v>12.792289606837606</v>
      </c>
      <c r="P14" s="76">
        <f>Assumptions!P14</f>
        <v>12.792289606837606</v>
      </c>
      <c r="Q14" s="76">
        <f>Assumptions!Q14</f>
        <v>13.060927688581195</v>
      </c>
      <c r="R14" s="76">
        <f>Assumptions!R14</f>
        <v>13.060927688581195</v>
      </c>
      <c r="S14" s="76">
        <f>Assumptions!S14</f>
        <v>13.060927688581195</v>
      </c>
      <c r="T14" s="76">
        <f>Assumptions!T14</f>
        <v>13.060927688581195</v>
      </c>
      <c r="U14" s="76">
        <f>Assumptions!U14</f>
        <v>13.060927688581195</v>
      </c>
      <c r="V14" s="76">
        <f>Assumptions!V14</f>
        <v>13.060927688581195</v>
      </c>
      <c r="W14" s="76">
        <f>Assumptions!W14</f>
        <v>13.060927688581195</v>
      </c>
      <c r="X14" s="76">
        <f>Assumptions!X14</f>
        <v>13.060927688581195</v>
      </c>
      <c r="Y14" s="76">
        <f>Assumptions!Y14</f>
        <v>13.060927688581195</v>
      </c>
      <c r="Z14" s="76">
        <f>Assumptions!Z14</f>
        <v>13.060927688581195</v>
      </c>
      <c r="AA14" s="76">
        <f>Assumptions!AA14</f>
        <v>13.060927688581195</v>
      </c>
      <c r="AB14" s="76">
        <f>Assumptions!AB14</f>
        <v>13.322146242352819</v>
      </c>
      <c r="AC14" s="76">
        <f>Assumptions!AC14</f>
        <v>13.322146242352819</v>
      </c>
      <c r="AD14" s="76">
        <f>Assumptions!AD14</f>
        <v>13.322146242352819</v>
      </c>
      <c r="AE14" s="76">
        <f>Assumptions!AE14</f>
        <v>13.322146242352819</v>
      </c>
      <c r="AF14" s="76">
        <f>Assumptions!AF14</f>
        <v>13.322146242352819</v>
      </c>
      <c r="AG14" s="76">
        <f>Assumptions!AG14</f>
        <v>13.322146242352819</v>
      </c>
      <c r="AH14" s="76">
        <f>Assumptions!AH14</f>
        <v>13.322146242352819</v>
      </c>
      <c r="AI14" s="76">
        <f>Assumptions!AI14</f>
        <v>13.322146242352819</v>
      </c>
      <c r="AJ14" s="76">
        <f>Assumptions!AJ14</f>
        <v>13.322146242352819</v>
      </c>
      <c r="AK14" s="76">
        <f>Assumptions!AK14</f>
        <v>13.322146242352819</v>
      </c>
      <c r="AL14" s="76">
        <f>Assumptions!AL14</f>
        <v>13.322146242352819</v>
      </c>
      <c r="AM14" s="76">
        <f>Assumptions!AM14</f>
        <v>13.322146242352819</v>
      </c>
      <c r="AN14" s="76">
        <f>Assumptions!AN14</f>
        <v>13.322146242352819</v>
      </c>
      <c r="AO14" s="76">
        <f>Assumptions!AO14</f>
        <v>13.588589167199876</v>
      </c>
      <c r="AP14" s="76">
        <f>Assumptions!AP14</f>
        <v>13.588589167199876</v>
      </c>
      <c r="AQ14" s="76">
        <f>Assumptions!AQ14</f>
        <v>13.588589167199876</v>
      </c>
      <c r="AR14" s="76">
        <f>Assumptions!AR14</f>
        <v>13.588589167199876</v>
      </c>
      <c r="AS14" s="76">
        <f>Assumptions!AS14</f>
        <v>13.588589167199876</v>
      </c>
      <c r="AT14" s="76">
        <f>Assumptions!AT14</f>
        <v>13.588589167199876</v>
      </c>
      <c r="AU14" s="76">
        <f>Assumptions!AU14</f>
        <v>13.588589167199876</v>
      </c>
      <c r="AV14" s="76">
        <f>Assumptions!AV14</f>
        <v>13.588589167199876</v>
      </c>
      <c r="AW14" s="76">
        <f>Assumptions!AW14</f>
        <v>13.588589167199876</v>
      </c>
      <c r="AX14" s="76">
        <f>Assumptions!AX14</f>
        <v>13.588589167199876</v>
      </c>
      <c r="AY14" s="76">
        <f>Assumptions!AY14</f>
        <v>13.588589167199876</v>
      </c>
      <c r="AZ14" s="76">
        <f>Assumptions!AZ14</f>
        <v>13.588589167199876</v>
      </c>
      <c r="BA14" s="76">
        <f>Assumptions!BA14</f>
        <v>13.588589167199876</v>
      </c>
      <c r="BB14" s="76">
        <f>Assumptions!BB14</f>
        <v>13.860360950543873</v>
      </c>
      <c r="BC14" s="76">
        <f>Assumptions!BC14</f>
        <v>13.860360950543873</v>
      </c>
      <c r="BD14" s="76">
        <f>Assumptions!BD14</f>
        <v>13.860360950543873</v>
      </c>
      <c r="BE14" s="76">
        <f>Assumptions!BE14</f>
        <v>13.860360950543873</v>
      </c>
      <c r="BF14" s="76">
        <f>Assumptions!BF14</f>
        <v>13.860360950543873</v>
      </c>
      <c r="BG14" s="76">
        <f>Assumptions!BG14</f>
        <v>13.860360950543873</v>
      </c>
      <c r="BH14" s="76">
        <f>Assumptions!BH14</f>
        <v>13.860360950543873</v>
      </c>
      <c r="BI14" s="76">
        <f>Assumptions!BI14</f>
        <v>13.860360950543873</v>
      </c>
      <c r="BJ14" s="76">
        <f>Assumptions!BJ14</f>
        <v>13.860360950543873</v>
      </c>
      <c r="BK14" s="76">
        <f>Assumptions!BK14</f>
        <v>13.860360950543873</v>
      </c>
      <c r="BL14" s="76">
        <f>Assumptions!BL14</f>
        <v>13.860360950543873</v>
      </c>
      <c r="BM14" s="76">
        <f>Assumptions!BM14</f>
        <v>13.860360950543873</v>
      </c>
      <c r="BN14" s="76">
        <f>Assumptions!BN14</f>
        <v>13.860360950543873</v>
      </c>
    </row>
    <row r="16" spans="2:66" x14ac:dyDescent="0.2">
      <c r="B16" s="80" t="s">
        <v>11</v>
      </c>
    </row>
    <row r="17" spans="2:66" x14ac:dyDescent="0.2">
      <c r="B17" s="76" t="s">
        <v>6</v>
      </c>
      <c r="C17" s="76" t="s">
        <v>12</v>
      </c>
      <c r="G17" s="328"/>
      <c r="H17" s="328"/>
      <c r="I17" s="328"/>
      <c r="J17" s="328">
        <f>Assumptions!J18</f>
        <v>614</v>
      </c>
      <c r="K17" s="328">
        <f>Assumptions!K18</f>
        <v>941</v>
      </c>
      <c r="L17" s="328">
        <f>Assumptions!L18</f>
        <v>1269</v>
      </c>
      <c r="M17" s="328">
        <f>Assumptions!M18</f>
        <v>1596</v>
      </c>
      <c r="N17" s="328">
        <f>Assumptions!N18</f>
        <v>4420</v>
      </c>
      <c r="O17" s="328">
        <f>Assumptions!O18</f>
        <v>1922</v>
      </c>
      <c r="P17" s="328">
        <f>Assumptions!P18</f>
        <v>2250.0001151161018</v>
      </c>
      <c r="Q17" s="328">
        <f>Assumptions!Q18</f>
        <v>2250.0001151161018</v>
      </c>
      <c r="R17" s="328">
        <f>Assumptions!R18</f>
        <v>2250.0001151161018</v>
      </c>
      <c r="S17" s="328">
        <f>Assumptions!S18</f>
        <v>2250.0001151161018</v>
      </c>
      <c r="T17" s="328">
        <f>Assumptions!T18</f>
        <v>2250.0001151161018</v>
      </c>
      <c r="U17" s="328">
        <f>Assumptions!U18</f>
        <v>2250.0001151161018</v>
      </c>
      <c r="V17" s="328">
        <f>Assumptions!V18</f>
        <v>2250.0001151161018</v>
      </c>
      <c r="W17" s="328">
        <f>Assumptions!W18</f>
        <v>2250.0001151161018</v>
      </c>
      <c r="X17" s="328">
        <f>Assumptions!X18</f>
        <v>2250.0001151161018</v>
      </c>
      <c r="Y17" s="328">
        <f>Assumptions!Y18</f>
        <v>2250.0001151161018</v>
      </c>
      <c r="Z17" s="328">
        <f>Assumptions!Z18</f>
        <v>2250.0001151161018</v>
      </c>
      <c r="AA17" s="328">
        <f>Assumptions!AA18</f>
        <v>26672.001266277115</v>
      </c>
      <c r="AB17" s="328">
        <f>Assumptions!AB18</f>
        <v>2250.0001151161018</v>
      </c>
      <c r="AC17" s="328">
        <f>Assumptions!AC18</f>
        <v>2250.0001151161018</v>
      </c>
      <c r="AD17" s="328">
        <f>Assumptions!AD18</f>
        <v>2368</v>
      </c>
      <c r="AE17" s="328">
        <f>Assumptions!AE18</f>
        <v>2486</v>
      </c>
      <c r="AF17" s="328">
        <f>Assumptions!AF18</f>
        <v>2605</v>
      </c>
      <c r="AG17" s="328">
        <f>Assumptions!AG18</f>
        <v>2723</v>
      </c>
      <c r="AH17" s="328">
        <f>Assumptions!AH18</f>
        <v>2841</v>
      </c>
      <c r="AI17" s="328">
        <f>Assumptions!AI18</f>
        <v>2960</v>
      </c>
      <c r="AJ17" s="328">
        <f>Assumptions!AJ18</f>
        <v>3078</v>
      </c>
      <c r="AK17" s="328">
        <f>Assumptions!AK18</f>
        <v>3196</v>
      </c>
      <c r="AL17" s="328">
        <f>Assumptions!AL18</f>
        <v>3315</v>
      </c>
      <c r="AM17" s="328">
        <f>Assumptions!AM18</f>
        <v>3433</v>
      </c>
      <c r="AN17" s="328">
        <f>Assumptions!AN18</f>
        <v>33505.000230232203</v>
      </c>
      <c r="AO17" s="328">
        <f>Assumptions!AO18</f>
        <v>3552</v>
      </c>
      <c r="AP17" s="328">
        <f>Assumptions!AP18</f>
        <v>3670</v>
      </c>
      <c r="AQ17" s="328">
        <f>Assumptions!AQ18</f>
        <v>3788</v>
      </c>
      <c r="AR17" s="328">
        <f>Assumptions!AR18</f>
        <v>3907</v>
      </c>
      <c r="AS17" s="328">
        <f>Assumptions!AS18</f>
        <v>4025</v>
      </c>
      <c r="AT17" s="328">
        <f>Assumptions!AT18</f>
        <v>4143</v>
      </c>
      <c r="AU17" s="328">
        <f>Assumptions!AU18</f>
        <v>4262</v>
      </c>
      <c r="AV17" s="328">
        <f>Assumptions!AV18</f>
        <v>4500.0001674415998</v>
      </c>
      <c r="AW17" s="328">
        <f>Assumptions!AW18</f>
        <v>4500.0001674415998</v>
      </c>
      <c r="AX17" s="328">
        <f>Assumptions!AX18</f>
        <v>4500.0001674415998</v>
      </c>
      <c r="AY17" s="328">
        <f>Assumptions!AY18</f>
        <v>4500.0001674415998</v>
      </c>
      <c r="AZ17" s="328">
        <f>Assumptions!AZ18</f>
        <v>4500.0001674415998</v>
      </c>
      <c r="BA17" s="328">
        <f>Assumptions!BA18</f>
        <v>49847.00083720799</v>
      </c>
      <c r="BB17" s="328">
        <f>Assumptions!BB18</f>
        <v>4153.9167364339992</v>
      </c>
      <c r="BC17" s="328">
        <f>Assumptions!BC18</f>
        <v>4153.9167364339992</v>
      </c>
      <c r="BD17" s="328">
        <f>Assumptions!BD18</f>
        <v>4153.9167364339992</v>
      </c>
      <c r="BE17" s="328">
        <f>Assumptions!BE18</f>
        <v>4153.9167364339992</v>
      </c>
      <c r="BF17" s="328">
        <f>Assumptions!BF18</f>
        <v>4153.9167364339992</v>
      </c>
      <c r="BG17" s="328">
        <f>Assumptions!BG18</f>
        <v>4153.9167364339992</v>
      </c>
      <c r="BH17" s="328">
        <f>Assumptions!BH18</f>
        <v>4153.9167364339992</v>
      </c>
      <c r="BI17" s="328">
        <f>Assumptions!BI18</f>
        <v>4153.9167364339992</v>
      </c>
      <c r="BJ17" s="328">
        <f>Assumptions!BJ18</f>
        <v>4153.9167364339992</v>
      </c>
      <c r="BK17" s="328">
        <f>Assumptions!BK18</f>
        <v>4153.9167364339992</v>
      </c>
      <c r="BL17" s="328">
        <f>Assumptions!BL18</f>
        <v>4153.9167364339992</v>
      </c>
      <c r="BM17" s="328">
        <f>Assumptions!BM18</f>
        <v>4153.9167364339992</v>
      </c>
      <c r="BN17" s="328">
        <f>Assumptions!BN18</f>
        <v>49847.00083720799</v>
      </c>
    </row>
    <row r="18" spans="2:66" x14ac:dyDescent="0.2">
      <c r="B18" s="76" t="s">
        <v>7</v>
      </c>
      <c r="C18" s="76" t="s">
        <v>12</v>
      </c>
      <c r="G18" s="328"/>
      <c r="H18" s="328"/>
      <c r="I18" s="328"/>
      <c r="J18" s="328">
        <f>Assumptions!J19</f>
        <v>818</v>
      </c>
      <c r="K18" s="328">
        <f>Assumptions!K19</f>
        <v>1255</v>
      </c>
      <c r="L18" s="328">
        <f>Assumptions!L19</f>
        <v>1691</v>
      </c>
      <c r="M18" s="328">
        <f>Assumptions!M19</f>
        <v>2128</v>
      </c>
      <c r="N18" s="328">
        <f>Assumptions!N19</f>
        <v>5892</v>
      </c>
      <c r="O18" s="328">
        <f>Assumptions!O19</f>
        <v>2564</v>
      </c>
      <c r="P18" s="328">
        <f>Assumptions!P19</f>
        <v>3000</v>
      </c>
      <c r="Q18" s="328">
        <f>Assumptions!Q19</f>
        <v>3000</v>
      </c>
      <c r="R18" s="328">
        <f>Assumptions!R19</f>
        <v>3000</v>
      </c>
      <c r="S18" s="328">
        <f>Assumptions!S19</f>
        <v>3000</v>
      </c>
      <c r="T18" s="328">
        <f>Assumptions!T19</f>
        <v>3000</v>
      </c>
      <c r="U18" s="328">
        <f>Assumptions!U19</f>
        <v>3000</v>
      </c>
      <c r="V18" s="328">
        <f>Assumptions!V19</f>
        <v>3000</v>
      </c>
      <c r="W18" s="328">
        <f>Assumptions!W19</f>
        <v>3000</v>
      </c>
      <c r="X18" s="328">
        <f>Assumptions!X19</f>
        <v>3000</v>
      </c>
      <c r="Y18" s="328">
        <f>Assumptions!Y19</f>
        <v>3000</v>
      </c>
      <c r="Z18" s="328">
        <f>Assumptions!Z19</f>
        <v>3000</v>
      </c>
      <c r="AA18" s="328">
        <f>Assumptions!AA19</f>
        <v>35564</v>
      </c>
      <c r="AB18" s="328">
        <f>Assumptions!AB19</f>
        <v>3000</v>
      </c>
      <c r="AC18" s="328">
        <f>Assumptions!AC19</f>
        <v>3000</v>
      </c>
      <c r="AD18" s="328">
        <f>Assumptions!AD19</f>
        <v>3158</v>
      </c>
      <c r="AE18" s="328">
        <f>Assumptions!AE19</f>
        <v>3316</v>
      </c>
      <c r="AF18" s="328">
        <f>Assumptions!AF19</f>
        <v>3474</v>
      </c>
      <c r="AG18" s="328">
        <f>Assumptions!AG19</f>
        <v>3632</v>
      </c>
      <c r="AH18" s="328">
        <f>Assumptions!AH19</f>
        <v>3790</v>
      </c>
      <c r="AI18" s="328">
        <f>Assumptions!AI19</f>
        <v>3947</v>
      </c>
      <c r="AJ18" s="328">
        <f>Assumptions!AJ19</f>
        <v>4105</v>
      </c>
      <c r="AK18" s="328">
        <f>Assumptions!AK19</f>
        <v>4263</v>
      </c>
      <c r="AL18" s="328">
        <f>Assumptions!AL19</f>
        <v>4420</v>
      </c>
      <c r="AM18" s="328">
        <f>Assumptions!AM19</f>
        <v>4578</v>
      </c>
      <c r="AN18" s="328">
        <f>Assumptions!AN19</f>
        <v>44683</v>
      </c>
      <c r="AO18" s="328">
        <f>Assumptions!AO19</f>
        <v>4736</v>
      </c>
      <c r="AP18" s="328">
        <f>Assumptions!AP19</f>
        <v>4894</v>
      </c>
      <c r="AQ18" s="328">
        <f>Assumptions!AQ19</f>
        <v>5052</v>
      </c>
      <c r="AR18" s="328">
        <f>Assumptions!AR19</f>
        <v>5210</v>
      </c>
      <c r="AS18" s="328">
        <f>Assumptions!AS19</f>
        <v>5368</v>
      </c>
      <c r="AT18" s="328">
        <f>Assumptions!AT19</f>
        <v>5526</v>
      </c>
      <c r="AU18" s="328">
        <f>Assumptions!AU19</f>
        <v>5683</v>
      </c>
      <c r="AV18" s="328">
        <f>Assumptions!AV19</f>
        <v>5999.9999162792001</v>
      </c>
      <c r="AW18" s="328">
        <f>Assumptions!AW19</f>
        <v>5999.9999162792001</v>
      </c>
      <c r="AX18" s="328">
        <f>Assumptions!AX19</f>
        <v>5999.9999162792001</v>
      </c>
      <c r="AY18" s="328">
        <f>Assumptions!AY19</f>
        <v>5999.9999162792001</v>
      </c>
      <c r="AZ18" s="328">
        <f>Assumptions!AZ19</f>
        <v>5999.9999162792001</v>
      </c>
      <c r="BA18" s="328">
        <f>Assumptions!BA19</f>
        <v>66468.999581395998</v>
      </c>
      <c r="BB18" s="328">
        <f>Assumptions!BB19</f>
        <v>5539.0832984496665</v>
      </c>
      <c r="BC18" s="328">
        <f>Assumptions!BC19</f>
        <v>5539.0832984496665</v>
      </c>
      <c r="BD18" s="328">
        <f>Assumptions!BD19</f>
        <v>5539.0832984496665</v>
      </c>
      <c r="BE18" s="328">
        <f>Assumptions!BE19</f>
        <v>5539.0832984496665</v>
      </c>
      <c r="BF18" s="328">
        <f>Assumptions!BF19</f>
        <v>5539.0832984496665</v>
      </c>
      <c r="BG18" s="328">
        <f>Assumptions!BG19</f>
        <v>5539.0832984496665</v>
      </c>
      <c r="BH18" s="328">
        <f>Assumptions!BH19</f>
        <v>5539.0832984496665</v>
      </c>
      <c r="BI18" s="328">
        <f>Assumptions!BI19</f>
        <v>5539.0832984496665</v>
      </c>
      <c r="BJ18" s="328">
        <f>Assumptions!BJ19</f>
        <v>5539.0832984496665</v>
      </c>
      <c r="BK18" s="328">
        <f>Assumptions!BK19</f>
        <v>5539.0832984496665</v>
      </c>
      <c r="BL18" s="328">
        <f>Assumptions!BL19</f>
        <v>5539.0832984496665</v>
      </c>
      <c r="BM18" s="328">
        <f>Assumptions!BM19</f>
        <v>5539.0832984496665</v>
      </c>
      <c r="BN18" s="328">
        <f>Assumptions!BN19</f>
        <v>66468.999581395998</v>
      </c>
    </row>
    <row r="19" spans="2:66" x14ac:dyDescent="0.2">
      <c r="B19" s="76" t="s">
        <v>8</v>
      </c>
      <c r="C19" s="76" t="s">
        <v>12</v>
      </c>
      <c r="G19" s="328"/>
      <c r="H19" s="328"/>
      <c r="I19" s="328"/>
      <c r="J19" s="328">
        <f>Assumptions!J20</f>
        <v>409</v>
      </c>
      <c r="K19" s="328">
        <f>Assumptions!K20</f>
        <v>627</v>
      </c>
      <c r="L19" s="328">
        <f>Assumptions!L20</f>
        <v>845</v>
      </c>
      <c r="M19" s="328">
        <f>Assumptions!M20</f>
        <v>1063</v>
      </c>
      <c r="N19" s="328">
        <f>Assumptions!N20</f>
        <v>2944</v>
      </c>
      <c r="O19" s="328">
        <f>Assumptions!O20</f>
        <v>1282</v>
      </c>
      <c r="P19" s="328">
        <f>Assumptions!P20</f>
        <v>1500</v>
      </c>
      <c r="Q19" s="328">
        <f>Assumptions!Q20</f>
        <v>1500</v>
      </c>
      <c r="R19" s="328">
        <f>Assumptions!R20</f>
        <v>1500</v>
      </c>
      <c r="S19" s="328">
        <f>Assumptions!S20</f>
        <v>1500</v>
      </c>
      <c r="T19" s="328">
        <f>Assumptions!T20</f>
        <v>1500</v>
      </c>
      <c r="U19" s="328">
        <f>Assumptions!U20</f>
        <v>1500</v>
      </c>
      <c r="V19" s="328">
        <f>Assumptions!V20</f>
        <v>1500</v>
      </c>
      <c r="W19" s="328">
        <f>Assumptions!W20</f>
        <v>1500</v>
      </c>
      <c r="X19" s="328">
        <f>Assumptions!X20</f>
        <v>1500</v>
      </c>
      <c r="Y19" s="328">
        <f>Assumptions!Y20</f>
        <v>1500</v>
      </c>
      <c r="Z19" s="328">
        <f>Assumptions!Z20</f>
        <v>1500</v>
      </c>
      <c r="AA19" s="328">
        <f>Assumptions!AA20</f>
        <v>17782</v>
      </c>
      <c r="AB19" s="328">
        <f>Assumptions!AB20</f>
        <v>1500</v>
      </c>
      <c r="AC19" s="328">
        <f>Assumptions!AC20</f>
        <v>1500</v>
      </c>
      <c r="AD19" s="328">
        <f>Assumptions!AD20</f>
        <v>1579</v>
      </c>
      <c r="AE19" s="328">
        <f>Assumptions!AE20</f>
        <v>1658</v>
      </c>
      <c r="AF19" s="328">
        <f>Assumptions!AF20</f>
        <v>1737</v>
      </c>
      <c r="AG19" s="328">
        <f>Assumptions!AG20</f>
        <v>1816</v>
      </c>
      <c r="AH19" s="328">
        <f>Assumptions!AH20</f>
        <v>1895</v>
      </c>
      <c r="AI19" s="328">
        <f>Assumptions!AI20</f>
        <v>1974</v>
      </c>
      <c r="AJ19" s="328">
        <f>Assumptions!AJ20</f>
        <v>2053</v>
      </c>
      <c r="AK19" s="328">
        <f>Assumptions!AK20</f>
        <v>2132</v>
      </c>
      <c r="AL19" s="328">
        <f>Assumptions!AL20</f>
        <v>2210</v>
      </c>
      <c r="AM19" s="328">
        <f>Assumptions!AM20</f>
        <v>2289</v>
      </c>
      <c r="AN19" s="328">
        <f>Assumptions!AN20</f>
        <v>22343</v>
      </c>
      <c r="AO19" s="328">
        <f>Assumptions!AO20</f>
        <v>2368</v>
      </c>
      <c r="AP19" s="328">
        <f>Assumptions!AP20</f>
        <v>2447</v>
      </c>
      <c r="AQ19" s="328">
        <f>Assumptions!AQ20</f>
        <v>2526</v>
      </c>
      <c r="AR19" s="328">
        <f>Assumptions!AR20</f>
        <v>2604</v>
      </c>
      <c r="AS19" s="328">
        <f>Assumptions!AS20</f>
        <v>2683</v>
      </c>
      <c r="AT19" s="328">
        <f>Assumptions!AT20</f>
        <v>2762</v>
      </c>
      <c r="AU19" s="328">
        <f>Assumptions!AU20</f>
        <v>2841</v>
      </c>
      <c r="AV19" s="328">
        <f>Assumptions!AV20</f>
        <v>2999.9999581396</v>
      </c>
      <c r="AW19" s="328">
        <f>Assumptions!AW20</f>
        <v>2999.9999581396</v>
      </c>
      <c r="AX19" s="328">
        <f>Assumptions!AX20</f>
        <v>2999.9999581396</v>
      </c>
      <c r="AY19" s="328">
        <f>Assumptions!AY20</f>
        <v>2999.9999581396</v>
      </c>
      <c r="AZ19" s="328">
        <f>Assumptions!AZ20</f>
        <v>2999.9999581396</v>
      </c>
      <c r="BA19" s="328">
        <f>Assumptions!BA20</f>
        <v>33230.999790697999</v>
      </c>
      <c r="BB19" s="328">
        <f>Assumptions!BB20</f>
        <v>2769.2499825581667</v>
      </c>
      <c r="BC19" s="328">
        <f>Assumptions!BC20</f>
        <v>2769.2499825581667</v>
      </c>
      <c r="BD19" s="328">
        <f>Assumptions!BD20</f>
        <v>2769.2499825581667</v>
      </c>
      <c r="BE19" s="328">
        <f>Assumptions!BE20</f>
        <v>2769.2499825581667</v>
      </c>
      <c r="BF19" s="328">
        <f>Assumptions!BF20</f>
        <v>2769.2499825581667</v>
      </c>
      <c r="BG19" s="328">
        <f>Assumptions!BG20</f>
        <v>2769.2499825581667</v>
      </c>
      <c r="BH19" s="328">
        <f>Assumptions!BH20</f>
        <v>2769.2499825581667</v>
      </c>
      <c r="BI19" s="328">
        <f>Assumptions!BI20</f>
        <v>2769.2499825581667</v>
      </c>
      <c r="BJ19" s="328">
        <f>Assumptions!BJ20</f>
        <v>2769.2499825581667</v>
      </c>
      <c r="BK19" s="328">
        <f>Assumptions!BK20</f>
        <v>2769.2499825581667</v>
      </c>
      <c r="BL19" s="328">
        <f>Assumptions!BL20</f>
        <v>2769.2499825581667</v>
      </c>
      <c r="BM19" s="328">
        <f>Assumptions!BM20</f>
        <v>2769.2499825581667</v>
      </c>
      <c r="BN19" s="328">
        <f>Assumptions!BN20</f>
        <v>33230.999790697999</v>
      </c>
    </row>
    <row r="20" spans="2:66" x14ac:dyDescent="0.2">
      <c r="B20" s="76" t="s">
        <v>9</v>
      </c>
      <c r="C20" s="76" t="s">
        <v>12</v>
      </c>
      <c r="G20" s="328"/>
      <c r="H20" s="328"/>
      <c r="I20" s="328"/>
      <c r="J20" s="328">
        <f>Assumptions!J21</f>
        <v>409</v>
      </c>
      <c r="K20" s="328">
        <f>Assumptions!K21</f>
        <v>627</v>
      </c>
      <c r="L20" s="328">
        <f>Assumptions!L21</f>
        <v>845</v>
      </c>
      <c r="M20" s="328">
        <f>Assumptions!M21</f>
        <v>1063</v>
      </c>
      <c r="N20" s="328">
        <f>Assumptions!N21</f>
        <v>2944</v>
      </c>
      <c r="O20" s="328">
        <f>Assumptions!O21</f>
        <v>1282</v>
      </c>
      <c r="P20" s="328">
        <f>Assumptions!P21</f>
        <v>1500</v>
      </c>
      <c r="Q20" s="328">
        <f>Assumptions!Q21</f>
        <v>1500</v>
      </c>
      <c r="R20" s="328">
        <f>Assumptions!R21</f>
        <v>1500</v>
      </c>
      <c r="S20" s="328">
        <f>Assumptions!S21</f>
        <v>1500</v>
      </c>
      <c r="T20" s="328">
        <f>Assumptions!T21</f>
        <v>1500</v>
      </c>
      <c r="U20" s="328">
        <f>Assumptions!U21</f>
        <v>1500</v>
      </c>
      <c r="V20" s="328">
        <f>Assumptions!V21</f>
        <v>1500</v>
      </c>
      <c r="W20" s="328">
        <f>Assumptions!W21</f>
        <v>1500</v>
      </c>
      <c r="X20" s="328">
        <f>Assumptions!X21</f>
        <v>1500</v>
      </c>
      <c r="Y20" s="328">
        <f>Assumptions!Y21</f>
        <v>1500</v>
      </c>
      <c r="Z20" s="328">
        <f>Assumptions!Z21</f>
        <v>1500</v>
      </c>
      <c r="AA20" s="328">
        <f>Assumptions!AA21</f>
        <v>17782</v>
      </c>
      <c r="AB20" s="328">
        <f>Assumptions!AB21</f>
        <v>1500</v>
      </c>
      <c r="AC20" s="328">
        <f>Assumptions!AC21</f>
        <v>1500</v>
      </c>
      <c r="AD20" s="328">
        <f>Assumptions!AD21</f>
        <v>1579</v>
      </c>
      <c r="AE20" s="328">
        <f>Assumptions!AE21</f>
        <v>1658</v>
      </c>
      <c r="AF20" s="328">
        <f>Assumptions!AF21</f>
        <v>1736</v>
      </c>
      <c r="AG20" s="328">
        <f>Assumptions!AG21</f>
        <v>1815</v>
      </c>
      <c r="AH20" s="328">
        <f>Assumptions!AH21</f>
        <v>1894</v>
      </c>
      <c r="AI20" s="328">
        <f>Assumptions!AI21</f>
        <v>1973</v>
      </c>
      <c r="AJ20" s="328">
        <f>Assumptions!AJ21</f>
        <v>2052</v>
      </c>
      <c r="AK20" s="328">
        <f>Assumptions!AK21</f>
        <v>2131</v>
      </c>
      <c r="AL20" s="328">
        <f>Assumptions!AL21</f>
        <v>2211</v>
      </c>
      <c r="AM20" s="328">
        <f>Assumptions!AM21</f>
        <v>2290</v>
      </c>
      <c r="AN20" s="328">
        <f>Assumptions!AN21</f>
        <v>22339</v>
      </c>
      <c r="AO20" s="328">
        <f>Assumptions!AO21</f>
        <v>2368</v>
      </c>
      <c r="AP20" s="328">
        <f>Assumptions!AP21</f>
        <v>2447</v>
      </c>
      <c r="AQ20" s="328">
        <f>Assumptions!AQ21</f>
        <v>2526</v>
      </c>
      <c r="AR20" s="328">
        <f>Assumptions!AR21</f>
        <v>2605</v>
      </c>
      <c r="AS20" s="328">
        <f>Assumptions!AS21</f>
        <v>2684</v>
      </c>
      <c r="AT20" s="328">
        <f>Assumptions!AT21</f>
        <v>2763</v>
      </c>
      <c r="AU20" s="328">
        <f>Assumptions!AU21</f>
        <v>2842</v>
      </c>
      <c r="AV20" s="328">
        <f>Assumptions!AV21</f>
        <v>2999.9999581396</v>
      </c>
      <c r="AW20" s="328">
        <f>Assumptions!AW21</f>
        <v>2999.9999581396</v>
      </c>
      <c r="AX20" s="328">
        <f>Assumptions!AX21</f>
        <v>2999.9999581396</v>
      </c>
      <c r="AY20" s="328">
        <f>Assumptions!AY21</f>
        <v>2999.9999581396</v>
      </c>
      <c r="AZ20" s="328">
        <f>Assumptions!AZ21</f>
        <v>2999.9999581396</v>
      </c>
      <c r="BA20" s="328">
        <f>Assumptions!BA21</f>
        <v>33234.999790697999</v>
      </c>
      <c r="BB20" s="328">
        <f>Assumptions!BB21</f>
        <v>2769.5833158914998</v>
      </c>
      <c r="BC20" s="328">
        <f>Assumptions!BC21</f>
        <v>2769.5833158914998</v>
      </c>
      <c r="BD20" s="328">
        <f>Assumptions!BD21</f>
        <v>2769.5833158914998</v>
      </c>
      <c r="BE20" s="328">
        <f>Assumptions!BE21</f>
        <v>2769.5833158914998</v>
      </c>
      <c r="BF20" s="328">
        <f>Assumptions!BF21</f>
        <v>2769.5833158914998</v>
      </c>
      <c r="BG20" s="328">
        <f>Assumptions!BG21</f>
        <v>2769.5833158914998</v>
      </c>
      <c r="BH20" s="328">
        <f>Assumptions!BH21</f>
        <v>2769.5833158914998</v>
      </c>
      <c r="BI20" s="328">
        <f>Assumptions!BI21</f>
        <v>2769.5833158914998</v>
      </c>
      <c r="BJ20" s="328">
        <f>Assumptions!BJ21</f>
        <v>2769.5833158914998</v>
      </c>
      <c r="BK20" s="328">
        <f>Assumptions!BK21</f>
        <v>2769.5833158914998</v>
      </c>
      <c r="BL20" s="328">
        <f>Assumptions!BL21</f>
        <v>2769.5833158914998</v>
      </c>
      <c r="BM20" s="328">
        <f>Assumptions!BM21</f>
        <v>2769.5833158914998</v>
      </c>
      <c r="BN20" s="328">
        <f>Assumptions!BN21</f>
        <v>33234.999790697999</v>
      </c>
    </row>
    <row r="22" spans="2:66" x14ac:dyDescent="0.2">
      <c r="B22" s="80" t="s">
        <v>46</v>
      </c>
    </row>
    <row r="23" spans="2:66" x14ac:dyDescent="0.2">
      <c r="B23" s="76" t="s">
        <v>6</v>
      </c>
      <c r="C23" s="76" t="s">
        <v>41</v>
      </c>
      <c r="J23" s="76">
        <f>J17*J11</f>
        <v>9676.8801914672731</v>
      </c>
      <c r="K23" s="76">
        <f t="shared" ref="K23:L23" si="5">K17*K11</f>
        <v>14830.528111027204</v>
      </c>
      <c r="L23" s="76">
        <f t="shared" si="5"/>
        <v>19999.93642177845</v>
      </c>
      <c r="M23" s="76">
        <f>M17*M11</f>
        <v>25153.584341338381</v>
      </c>
      <c r="N23" s="76">
        <f>N17*N11</f>
        <v>69660.929065611315</v>
      </c>
      <c r="O23" s="76">
        <f>O17*O11</f>
        <v>30291.471869706998</v>
      </c>
      <c r="P23" s="76">
        <f t="shared" ref="O23:BN26" si="6">P17*P11</f>
        <v>35460.881994733041</v>
      </c>
      <c r="Q23" s="76">
        <f t="shared" si="6"/>
        <v>36205.560516622434</v>
      </c>
      <c r="R23" s="76">
        <f t="shared" si="6"/>
        <v>36205.560516622434</v>
      </c>
      <c r="S23" s="76">
        <f t="shared" si="6"/>
        <v>36205.560516622434</v>
      </c>
      <c r="T23" s="76">
        <f t="shared" si="6"/>
        <v>36205.560516622434</v>
      </c>
      <c r="U23" s="76">
        <f t="shared" si="6"/>
        <v>36205.560516622434</v>
      </c>
      <c r="V23" s="76">
        <f t="shared" si="6"/>
        <v>36205.560516622434</v>
      </c>
      <c r="W23" s="76">
        <f t="shared" si="6"/>
        <v>36205.560516622434</v>
      </c>
      <c r="X23" s="76">
        <f t="shared" si="6"/>
        <v>36205.560516622434</v>
      </c>
      <c r="Y23" s="76">
        <f t="shared" si="6"/>
        <v>36205.560516622434</v>
      </c>
      <c r="Z23" s="76">
        <f t="shared" si="6"/>
        <v>36205.560516622434</v>
      </c>
      <c r="AA23" s="76">
        <f>SUM(O23:Z23)</f>
        <v>427807.95903066441</v>
      </c>
      <c r="AB23" s="76">
        <f t="shared" si="6"/>
        <v>36929.671726954875</v>
      </c>
      <c r="AC23" s="76">
        <f>AC17*AC11</f>
        <v>36929.671726954875</v>
      </c>
      <c r="AD23" s="76">
        <f t="shared" si="6"/>
        <v>38866.425855678986</v>
      </c>
      <c r="AE23" s="76">
        <f t="shared" si="6"/>
        <v>40803.181873825153</v>
      </c>
      <c r="AF23" s="76">
        <f t="shared" si="6"/>
        <v>42756.351078565778</v>
      </c>
      <c r="AG23" s="76">
        <f t="shared" si="6"/>
        <v>44693.107096711938</v>
      </c>
      <c r="AH23" s="76">
        <f t="shared" si="6"/>
        <v>46629.863114858104</v>
      </c>
      <c r="AI23" s="76">
        <f t="shared" si="6"/>
        <v>48583.032319598729</v>
      </c>
      <c r="AJ23" s="76">
        <f t="shared" si="6"/>
        <v>50519.788337744896</v>
      </c>
      <c r="AK23" s="76">
        <f t="shared" si="6"/>
        <v>52456.544355891063</v>
      </c>
      <c r="AL23" s="76">
        <f t="shared" si="6"/>
        <v>54409.713560631688</v>
      </c>
      <c r="AM23" s="76">
        <f t="shared" si="6"/>
        <v>56346.469578777855</v>
      </c>
      <c r="AN23" s="76">
        <f t="shared" si="6"/>
        <v>549923.82062619389</v>
      </c>
      <c r="AO23" s="76">
        <f t="shared" si="6"/>
        <v>59465.631559188849</v>
      </c>
      <c r="AP23" s="76">
        <f t="shared" si="6"/>
        <v>61441.122697697938</v>
      </c>
      <c r="AQ23" s="76">
        <f t="shared" si="6"/>
        <v>63416.613836207027</v>
      </c>
      <c r="AR23" s="76">
        <f t="shared" si="6"/>
        <v>65408.846425042459</v>
      </c>
      <c r="AS23" s="76">
        <f t="shared" si="6"/>
        <v>67384.337563551555</v>
      </c>
      <c r="AT23" s="76">
        <f t="shared" si="6"/>
        <v>69359.828702060637</v>
      </c>
      <c r="AU23" s="76">
        <f t="shared" si="6"/>
        <v>71352.061290896076</v>
      </c>
      <c r="AV23" s="76">
        <f t="shared" si="6"/>
        <v>75336.529271782172</v>
      </c>
      <c r="AW23" s="76">
        <f t="shared" si="6"/>
        <v>75336.529271782172</v>
      </c>
      <c r="AX23" s="76">
        <f t="shared" si="6"/>
        <v>75336.529271782172</v>
      </c>
      <c r="AY23" s="76">
        <f t="shared" si="6"/>
        <v>75336.529271782172</v>
      </c>
      <c r="AZ23" s="76">
        <f t="shared" si="6"/>
        <v>75336.529271782172</v>
      </c>
      <c r="BA23" s="76">
        <f t="shared" si="6"/>
        <v>834511.08843355521</v>
      </c>
      <c r="BB23" s="76">
        <f t="shared" si="6"/>
        <v>70933.442516852185</v>
      </c>
      <c r="BC23" s="76">
        <f t="shared" si="6"/>
        <v>70933.442516852185</v>
      </c>
      <c r="BD23" s="76">
        <f t="shared" si="6"/>
        <v>70933.442516852185</v>
      </c>
      <c r="BE23" s="76">
        <f t="shared" si="6"/>
        <v>70933.442516852185</v>
      </c>
      <c r="BF23" s="76">
        <f t="shared" si="6"/>
        <v>70933.442516852185</v>
      </c>
      <c r="BG23" s="76">
        <f t="shared" si="6"/>
        <v>70933.442516852185</v>
      </c>
      <c r="BH23" s="76">
        <f t="shared" si="6"/>
        <v>70933.442516852185</v>
      </c>
      <c r="BI23" s="76">
        <f t="shared" si="6"/>
        <v>70933.442516852185</v>
      </c>
      <c r="BJ23" s="76">
        <f t="shared" si="6"/>
        <v>70933.442516852185</v>
      </c>
      <c r="BK23" s="76">
        <f t="shared" si="6"/>
        <v>70933.442516852185</v>
      </c>
      <c r="BL23" s="76">
        <f t="shared" si="6"/>
        <v>70933.442516852185</v>
      </c>
      <c r="BM23" s="76">
        <f t="shared" si="6"/>
        <v>70933.442516852185</v>
      </c>
      <c r="BN23" s="76">
        <f t="shared" si="6"/>
        <v>851201.31020222628</v>
      </c>
    </row>
    <row r="24" spans="2:66" x14ac:dyDescent="0.2">
      <c r="B24" s="76" t="s">
        <v>7</v>
      </c>
      <c r="C24" s="76" t="s">
        <v>41</v>
      </c>
      <c r="J24" s="76">
        <f t="shared" ref="J24:M24" si="7">J18*J12</f>
        <v>17817.396622455741</v>
      </c>
      <c r="K24" s="76">
        <f t="shared" si="7"/>
        <v>27335.981370638088</v>
      </c>
      <c r="L24" s="76">
        <f t="shared" si="7"/>
        <v>36832.784460357776</v>
      </c>
      <c r="M24" s="76">
        <f t="shared" si="7"/>
        <v>46351.36920854012</v>
      </c>
      <c r="N24" s="76">
        <f>N18*N12</f>
        <v>128337.53166199173</v>
      </c>
      <c r="O24" s="76">
        <f t="shared" ref="O24:AC24" si="8">O18*O12</f>
        <v>55848.172298259808</v>
      </c>
      <c r="P24" s="76">
        <f t="shared" si="8"/>
        <v>65344.975387979495</v>
      </c>
      <c r="Q24" s="76">
        <f t="shared" si="8"/>
        <v>66717.219871127061</v>
      </c>
      <c r="R24" s="76">
        <f t="shared" si="8"/>
        <v>66717.219871127061</v>
      </c>
      <c r="S24" s="76">
        <f t="shared" si="8"/>
        <v>66717.219871127061</v>
      </c>
      <c r="T24" s="76">
        <f t="shared" si="8"/>
        <v>66717.219871127061</v>
      </c>
      <c r="U24" s="76">
        <f t="shared" si="8"/>
        <v>66717.219871127061</v>
      </c>
      <c r="V24" s="76">
        <f t="shared" si="8"/>
        <v>66717.219871127061</v>
      </c>
      <c r="W24" s="76">
        <f t="shared" si="8"/>
        <v>66717.219871127061</v>
      </c>
      <c r="X24" s="76">
        <f t="shared" si="8"/>
        <v>66717.219871127061</v>
      </c>
      <c r="Y24" s="76">
        <f t="shared" si="8"/>
        <v>66717.219871127061</v>
      </c>
      <c r="Z24" s="76">
        <f t="shared" si="8"/>
        <v>66717.219871127061</v>
      </c>
      <c r="AA24" s="76">
        <f t="shared" ref="AA24:AA26" si="9">SUM(O24:Z24)</f>
        <v>788365.3463975098</v>
      </c>
      <c r="AB24" s="76">
        <f t="shared" si="8"/>
        <v>68051.564268549599</v>
      </c>
      <c r="AC24" s="76">
        <f t="shared" si="8"/>
        <v>68051.564268549599</v>
      </c>
      <c r="AD24" s="76">
        <f t="shared" si="6"/>
        <v>71635.613320026532</v>
      </c>
      <c r="AE24" s="76">
        <f t="shared" si="6"/>
        <v>75219.66237150348</v>
      </c>
      <c r="AF24" s="76">
        <f t="shared" si="6"/>
        <v>78803.711422980428</v>
      </c>
      <c r="AG24" s="76">
        <f t="shared" si="6"/>
        <v>82387.760474457376</v>
      </c>
      <c r="AH24" s="76">
        <f t="shared" si="6"/>
        <v>85971.809525934324</v>
      </c>
      <c r="AI24" s="76">
        <f t="shared" si="6"/>
        <v>89533.17472265508</v>
      </c>
      <c r="AJ24" s="76">
        <f t="shared" si="6"/>
        <v>93117.223774132028</v>
      </c>
      <c r="AK24" s="76">
        <f t="shared" si="6"/>
        <v>96701.272825608976</v>
      </c>
      <c r="AL24" s="76">
        <f t="shared" si="6"/>
        <v>100262.63802232973</v>
      </c>
      <c r="AM24" s="76">
        <f t="shared" si="6"/>
        <v>103846.68707380668</v>
      </c>
      <c r="AN24" s="76">
        <f t="shared" si="6"/>
        <v>1013582.6820705339</v>
      </c>
      <c r="AO24" s="76">
        <f t="shared" si="6"/>
        <v>109579.35084778929</v>
      </c>
      <c r="AP24" s="76">
        <f t="shared" si="6"/>
        <v>113235.08088029578</v>
      </c>
      <c r="AQ24" s="76">
        <f t="shared" si="6"/>
        <v>116890.81091280226</v>
      </c>
      <c r="AR24" s="76">
        <f t="shared" si="6"/>
        <v>120546.54094530875</v>
      </c>
      <c r="AS24" s="76">
        <f t="shared" si="6"/>
        <v>124202.27097781523</v>
      </c>
      <c r="AT24" s="76">
        <f t="shared" si="6"/>
        <v>127858.00101032171</v>
      </c>
      <c r="AU24" s="76">
        <f t="shared" si="6"/>
        <v>131490.59351097688</v>
      </c>
      <c r="AV24" s="76">
        <f t="shared" si="6"/>
        <v>138825.18917074849</v>
      </c>
      <c r="AW24" s="76">
        <f t="shared" si="6"/>
        <v>138825.18917074849</v>
      </c>
      <c r="AX24" s="76">
        <f t="shared" si="6"/>
        <v>138825.18917074849</v>
      </c>
      <c r="AY24" s="76">
        <f t="shared" si="6"/>
        <v>138825.18917074849</v>
      </c>
      <c r="AZ24" s="76">
        <f t="shared" si="6"/>
        <v>138825.18917074849</v>
      </c>
      <c r="BA24" s="76">
        <f t="shared" si="6"/>
        <v>1537928.5949390524</v>
      </c>
      <c r="BB24" s="76">
        <f t="shared" si="6"/>
        <v>130723.93056981944</v>
      </c>
      <c r="BC24" s="76">
        <f t="shared" si="6"/>
        <v>130723.93056981944</v>
      </c>
      <c r="BD24" s="76">
        <f t="shared" si="6"/>
        <v>130723.93056981944</v>
      </c>
      <c r="BE24" s="76">
        <f t="shared" si="6"/>
        <v>130723.93056981944</v>
      </c>
      <c r="BF24" s="76">
        <f t="shared" si="6"/>
        <v>130723.93056981944</v>
      </c>
      <c r="BG24" s="76">
        <f t="shared" si="6"/>
        <v>130723.93056981944</v>
      </c>
      <c r="BH24" s="76">
        <f t="shared" si="6"/>
        <v>130723.93056981944</v>
      </c>
      <c r="BI24" s="76">
        <f t="shared" si="6"/>
        <v>130723.93056981944</v>
      </c>
      <c r="BJ24" s="76">
        <f t="shared" si="6"/>
        <v>130723.93056981944</v>
      </c>
      <c r="BK24" s="76">
        <f t="shared" si="6"/>
        <v>130723.93056981944</v>
      </c>
      <c r="BL24" s="76">
        <f t="shared" si="6"/>
        <v>130723.93056981944</v>
      </c>
      <c r="BM24" s="76">
        <f t="shared" si="6"/>
        <v>130723.93056981944</v>
      </c>
      <c r="BN24" s="76">
        <f t="shared" si="6"/>
        <v>1568687.1668378334</v>
      </c>
    </row>
    <row r="25" spans="2:66" x14ac:dyDescent="0.2">
      <c r="B25" s="76" t="s">
        <v>8</v>
      </c>
      <c r="C25" s="76" t="s">
        <v>41</v>
      </c>
      <c r="J25" s="76">
        <f t="shared" ref="J25:M25" si="10">J19*J13</f>
        <v>8273.7707760611011</v>
      </c>
      <c r="K25" s="76">
        <f t="shared" si="10"/>
        <v>12683.75128750687</v>
      </c>
      <c r="L25" s="76">
        <f t="shared" si="10"/>
        <v>17093.731798952642</v>
      </c>
      <c r="M25" s="76">
        <f t="shared" si="10"/>
        <v>21503.712310398409</v>
      </c>
      <c r="N25" s="76">
        <f>N19*N13</f>
        <v>59554.966172919019</v>
      </c>
      <c r="O25" s="76">
        <f t="shared" si="6"/>
        <v>25933.922090245309</v>
      </c>
      <c r="P25" s="76">
        <f t="shared" si="6"/>
        <v>30343.902601691076</v>
      </c>
      <c r="Q25" s="76">
        <f t="shared" si="6"/>
        <v>30981.124556326587</v>
      </c>
      <c r="R25" s="76">
        <f t="shared" si="6"/>
        <v>30981.124556326587</v>
      </c>
      <c r="S25" s="76">
        <f t="shared" si="6"/>
        <v>30981.124556326587</v>
      </c>
      <c r="T25" s="76">
        <f t="shared" si="6"/>
        <v>30981.124556326587</v>
      </c>
      <c r="U25" s="76">
        <f t="shared" si="6"/>
        <v>30981.124556326587</v>
      </c>
      <c r="V25" s="76">
        <f t="shared" si="6"/>
        <v>30981.124556326587</v>
      </c>
      <c r="W25" s="76">
        <f t="shared" si="6"/>
        <v>30981.124556326587</v>
      </c>
      <c r="X25" s="76">
        <f t="shared" si="6"/>
        <v>30981.124556326587</v>
      </c>
      <c r="Y25" s="76">
        <f t="shared" si="6"/>
        <v>30981.124556326587</v>
      </c>
      <c r="Z25" s="76">
        <f t="shared" si="6"/>
        <v>30981.124556326587</v>
      </c>
      <c r="AA25" s="76">
        <f t="shared" si="9"/>
        <v>366089.0702552023</v>
      </c>
      <c r="AB25" s="76">
        <f t="shared" si="6"/>
        <v>31600.747047453118</v>
      </c>
      <c r="AC25" s="76">
        <f t="shared" si="6"/>
        <v>31600.747047453118</v>
      </c>
      <c r="AD25" s="76">
        <f t="shared" si="6"/>
        <v>33265.053058618985</v>
      </c>
      <c r="AE25" s="76">
        <f t="shared" si="6"/>
        <v>34929.359069784849</v>
      </c>
      <c r="AF25" s="76">
        <f t="shared" si="6"/>
        <v>36593.665080950712</v>
      </c>
      <c r="AG25" s="76">
        <f t="shared" si="6"/>
        <v>38257.971092116575</v>
      </c>
      <c r="AH25" s="76">
        <f t="shared" si="6"/>
        <v>39922.277103282438</v>
      </c>
      <c r="AI25" s="76">
        <f t="shared" si="6"/>
        <v>41586.583114448302</v>
      </c>
      <c r="AJ25" s="76">
        <f t="shared" si="6"/>
        <v>43250.889125614172</v>
      </c>
      <c r="AK25" s="76">
        <f t="shared" si="6"/>
        <v>44915.195136780036</v>
      </c>
      <c r="AL25" s="76">
        <f t="shared" si="6"/>
        <v>46558.433983247596</v>
      </c>
      <c r="AM25" s="76">
        <f t="shared" si="6"/>
        <v>48222.739994413459</v>
      </c>
      <c r="AN25" s="76">
        <f t="shared" si="6"/>
        <v>470703.66085416335</v>
      </c>
      <c r="AO25" s="76">
        <f t="shared" si="6"/>
        <v>50884.786925690911</v>
      </c>
      <c r="AP25" s="76">
        <f t="shared" si="6"/>
        <v>52582.379057080092</v>
      </c>
      <c r="AQ25" s="76">
        <f t="shared" si="6"/>
        <v>54279.971188469273</v>
      </c>
      <c r="AR25" s="76">
        <f t="shared" si="6"/>
        <v>55956.074811866187</v>
      </c>
      <c r="AS25" s="76">
        <f t="shared" si="6"/>
        <v>57653.666943255368</v>
      </c>
      <c r="AT25" s="76">
        <f t="shared" si="6"/>
        <v>59351.259074644557</v>
      </c>
      <c r="AU25" s="76">
        <f t="shared" si="6"/>
        <v>61048.851206033738</v>
      </c>
      <c r="AV25" s="76">
        <f t="shared" si="6"/>
        <v>64465.523077286831</v>
      </c>
      <c r="AW25" s="76">
        <f t="shared" si="6"/>
        <v>64465.523077286831</v>
      </c>
      <c r="AX25" s="76">
        <f t="shared" si="6"/>
        <v>64465.523077286831</v>
      </c>
      <c r="AY25" s="76">
        <f t="shared" si="6"/>
        <v>64465.523077286831</v>
      </c>
      <c r="AZ25" s="76">
        <f t="shared" si="6"/>
        <v>64465.523077286831</v>
      </c>
      <c r="BA25" s="76">
        <f t="shared" si="6"/>
        <v>714084.60459347419</v>
      </c>
      <c r="BB25" s="76">
        <f t="shared" si="6"/>
        <v>60697.19139044531</v>
      </c>
      <c r="BC25" s="76">
        <f t="shared" si="6"/>
        <v>60697.19139044531</v>
      </c>
      <c r="BD25" s="76">
        <f t="shared" si="6"/>
        <v>60697.19139044531</v>
      </c>
      <c r="BE25" s="76">
        <f t="shared" si="6"/>
        <v>60697.19139044531</v>
      </c>
      <c r="BF25" s="76">
        <f t="shared" si="6"/>
        <v>60697.19139044531</v>
      </c>
      <c r="BG25" s="76">
        <f t="shared" si="6"/>
        <v>60697.19139044531</v>
      </c>
      <c r="BH25" s="76">
        <f t="shared" si="6"/>
        <v>60697.19139044531</v>
      </c>
      <c r="BI25" s="76">
        <f t="shared" si="6"/>
        <v>60697.19139044531</v>
      </c>
      <c r="BJ25" s="76">
        <f t="shared" si="6"/>
        <v>60697.19139044531</v>
      </c>
      <c r="BK25" s="76">
        <f t="shared" si="6"/>
        <v>60697.19139044531</v>
      </c>
      <c r="BL25" s="76">
        <f t="shared" si="6"/>
        <v>60697.19139044531</v>
      </c>
      <c r="BM25" s="76">
        <f t="shared" si="6"/>
        <v>60697.19139044531</v>
      </c>
      <c r="BN25" s="76">
        <f t="shared" si="6"/>
        <v>728366.29668534372</v>
      </c>
    </row>
    <row r="26" spans="2:66" x14ac:dyDescent="0.2">
      <c r="B26" s="76" t="s">
        <v>9</v>
      </c>
      <c r="C26" s="76" t="s">
        <v>41</v>
      </c>
      <c r="J26" s="76">
        <f t="shared" ref="J26:M26" si="11">J20*J14</f>
        <v>5232.0464491965813</v>
      </c>
      <c r="K26" s="76">
        <f t="shared" si="11"/>
        <v>8020.7655834871794</v>
      </c>
      <c r="L26" s="76">
        <f t="shared" si="11"/>
        <v>10809.484717777777</v>
      </c>
      <c r="M26" s="76">
        <f t="shared" si="11"/>
        <v>13598.203852068375</v>
      </c>
      <c r="N26" s="76">
        <f>N20*N14</f>
        <v>37660.500602529915</v>
      </c>
      <c r="O26" s="76">
        <f t="shared" si="6"/>
        <v>16399.715275965813</v>
      </c>
      <c r="P26" s="76">
        <f t="shared" si="6"/>
        <v>19188.43441025641</v>
      </c>
      <c r="Q26" s="76">
        <f t="shared" si="6"/>
        <v>19591.391532871792</v>
      </c>
      <c r="R26" s="76">
        <f t="shared" si="6"/>
        <v>19591.391532871792</v>
      </c>
      <c r="S26" s="76">
        <f t="shared" si="6"/>
        <v>19591.391532871792</v>
      </c>
      <c r="T26" s="76">
        <f t="shared" si="6"/>
        <v>19591.391532871792</v>
      </c>
      <c r="U26" s="76">
        <f t="shared" si="6"/>
        <v>19591.391532871792</v>
      </c>
      <c r="V26" s="76">
        <f t="shared" si="6"/>
        <v>19591.391532871792</v>
      </c>
      <c r="W26" s="76">
        <f t="shared" si="6"/>
        <v>19591.391532871792</v>
      </c>
      <c r="X26" s="76">
        <f t="shared" si="6"/>
        <v>19591.391532871792</v>
      </c>
      <c r="Y26" s="76">
        <f t="shared" si="6"/>
        <v>19591.391532871792</v>
      </c>
      <c r="Z26" s="76">
        <f t="shared" si="6"/>
        <v>19591.391532871792</v>
      </c>
      <c r="AA26" s="76">
        <f t="shared" si="9"/>
        <v>231502.0650149401</v>
      </c>
      <c r="AB26" s="76">
        <f t="shared" si="6"/>
        <v>19983.219363529228</v>
      </c>
      <c r="AC26" s="76">
        <f t="shared" si="6"/>
        <v>19983.219363529228</v>
      </c>
      <c r="AD26" s="76">
        <f t="shared" si="6"/>
        <v>21035.668916675102</v>
      </c>
      <c r="AE26" s="76">
        <f t="shared" si="6"/>
        <v>22088.118469820973</v>
      </c>
      <c r="AF26" s="76">
        <f t="shared" si="6"/>
        <v>23127.245876724493</v>
      </c>
      <c r="AG26" s="76">
        <f t="shared" si="6"/>
        <v>24179.695429870368</v>
      </c>
      <c r="AH26" s="76">
        <f t="shared" si="6"/>
        <v>25232.144983016238</v>
      </c>
      <c r="AI26" s="76">
        <f t="shared" si="6"/>
        <v>26284.594536162112</v>
      </c>
      <c r="AJ26" s="76">
        <f t="shared" si="6"/>
        <v>27337.044089307983</v>
      </c>
      <c r="AK26" s="76">
        <f t="shared" si="6"/>
        <v>28389.493642453857</v>
      </c>
      <c r="AL26" s="76">
        <f t="shared" si="6"/>
        <v>29455.265341842081</v>
      </c>
      <c r="AM26" s="76">
        <f t="shared" si="6"/>
        <v>30507.714894987956</v>
      </c>
      <c r="AN26" s="76">
        <f t="shared" si="6"/>
        <v>297603.4249079196</v>
      </c>
      <c r="AO26" s="76">
        <f t="shared" si="6"/>
        <v>32177.779147929305</v>
      </c>
      <c r="AP26" s="76">
        <f t="shared" si="6"/>
        <v>33251.277692138094</v>
      </c>
      <c r="AQ26" s="76">
        <f t="shared" si="6"/>
        <v>34324.776236346886</v>
      </c>
      <c r="AR26" s="76">
        <f t="shared" si="6"/>
        <v>35398.274780555679</v>
      </c>
      <c r="AS26" s="76">
        <f t="shared" si="6"/>
        <v>36471.773324764465</v>
      </c>
      <c r="AT26" s="76">
        <f t="shared" si="6"/>
        <v>37545.271868973257</v>
      </c>
      <c r="AU26" s="76">
        <f t="shared" si="6"/>
        <v>38618.77041318205</v>
      </c>
      <c r="AV26" s="76">
        <f t="shared" si="6"/>
        <v>40765.766932775849</v>
      </c>
      <c r="AW26" s="76">
        <f t="shared" si="6"/>
        <v>40765.766932775849</v>
      </c>
      <c r="AX26" s="76">
        <f t="shared" si="6"/>
        <v>40765.766932775849</v>
      </c>
      <c r="AY26" s="76">
        <f t="shared" si="6"/>
        <v>40765.766932775849</v>
      </c>
      <c r="AZ26" s="76">
        <f t="shared" si="6"/>
        <v>40765.766932775849</v>
      </c>
      <c r="BA26" s="76">
        <f t="shared" si="6"/>
        <v>451616.75812776899</v>
      </c>
      <c r="BB26" s="76">
        <f t="shared" si="6"/>
        <v>38387.424440860363</v>
      </c>
      <c r="BC26" s="76">
        <f t="shared" si="6"/>
        <v>38387.424440860363</v>
      </c>
      <c r="BD26" s="76">
        <f t="shared" si="6"/>
        <v>38387.424440860363</v>
      </c>
      <c r="BE26" s="76">
        <f t="shared" si="6"/>
        <v>38387.424440860363</v>
      </c>
      <c r="BF26" s="76">
        <f t="shared" si="6"/>
        <v>38387.424440860363</v>
      </c>
      <c r="BG26" s="76">
        <f t="shared" si="6"/>
        <v>38387.424440860363</v>
      </c>
      <c r="BH26" s="76">
        <f t="shared" si="6"/>
        <v>38387.424440860363</v>
      </c>
      <c r="BI26" s="76">
        <f t="shared" si="6"/>
        <v>38387.424440860363</v>
      </c>
      <c r="BJ26" s="76">
        <f t="shared" si="6"/>
        <v>38387.424440860363</v>
      </c>
      <c r="BK26" s="76">
        <f t="shared" si="6"/>
        <v>38387.424440860363</v>
      </c>
      <c r="BL26" s="76">
        <f t="shared" si="6"/>
        <v>38387.424440860363</v>
      </c>
      <c r="BM26" s="76">
        <f t="shared" si="6"/>
        <v>38387.424440860363</v>
      </c>
      <c r="BN26" s="76">
        <f t="shared" si="6"/>
        <v>460649.09329032432</v>
      </c>
    </row>
    <row r="27" spans="2:66" x14ac:dyDescent="0.2">
      <c r="B27" s="133" t="s">
        <v>47</v>
      </c>
      <c r="C27" s="133" t="s">
        <v>48</v>
      </c>
      <c r="D27" s="133"/>
      <c r="E27" s="133"/>
      <c r="F27" s="133"/>
      <c r="G27" s="133"/>
      <c r="H27" s="133"/>
      <c r="I27" s="133"/>
      <c r="J27" s="133">
        <f t="shared" ref="J27:M27" si="12">SUM(J23:J26)</f>
        <v>41000.094039180694</v>
      </c>
      <c r="K27" s="133">
        <f t="shared" si="12"/>
        <v>62871.026352659341</v>
      </c>
      <c r="L27" s="133">
        <f t="shared" si="12"/>
        <v>84735.937398866663</v>
      </c>
      <c r="M27" s="133">
        <f t="shared" si="12"/>
        <v>106606.86971234527</v>
      </c>
      <c r="N27" s="133">
        <f>SUM(N23:N26)</f>
        <v>295213.92750305199</v>
      </c>
      <c r="O27" s="133">
        <f t="shared" ref="O27:BN27" si="13">SUM(O23:O26)</f>
        <v>128473.28153417792</v>
      </c>
      <c r="P27" s="133">
        <f t="shared" si="13"/>
        <v>150338.19439466004</v>
      </c>
      <c r="Q27" s="133">
        <f t="shared" si="13"/>
        <v>153495.29647694787</v>
      </c>
      <c r="R27" s="133">
        <f t="shared" si="13"/>
        <v>153495.29647694787</v>
      </c>
      <c r="S27" s="133">
        <f t="shared" si="13"/>
        <v>153495.29647694787</v>
      </c>
      <c r="T27" s="133">
        <f t="shared" si="13"/>
        <v>153495.29647694787</v>
      </c>
      <c r="U27" s="133">
        <f t="shared" si="13"/>
        <v>153495.29647694787</v>
      </c>
      <c r="V27" s="133">
        <f t="shared" si="13"/>
        <v>153495.29647694787</v>
      </c>
      <c r="W27" s="133">
        <f t="shared" si="13"/>
        <v>153495.29647694787</v>
      </c>
      <c r="X27" s="133">
        <f t="shared" si="13"/>
        <v>153495.29647694787</v>
      </c>
      <c r="Y27" s="133">
        <f t="shared" si="13"/>
        <v>153495.29647694787</v>
      </c>
      <c r="Z27" s="133">
        <f t="shared" si="13"/>
        <v>153495.29647694787</v>
      </c>
      <c r="AA27" s="133">
        <f t="shared" si="13"/>
        <v>1813764.4406983168</v>
      </c>
      <c r="AB27" s="133">
        <f t="shared" si="13"/>
        <v>156565.20240648685</v>
      </c>
      <c r="AC27" s="133">
        <f t="shared" si="13"/>
        <v>156565.20240648685</v>
      </c>
      <c r="AD27" s="133">
        <f t="shared" si="13"/>
        <v>164802.76115099958</v>
      </c>
      <c r="AE27" s="133">
        <f t="shared" si="13"/>
        <v>173040.32178493444</v>
      </c>
      <c r="AF27" s="133">
        <f t="shared" si="13"/>
        <v>181280.97345922139</v>
      </c>
      <c r="AG27" s="133">
        <f t="shared" si="13"/>
        <v>189518.53409315625</v>
      </c>
      <c r="AH27" s="133">
        <f t="shared" si="13"/>
        <v>197756.09472709114</v>
      </c>
      <c r="AI27" s="133">
        <f t="shared" si="13"/>
        <v>205987.3846928642</v>
      </c>
      <c r="AJ27" s="133">
        <f t="shared" si="13"/>
        <v>214224.94532679906</v>
      </c>
      <c r="AK27" s="133">
        <f t="shared" si="13"/>
        <v>222462.50596073392</v>
      </c>
      <c r="AL27" s="133">
        <f t="shared" si="13"/>
        <v>230686.05090805108</v>
      </c>
      <c r="AM27" s="133">
        <f t="shared" si="13"/>
        <v>238923.61154198594</v>
      </c>
      <c r="AN27" s="133">
        <f t="shared" si="13"/>
        <v>2331813.5884588109</v>
      </c>
      <c r="AO27" s="133">
        <f t="shared" si="13"/>
        <v>252107.54848059837</v>
      </c>
      <c r="AP27" s="133">
        <f t="shared" si="13"/>
        <v>260509.86032721191</v>
      </c>
      <c r="AQ27" s="133">
        <f t="shared" si="13"/>
        <v>268912.17217382544</v>
      </c>
      <c r="AR27" s="133">
        <f t="shared" si="13"/>
        <v>277309.73696277308</v>
      </c>
      <c r="AS27" s="133">
        <f t="shared" si="13"/>
        <v>285712.04880938662</v>
      </c>
      <c r="AT27" s="133">
        <f t="shared" si="13"/>
        <v>294114.36065600015</v>
      </c>
      <c r="AU27" s="133">
        <f t="shared" si="13"/>
        <v>302510.27642108873</v>
      </c>
      <c r="AV27" s="133">
        <f t="shared" si="13"/>
        <v>319393.00845259335</v>
      </c>
      <c r="AW27" s="133">
        <f t="shared" si="13"/>
        <v>319393.00845259335</v>
      </c>
      <c r="AX27" s="133">
        <f t="shared" si="13"/>
        <v>319393.00845259335</v>
      </c>
      <c r="AY27" s="133">
        <f t="shared" si="13"/>
        <v>319393.00845259335</v>
      </c>
      <c r="AZ27" s="133">
        <f>SUM(AZ23:AZ26)</f>
        <v>319393.00845259335</v>
      </c>
      <c r="BA27" s="133">
        <f t="shared" si="13"/>
        <v>3538141.0460938509</v>
      </c>
      <c r="BB27" s="133">
        <f t="shared" si="13"/>
        <v>300741.98891797726</v>
      </c>
      <c r="BC27" s="133">
        <f t="shared" si="13"/>
        <v>300741.98891797726</v>
      </c>
      <c r="BD27" s="133">
        <f t="shared" si="13"/>
        <v>300741.98891797726</v>
      </c>
      <c r="BE27" s="133">
        <f t="shared" si="13"/>
        <v>300741.98891797726</v>
      </c>
      <c r="BF27" s="133">
        <f t="shared" si="13"/>
        <v>300741.98891797726</v>
      </c>
      <c r="BG27" s="133">
        <f t="shared" si="13"/>
        <v>300741.98891797726</v>
      </c>
      <c r="BH27" s="133">
        <f t="shared" si="13"/>
        <v>300741.98891797726</v>
      </c>
      <c r="BI27" s="133">
        <f t="shared" si="13"/>
        <v>300741.98891797726</v>
      </c>
      <c r="BJ27" s="133">
        <f t="shared" si="13"/>
        <v>300741.98891797726</v>
      </c>
      <c r="BK27" s="133">
        <f t="shared" si="13"/>
        <v>300741.98891797726</v>
      </c>
      <c r="BL27" s="133">
        <f t="shared" si="13"/>
        <v>300741.98891797726</v>
      </c>
      <c r="BM27" s="133">
        <f t="shared" si="13"/>
        <v>300741.98891797726</v>
      </c>
      <c r="BN27" s="133">
        <f t="shared" si="13"/>
        <v>3608903.8670157278</v>
      </c>
    </row>
    <row r="29" spans="2:66" x14ac:dyDescent="0.2">
      <c r="B29" s="80" t="s">
        <v>386</v>
      </c>
    </row>
    <row r="30" spans="2:66" x14ac:dyDescent="0.2">
      <c r="B30" s="80" t="s">
        <v>6</v>
      </c>
    </row>
    <row r="31" spans="2:66" x14ac:dyDescent="0.2">
      <c r="B31" s="76" t="s">
        <v>18</v>
      </c>
      <c r="C31" s="76" t="s">
        <v>10</v>
      </c>
      <c r="J31" s="76">
        <f>Assumptions!J32</f>
        <v>7.2596160000000003</v>
      </c>
      <c r="K31" s="76">
        <f>Assumptions!K32</f>
        <v>7.2596160000000003</v>
      </c>
      <c r="L31" s="76">
        <f>Assumptions!L32</f>
        <v>7.2596160000000003</v>
      </c>
      <c r="M31" s="76">
        <f>Assumptions!M32</f>
        <v>7.2596160000000003</v>
      </c>
      <c r="N31" s="76">
        <f>Assumptions!N32</f>
        <v>7.2596160000000003</v>
      </c>
      <c r="O31" s="76">
        <f>Assumptions!O32</f>
        <v>7.2596160000000003</v>
      </c>
      <c r="P31" s="76">
        <f>Assumptions!P32</f>
        <v>7.2596160000000003</v>
      </c>
      <c r="Q31" s="76">
        <f>Assumptions!Q32</f>
        <v>7.4120679359999997</v>
      </c>
      <c r="R31" s="76">
        <f>Assumptions!R32</f>
        <v>7.4120679359999997</v>
      </c>
      <c r="S31" s="76">
        <f>Assumptions!S32</f>
        <v>7.4120679359999997</v>
      </c>
      <c r="T31" s="76">
        <f>Assumptions!T32</f>
        <v>7.4120679359999997</v>
      </c>
      <c r="U31" s="76">
        <f>Assumptions!U32</f>
        <v>7.4120679359999997</v>
      </c>
      <c r="V31" s="76">
        <f>Assumptions!V32</f>
        <v>7.4120679359999997</v>
      </c>
      <c r="W31" s="76">
        <f>Assumptions!W32</f>
        <v>7.4120679359999997</v>
      </c>
      <c r="X31" s="76">
        <f>Assumptions!X32</f>
        <v>7.4120679359999997</v>
      </c>
      <c r="Y31" s="76">
        <f>Assumptions!Y32</f>
        <v>7.4120679359999997</v>
      </c>
      <c r="Z31" s="76">
        <f>Assumptions!Z32</f>
        <v>7.4120679359999997</v>
      </c>
      <c r="AA31" s="76">
        <f>Assumptions!AA32</f>
        <v>7.4120679359999997</v>
      </c>
      <c r="AB31" s="76">
        <f>Assumptions!AB32</f>
        <v>7.5603092947199997</v>
      </c>
      <c r="AC31" s="76">
        <f>Assumptions!AC32</f>
        <v>7.5603092947199997</v>
      </c>
      <c r="AD31" s="76">
        <f>Assumptions!AD32</f>
        <v>7.5603092947199997</v>
      </c>
      <c r="AE31" s="76">
        <f>Assumptions!AE32</f>
        <v>7.5603092947199997</v>
      </c>
      <c r="AF31" s="76">
        <f>Assumptions!AF32</f>
        <v>7.5603092947199997</v>
      </c>
      <c r="AG31" s="76">
        <f>Assumptions!AG32</f>
        <v>7.5603092947199997</v>
      </c>
      <c r="AH31" s="76">
        <f>Assumptions!AH32</f>
        <v>7.5603092947199997</v>
      </c>
      <c r="AI31" s="76">
        <f>Assumptions!AI32</f>
        <v>7.5603092947199997</v>
      </c>
      <c r="AJ31" s="76">
        <f>Assumptions!AJ32</f>
        <v>7.5603092947199997</v>
      </c>
      <c r="AK31" s="76">
        <f>Assumptions!AK32</f>
        <v>7.5603092947199997</v>
      </c>
      <c r="AL31" s="76">
        <f>Assumptions!AL32</f>
        <v>7.5603092947199997</v>
      </c>
      <c r="AM31" s="76">
        <f>Assumptions!AM32</f>
        <v>7.5603092947199997</v>
      </c>
      <c r="AN31" s="76">
        <f>Assumptions!AN32</f>
        <v>7.5603092947199997</v>
      </c>
      <c r="AO31" s="76">
        <f>Assumptions!AO32</f>
        <v>7.7115154806144002</v>
      </c>
      <c r="AP31" s="76">
        <f>Assumptions!AP32</f>
        <v>7.7115154806144002</v>
      </c>
      <c r="AQ31" s="76">
        <f>Assumptions!AQ32</f>
        <v>7.7115154806144002</v>
      </c>
      <c r="AR31" s="76">
        <f>Assumptions!AR32</f>
        <v>7.7115154806144002</v>
      </c>
      <c r="AS31" s="76">
        <f>Assumptions!AS32</f>
        <v>7.7115154806144002</v>
      </c>
      <c r="AT31" s="76">
        <f>Assumptions!AT32</f>
        <v>7.7115154806144002</v>
      </c>
      <c r="AU31" s="76">
        <f>Assumptions!AU32</f>
        <v>7.7115154806144002</v>
      </c>
      <c r="AV31" s="76">
        <f>Assumptions!AV32</f>
        <v>7.7115154806144002</v>
      </c>
      <c r="AW31" s="76">
        <f>Assumptions!AW32</f>
        <v>7.7115154806144002</v>
      </c>
      <c r="AX31" s="76">
        <f>Assumptions!AX32</f>
        <v>7.7115154806144002</v>
      </c>
      <c r="AY31" s="76">
        <f>Assumptions!AY32</f>
        <v>7.7115154806144002</v>
      </c>
      <c r="AZ31" s="76">
        <f>Assumptions!AZ32</f>
        <v>7.7115154806144002</v>
      </c>
      <c r="BA31" s="76">
        <f>Assumptions!BA32</f>
        <v>7.7115154806144002</v>
      </c>
      <c r="BB31" s="76">
        <f>Assumptions!BB32</f>
        <v>7.9181695333439999</v>
      </c>
      <c r="BC31" s="76">
        <f>Assumptions!BC32</f>
        <v>7.9181695333439999</v>
      </c>
      <c r="BD31" s="76">
        <f>Assumptions!BD32</f>
        <v>7.9181695333439999</v>
      </c>
      <c r="BE31" s="76">
        <f>Assumptions!BE32</f>
        <v>7.9181695333439999</v>
      </c>
      <c r="BF31" s="76">
        <f>Assumptions!BF32</f>
        <v>7.9181695333439999</v>
      </c>
      <c r="BG31" s="76">
        <f>Assumptions!BG32</f>
        <v>7.9181695333439999</v>
      </c>
      <c r="BH31" s="76">
        <f>Assumptions!BH32</f>
        <v>7.9181695333439999</v>
      </c>
      <c r="BI31" s="76">
        <f>Assumptions!BI32</f>
        <v>7.9181695333439999</v>
      </c>
      <c r="BJ31" s="76">
        <f>Assumptions!BJ32</f>
        <v>7.9181695333439999</v>
      </c>
      <c r="BK31" s="76">
        <f>Assumptions!BK32</f>
        <v>7.9181695333439999</v>
      </c>
      <c r="BL31" s="76">
        <f>Assumptions!BL32</f>
        <v>7.9181695333439999</v>
      </c>
      <c r="BM31" s="76">
        <f>Assumptions!BM32</f>
        <v>7.9181695333439999</v>
      </c>
      <c r="BN31" s="76">
        <f>Assumptions!BN32</f>
        <v>7.9181695333439999</v>
      </c>
    </row>
    <row r="32" spans="2:66" x14ac:dyDescent="0.2">
      <c r="B32" s="76" t="s">
        <v>25</v>
      </c>
      <c r="C32" s="329" t="s">
        <v>104</v>
      </c>
      <c r="J32" s="76">
        <f>Assumptions!J33</f>
        <v>669</v>
      </c>
      <c r="K32" s="76">
        <f>Assumptions!K33</f>
        <v>1025</v>
      </c>
      <c r="L32" s="76">
        <f>Assumptions!L33</f>
        <v>1382</v>
      </c>
      <c r="M32" s="76">
        <f>Assumptions!M33</f>
        <v>1739</v>
      </c>
      <c r="N32" s="76">
        <f>Assumptions!N33</f>
        <v>4815</v>
      </c>
      <c r="O32" s="76">
        <f>Assumptions!O33</f>
        <v>2094</v>
      </c>
      <c r="P32" s="76">
        <f>Assumptions!P33</f>
        <v>2451</v>
      </c>
      <c r="Q32" s="76">
        <f>Assumptions!Q33</f>
        <v>2451</v>
      </c>
      <c r="R32" s="76">
        <f>Assumptions!R33</f>
        <v>2451</v>
      </c>
      <c r="S32" s="76">
        <f>Assumptions!S33</f>
        <v>2451</v>
      </c>
      <c r="T32" s="76">
        <f>Assumptions!T33</f>
        <v>2451</v>
      </c>
      <c r="U32" s="76">
        <f>Assumptions!U33</f>
        <v>2451</v>
      </c>
      <c r="V32" s="76">
        <f>Assumptions!V33</f>
        <v>2451</v>
      </c>
      <c r="W32" s="76">
        <f>Assumptions!W33</f>
        <v>2451</v>
      </c>
      <c r="X32" s="76">
        <f>Assumptions!X33</f>
        <v>2451</v>
      </c>
      <c r="Y32" s="76">
        <f>Assumptions!Y33</f>
        <v>2451</v>
      </c>
      <c r="Z32" s="76">
        <f>Assumptions!Z33</f>
        <v>2451</v>
      </c>
      <c r="AA32" s="76">
        <f>Assumptions!AA33</f>
        <v>29055</v>
      </c>
      <c r="AB32" s="76">
        <f>Assumptions!AB33</f>
        <v>2451</v>
      </c>
      <c r="AC32" s="76">
        <f>Assumptions!AC33</f>
        <v>2451</v>
      </c>
      <c r="AD32" s="76">
        <f>Assumptions!AD33</f>
        <v>2579</v>
      </c>
      <c r="AE32" s="76">
        <f>Assumptions!AE33</f>
        <v>2708</v>
      </c>
      <c r="AF32" s="76">
        <f>Assumptions!AF33</f>
        <v>2837</v>
      </c>
      <c r="AG32" s="76">
        <f>Assumptions!AG33</f>
        <v>2966</v>
      </c>
      <c r="AH32" s="76">
        <f>Assumptions!AH33</f>
        <v>3094</v>
      </c>
      <c r="AI32" s="76">
        <f>Assumptions!AI33</f>
        <v>3224</v>
      </c>
      <c r="AJ32" s="76">
        <f>Assumptions!AJ33</f>
        <v>3352</v>
      </c>
      <c r="AK32" s="76">
        <f>Assumptions!AK33</f>
        <v>3481</v>
      </c>
      <c r="AL32" s="76">
        <f>Assumptions!AL33</f>
        <v>3611</v>
      </c>
      <c r="AM32" s="76">
        <f>Assumptions!AM33</f>
        <v>3739</v>
      </c>
      <c r="AN32" s="76">
        <f>Assumptions!AN33</f>
        <v>36493</v>
      </c>
      <c r="AO32" s="76">
        <f>Assumptions!AO33</f>
        <v>3869</v>
      </c>
      <c r="AP32" s="76">
        <f>Assumptions!AP33</f>
        <v>3997</v>
      </c>
      <c r="AQ32" s="76">
        <f>Assumptions!AQ33</f>
        <v>4126</v>
      </c>
      <c r="AR32" s="76">
        <f>Assumptions!AR33</f>
        <v>4255</v>
      </c>
      <c r="AS32" s="76">
        <f>Assumptions!AS33</f>
        <v>4384</v>
      </c>
      <c r="AT32" s="76">
        <f>Assumptions!AT33</f>
        <v>4512</v>
      </c>
      <c r="AU32" s="76">
        <f>Assumptions!AU33</f>
        <v>4642</v>
      </c>
      <c r="AV32" s="76">
        <f>Assumptions!AV33</f>
        <v>4901</v>
      </c>
      <c r="AW32" s="76">
        <f>Assumptions!AW33</f>
        <v>4901</v>
      </c>
      <c r="AX32" s="76">
        <f>Assumptions!AX33</f>
        <v>4901</v>
      </c>
      <c r="AY32" s="76">
        <f>Assumptions!AY33</f>
        <v>4901</v>
      </c>
      <c r="AZ32" s="76">
        <f>Assumptions!AZ33</f>
        <v>4901</v>
      </c>
      <c r="BA32" s="76">
        <f>Assumptions!BA33</f>
        <v>54290</v>
      </c>
      <c r="BB32" s="76">
        <f>Assumptions!BB33</f>
        <v>4153.9167364339992</v>
      </c>
      <c r="BC32" s="76">
        <f>Assumptions!BC33</f>
        <v>4153.9167364339992</v>
      </c>
      <c r="BD32" s="76">
        <f>Assumptions!BD33</f>
        <v>4153.9167364339992</v>
      </c>
      <c r="BE32" s="76">
        <f>Assumptions!BE33</f>
        <v>4153.9167364339992</v>
      </c>
      <c r="BF32" s="76">
        <f>Assumptions!BF33</f>
        <v>4153.9167364339992</v>
      </c>
      <c r="BG32" s="76">
        <f>Assumptions!BG33</f>
        <v>4153.9167364339992</v>
      </c>
      <c r="BH32" s="76">
        <f>Assumptions!BH33</f>
        <v>4153.9167364339992</v>
      </c>
      <c r="BI32" s="76">
        <f>Assumptions!BI33</f>
        <v>4153.9167364339992</v>
      </c>
      <c r="BJ32" s="76">
        <f>Assumptions!BJ33</f>
        <v>4153.9167364339992</v>
      </c>
      <c r="BK32" s="76">
        <f>Assumptions!BK33</f>
        <v>4153.9167364339992</v>
      </c>
      <c r="BL32" s="76">
        <f>Assumptions!BL33</f>
        <v>4153.9167364339992</v>
      </c>
      <c r="BM32" s="76">
        <f>Assumptions!BM33</f>
        <v>4153.9167364339992</v>
      </c>
      <c r="BN32" s="76">
        <f>Assumptions!BN33</f>
        <v>49847.00083720799</v>
      </c>
    </row>
    <row r="33" spans="2:66" x14ac:dyDescent="0.2">
      <c r="B33" s="133" t="s">
        <v>120</v>
      </c>
      <c r="C33" s="133" t="s">
        <v>48</v>
      </c>
      <c r="D33" s="133"/>
      <c r="E33" s="133"/>
      <c r="F33" s="133"/>
      <c r="G33" s="133"/>
      <c r="H33" s="133"/>
      <c r="I33" s="133"/>
      <c r="J33" s="133">
        <f t="shared" ref="J33:BN33" si="14">J32*J31</f>
        <v>4856.6831040000006</v>
      </c>
      <c r="K33" s="133">
        <f t="shared" si="14"/>
        <v>7441.1064000000006</v>
      </c>
      <c r="L33" s="133">
        <f t="shared" si="14"/>
        <v>10032.789312000001</v>
      </c>
      <c r="M33" s="133">
        <f t="shared" si="14"/>
        <v>12624.472224000001</v>
      </c>
      <c r="N33" s="133">
        <f>SUM(J33:M33)</f>
        <v>34955.051040000006</v>
      </c>
      <c r="O33" s="133">
        <f t="shared" si="14"/>
        <v>15201.635904000001</v>
      </c>
      <c r="P33" s="133">
        <f t="shared" si="14"/>
        <v>17793.318815999999</v>
      </c>
      <c r="Q33" s="133">
        <f t="shared" si="14"/>
        <v>18166.978511136</v>
      </c>
      <c r="R33" s="133">
        <f t="shared" si="14"/>
        <v>18166.978511136</v>
      </c>
      <c r="S33" s="133">
        <f t="shared" si="14"/>
        <v>18166.978511136</v>
      </c>
      <c r="T33" s="133">
        <f t="shared" si="14"/>
        <v>18166.978511136</v>
      </c>
      <c r="U33" s="133">
        <f t="shared" si="14"/>
        <v>18166.978511136</v>
      </c>
      <c r="V33" s="133">
        <f t="shared" si="14"/>
        <v>18166.978511136</v>
      </c>
      <c r="W33" s="133">
        <f t="shared" si="14"/>
        <v>18166.978511136</v>
      </c>
      <c r="X33" s="133">
        <f t="shared" si="14"/>
        <v>18166.978511136</v>
      </c>
      <c r="Y33" s="133">
        <f t="shared" si="14"/>
        <v>18166.978511136</v>
      </c>
      <c r="Z33" s="133">
        <f t="shared" si="14"/>
        <v>18166.978511136</v>
      </c>
      <c r="AA33" s="133">
        <f>SUM(O33:Z33)</f>
        <v>214664.73983135997</v>
      </c>
      <c r="AB33" s="133">
        <f t="shared" si="14"/>
        <v>18530.318081358721</v>
      </c>
      <c r="AC33" s="133">
        <f t="shared" si="14"/>
        <v>18530.318081358721</v>
      </c>
      <c r="AD33" s="133">
        <f t="shared" si="14"/>
        <v>19498.037671082879</v>
      </c>
      <c r="AE33" s="133">
        <f t="shared" si="14"/>
        <v>20473.317570101761</v>
      </c>
      <c r="AF33" s="133">
        <f t="shared" si="14"/>
        <v>21448.597469120639</v>
      </c>
      <c r="AG33" s="133">
        <f t="shared" si="14"/>
        <v>22423.877368139518</v>
      </c>
      <c r="AH33" s="133">
        <f t="shared" si="14"/>
        <v>23391.59695786368</v>
      </c>
      <c r="AI33" s="133">
        <f t="shared" si="14"/>
        <v>24374.437166177278</v>
      </c>
      <c r="AJ33" s="133">
        <f t="shared" si="14"/>
        <v>25342.15675590144</v>
      </c>
      <c r="AK33" s="133">
        <f t="shared" si="14"/>
        <v>26317.436654920319</v>
      </c>
      <c r="AL33" s="133">
        <f t="shared" si="14"/>
        <v>27300.276863233918</v>
      </c>
      <c r="AM33" s="133">
        <f t="shared" si="14"/>
        <v>28267.996452958079</v>
      </c>
      <c r="AN33" s="133">
        <f t="shared" si="14"/>
        <v>275898.36709221697</v>
      </c>
      <c r="AO33" s="133">
        <f t="shared" si="14"/>
        <v>29835.853394497113</v>
      </c>
      <c r="AP33" s="133">
        <f t="shared" si="14"/>
        <v>30822.927376015756</v>
      </c>
      <c r="AQ33" s="133">
        <f t="shared" si="14"/>
        <v>31817.712873015014</v>
      </c>
      <c r="AR33" s="133">
        <f t="shared" si="14"/>
        <v>32812.498370014269</v>
      </c>
      <c r="AS33" s="133">
        <f t="shared" si="14"/>
        <v>33807.283867013532</v>
      </c>
      <c r="AT33" s="133">
        <f t="shared" si="14"/>
        <v>34794.35784853217</v>
      </c>
      <c r="AU33" s="133">
        <f t="shared" si="14"/>
        <v>35796.854861012049</v>
      </c>
      <c r="AV33" s="133">
        <f t="shared" si="14"/>
        <v>37794.137370491175</v>
      </c>
      <c r="AW33" s="133">
        <f t="shared" si="14"/>
        <v>37794.137370491175</v>
      </c>
      <c r="AX33" s="133">
        <f t="shared" si="14"/>
        <v>37794.137370491175</v>
      </c>
      <c r="AY33" s="133">
        <f t="shared" si="14"/>
        <v>37794.137370491175</v>
      </c>
      <c r="AZ33" s="133">
        <f t="shared" si="14"/>
        <v>37794.137370491175</v>
      </c>
      <c r="BA33" s="133">
        <f t="shared" si="14"/>
        <v>418658.1754425558</v>
      </c>
      <c r="BB33" s="133">
        <f t="shared" si="14"/>
        <v>32891.416946479432</v>
      </c>
      <c r="BC33" s="133">
        <f t="shared" si="14"/>
        <v>32891.416946479432</v>
      </c>
      <c r="BD33" s="133">
        <f t="shared" si="14"/>
        <v>32891.416946479432</v>
      </c>
      <c r="BE33" s="133">
        <f t="shared" si="14"/>
        <v>32891.416946479432</v>
      </c>
      <c r="BF33" s="133">
        <f t="shared" si="14"/>
        <v>32891.416946479432</v>
      </c>
      <c r="BG33" s="133">
        <f t="shared" si="14"/>
        <v>32891.416946479432</v>
      </c>
      <c r="BH33" s="133">
        <f t="shared" si="14"/>
        <v>32891.416946479432</v>
      </c>
      <c r="BI33" s="133">
        <f t="shared" si="14"/>
        <v>32891.416946479432</v>
      </c>
      <c r="BJ33" s="133">
        <f t="shared" si="14"/>
        <v>32891.416946479432</v>
      </c>
      <c r="BK33" s="133">
        <f t="shared" si="14"/>
        <v>32891.416946479432</v>
      </c>
      <c r="BL33" s="133">
        <f t="shared" si="14"/>
        <v>32891.416946479432</v>
      </c>
      <c r="BM33" s="133">
        <f t="shared" si="14"/>
        <v>32891.416946479432</v>
      </c>
      <c r="BN33" s="133">
        <f t="shared" si="14"/>
        <v>394697.00335775316</v>
      </c>
    </row>
    <row r="35" spans="2:66" x14ac:dyDescent="0.2">
      <c r="B35" s="80" t="s">
        <v>7</v>
      </c>
    </row>
    <row r="36" spans="2:66" x14ac:dyDescent="0.2">
      <c r="B36" s="76" t="s">
        <v>18</v>
      </c>
      <c r="C36" s="76" t="s">
        <v>10</v>
      </c>
      <c r="J36" s="76">
        <f>Assumptions!J41</f>
        <v>12.7561824</v>
      </c>
      <c r="K36" s="76">
        <f>Assumptions!K41</f>
        <v>12.7561824</v>
      </c>
      <c r="L36" s="76">
        <f>Assumptions!L41</f>
        <v>12.7561824</v>
      </c>
      <c r="M36" s="76">
        <f>Assumptions!M41</f>
        <v>12.7561824</v>
      </c>
      <c r="N36" s="76">
        <f>Assumptions!N41</f>
        <v>12.7561824</v>
      </c>
      <c r="O36" s="76">
        <f>Assumptions!O41</f>
        <v>12.7561824</v>
      </c>
      <c r="P36" s="76">
        <f>Assumptions!P41</f>
        <v>12.7561824</v>
      </c>
      <c r="Q36" s="76">
        <f>Assumptions!Q41</f>
        <v>13.024062230399998</v>
      </c>
      <c r="R36" s="76">
        <f>Assumptions!R41</f>
        <v>13.024062230399998</v>
      </c>
      <c r="S36" s="76">
        <f>Assumptions!S41</f>
        <v>13.024062230399998</v>
      </c>
      <c r="T36" s="76">
        <f>Assumptions!T41</f>
        <v>13.024062230399998</v>
      </c>
      <c r="U36" s="76">
        <f>Assumptions!U41</f>
        <v>13.024062230399998</v>
      </c>
      <c r="V36" s="76">
        <f>Assumptions!V41</f>
        <v>13.024062230399998</v>
      </c>
      <c r="W36" s="76">
        <f>Assumptions!W41</f>
        <v>13.024062230399998</v>
      </c>
      <c r="X36" s="76">
        <f>Assumptions!X41</f>
        <v>13.024062230399998</v>
      </c>
      <c r="Y36" s="76">
        <f>Assumptions!Y41</f>
        <v>13.024062230399998</v>
      </c>
      <c r="Z36" s="76">
        <f>Assumptions!Z41</f>
        <v>13.024062230399998</v>
      </c>
      <c r="AA36" s="76">
        <f>Assumptions!AA41</f>
        <v>13.024062230399998</v>
      </c>
      <c r="AB36" s="76">
        <f>Assumptions!AB41</f>
        <v>13.284543475007998</v>
      </c>
      <c r="AC36" s="76">
        <f>Assumptions!AC41</f>
        <v>13.284543475007998</v>
      </c>
      <c r="AD36" s="76">
        <f>Assumptions!AD41</f>
        <v>13.284543475007998</v>
      </c>
      <c r="AE36" s="76">
        <f>Assumptions!AE41</f>
        <v>13.284543475007998</v>
      </c>
      <c r="AF36" s="76">
        <f>Assumptions!AF41</f>
        <v>13.284543475007998</v>
      </c>
      <c r="AG36" s="76">
        <f>Assumptions!AG41</f>
        <v>13.284543475007998</v>
      </c>
      <c r="AH36" s="76">
        <f>Assumptions!AH41</f>
        <v>13.284543475007998</v>
      </c>
      <c r="AI36" s="76">
        <f>Assumptions!AI41</f>
        <v>13.284543475007998</v>
      </c>
      <c r="AJ36" s="76">
        <f>Assumptions!AJ41</f>
        <v>13.284543475007998</v>
      </c>
      <c r="AK36" s="76">
        <f>Assumptions!AK41</f>
        <v>13.284543475007998</v>
      </c>
      <c r="AL36" s="76">
        <f>Assumptions!AL41</f>
        <v>13.284543475007998</v>
      </c>
      <c r="AM36" s="76">
        <f>Assumptions!AM41</f>
        <v>13.284543475007998</v>
      </c>
      <c r="AN36" s="76">
        <f>Assumptions!AN41</f>
        <v>13.284543475007998</v>
      </c>
      <c r="AO36" s="76">
        <f>Assumptions!AO41</f>
        <v>13.55023434450816</v>
      </c>
      <c r="AP36" s="76">
        <f>Assumptions!AP41</f>
        <v>13.55023434450816</v>
      </c>
      <c r="AQ36" s="76">
        <f>Assumptions!AQ41</f>
        <v>13.55023434450816</v>
      </c>
      <c r="AR36" s="76">
        <f>Assumptions!AR41</f>
        <v>13.55023434450816</v>
      </c>
      <c r="AS36" s="76">
        <f>Assumptions!AS41</f>
        <v>13.55023434450816</v>
      </c>
      <c r="AT36" s="76">
        <f>Assumptions!AT41</f>
        <v>13.55023434450816</v>
      </c>
      <c r="AU36" s="76">
        <f>Assumptions!AU41</f>
        <v>13.55023434450816</v>
      </c>
      <c r="AV36" s="76">
        <f>Assumptions!AV41</f>
        <v>13.55023434450816</v>
      </c>
      <c r="AW36" s="76">
        <f>Assumptions!AW41</f>
        <v>13.55023434450816</v>
      </c>
      <c r="AX36" s="76">
        <f>Assumptions!AX41</f>
        <v>13.55023434450816</v>
      </c>
      <c r="AY36" s="76">
        <f>Assumptions!AY41</f>
        <v>13.55023434450816</v>
      </c>
      <c r="AZ36" s="76">
        <f>Assumptions!AZ41</f>
        <v>13.55023434450816</v>
      </c>
      <c r="BA36" s="76">
        <f>Assumptions!BA41</f>
        <v>13.55023434450816</v>
      </c>
      <c r="BB36" s="76">
        <f>Assumptions!BB41</f>
        <v>13.913355037161601</v>
      </c>
      <c r="BC36" s="76">
        <f>Assumptions!BC41</f>
        <v>13.913355037161601</v>
      </c>
      <c r="BD36" s="76">
        <f>Assumptions!BD41</f>
        <v>13.913355037161601</v>
      </c>
      <c r="BE36" s="76">
        <f>Assumptions!BE41</f>
        <v>13.913355037161601</v>
      </c>
      <c r="BF36" s="76">
        <f>Assumptions!BF41</f>
        <v>13.913355037161601</v>
      </c>
      <c r="BG36" s="76">
        <f>Assumptions!BG41</f>
        <v>13.913355037161601</v>
      </c>
      <c r="BH36" s="76">
        <f>Assumptions!BH41</f>
        <v>13.913355037161601</v>
      </c>
      <c r="BI36" s="76">
        <f>Assumptions!BI41</f>
        <v>13.913355037161601</v>
      </c>
      <c r="BJ36" s="76">
        <f>Assumptions!BJ41</f>
        <v>13.913355037161601</v>
      </c>
      <c r="BK36" s="76">
        <f>Assumptions!BK41</f>
        <v>13.913355037161601</v>
      </c>
      <c r="BL36" s="76">
        <f>Assumptions!BL41</f>
        <v>13.913355037161601</v>
      </c>
      <c r="BM36" s="76">
        <f>Assumptions!BM41</f>
        <v>13.913355037161601</v>
      </c>
      <c r="BN36" s="76">
        <f>Assumptions!BN41</f>
        <v>13.913355037161601</v>
      </c>
    </row>
    <row r="37" spans="2:66" x14ac:dyDescent="0.2">
      <c r="B37" s="76" t="s">
        <v>25</v>
      </c>
      <c r="C37" s="329" t="s">
        <v>104</v>
      </c>
      <c r="J37" s="76">
        <f>Assumptions!J42</f>
        <v>891</v>
      </c>
      <c r="K37" s="76">
        <f>Assumptions!K42</f>
        <v>1367</v>
      </c>
      <c r="L37" s="76">
        <f>Assumptions!L42</f>
        <v>1842</v>
      </c>
      <c r="M37" s="76">
        <f>Assumptions!M42</f>
        <v>2318</v>
      </c>
      <c r="N37" s="76">
        <f>Assumptions!N42</f>
        <v>6418</v>
      </c>
      <c r="O37" s="76">
        <f>Assumptions!O42</f>
        <v>2793</v>
      </c>
      <c r="P37" s="76">
        <f>Assumptions!P42</f>
        <v>3267</v>
      </c>
      <c r="Q37" s="76">
        <f>Assumptions!Q42</f>
        <v>3267</v>
      </c>
      <c r="R37" s="76">
        <f>Assumptions!R42</f>
        <v>3267</v>
      </c>
      <c r="S37" s="76">
        <f>Assumptions!S42</f>
        <v>3267</v>
      </c>
      <c r="T37" s="76">
        <f>Assumptions!T42</f>
        <v>3267</v>
      </c>
      <c r="U37" s="76">
        <f>Assumptions!U42</f>
        <v>3267</v>
      </c>
      <c r="V37" s="76">
        <f>Assumptions!V42</f>
        <v>3267</v>
      </c>
      <c r="W37" s="76">
        <f>Assumptions!W42</f>
        <v>3267</v>
      </c>
      <c r="X37" s="76">
        <f>Assumptions!X42</f>
        <v>3267</v>
      </c>
      <c r="Y37" s="76">
        <f>Assumptions!Y42</f>
        <v>3267</v>
      </c>
      <c r="Z37" s="76">
        <f>Assumptions!Z42</f>
        <v>3267</v>
      </c>
      <c r="AA37" s="76">
        <f>Assumptions!AA42</f>
        <v>38730</v>
      </c>
      <c r="AB37" s="76">
        <f>Assumptions!AB42</f>
        <v>3267</v>
      </c>
      <c r="AC37" s="76">
        <f>Assumptions!AC42</f>
        <v>3267</v>
      </c>
      <c r="AD37" s="76">
        <f>Assumptions!AD42</f>
        <v>3440</v>
      </c>
      <c r="AE37" s="76">
        <f>Assumptions!AE42</f>
        <v>3612</v>
      </c>
      <c r="AF37" s="76">
        <f>Assumptions!AF42</f>
        <v>3784</v>
      </c>
      <c r="AG37" s="76">
        <f>Assumptions!AG42</f>
        <v>3956</v>
      </c>
      <c r="AH37" s="76">
        <f>Assumptions!AH42</f>
        <v>4128</v>
      </c>
      <c r="AI37" s="76">
        <f>Assumptions!AI42</f>
        <v>4299</v>
      </c>
      <c r="AJ37" s="76">
        <f>Assumptions!AJ42</f>
        <v>4471</v>
      </c>
      <c r="AK37" s="76">
        <f>Assumptions!AK42</f>
        <v>4643</v>
      </c>
      <c r="AL37" s="76">
        <f>Assumptions!AL42</f>
        <v>4814</v>
      </c>
      <c r="AM37" s="76">
        <f>Assumptions!AM42</f>
        <v>4986</v>
      </c>
      <c r="AN37" s="76">
        <f>Assumptions!AN42</f>
        <v>48667</v>
      </c>
      <c r="AO37" s="76">
        <f>Assumptions!AO42</f>
        <v>5158</v>
      </c>
      <c r="AP37" s="76">
        <f>Assumptions!AP42</f>
        <v>5330</v>
      </c>
      <c r="AQ37" s="76">
        <f>Assumptions!AQ42</f>
        <v>5502</v>
      </c>
      <c r="AR37" s="76">
        <f>Assumptions!AR42</f>
        <v>5674</v>
      </c>
      <c r="AS37" s="76">
        <f>Assumptions!AS42</f>
        <v>5846</v>
      </c>
      <c r="AT37" s="76">
        <f>Assumptions!AT42</f>
        <v>6018</v>
      </c>
      <c r="AU37" s="76">
        <f>Assumptions!AU42</f>
        <v>6189</v>
      </c>
      <c r="AV37" s="76">
        <f>Assumptions!AV42</f>
        <v>6534</v>
      </c>
      <c r="AW37" s="76">
        <f>Assumptions!AW42</f>
        <v>6534</v>
      </c>
      <c r="AX37" s="76">
        <f>Assumptions!AX42</f>
        <v>6534</v>
      </c>
      <c r="AY37" s="76">
        <f>Assumptions!AY42</f>
        <v>6534</v>
      </c>
      <c r="AZ37" s="76">
        <f>Assumptions!AZ42</f>
        <v>6534</v>
      </c>
      <c r="BA37" s="76">
        <f>Assumptions!BA42</f>
        <v>72387</v>
      </c>
      <c r="BB37" s="76">
        <f>Assumptions!BB42</f>
        <v>5539.0832984496665</v>
      </c>
      <c r="BC37" s="76">
        <f>Assumptions!BC42</f>
        <v>5539.0832984496665</v>
      </c>
      <c r="BD37" s="76">
        <f>Assumptions!BD42</f>
        <v>5539.0832984496665</v>
      </c>
      <c r="BE37" s="76">
        <f>Assumptions!BE42</f>
        <v>5539.0832984496665</v>
      </c>
      <c r="BF37" s="76">
        <f>Assumptions!BF42</f>
        <v>5539.0832984496665</v>
      </c>
      <c r="BG37" s="76">
        <f>Assumptions!BG42</f>
        <v>5539.0832984496665</v>
      </c>
      <c r="BH37" s="76">
        <f>Assumptions!BH42</f>
        <v>5539.0832984496665</v>
      </c>
      <c r="BI37" s="76">
        <f>Assumptions!BI42</f>
        <v>5539.0832984496665</v>
      </c>
      <c r="BJ37" s="76">
        <f>Assumptions!BJ42</f>
        <v>5539.0832984496665</v>
      </c>
      <c r="BK37" s="76">
        <f>Assumptions!BK42</f>
        <v>5539.0832984496665</v>
      </c>
      <c r="BL37" s="76">
        <f>Assumptions!BL42</f>
        <v>5539.0832984496665</v>
      </c>
      <c r="BM37" s="76">
        <f>Assumptions!BM42</f>
        <v>5539.0832984496665</v>
      </c>
      <c r="BN37" s="76">
        <f>Assumptions!BN42</f>
        <v>66468.999581395998</v>
      </c>
    </row>
    <row r="38" spans="2:66" x14ac:dyDescent="0.2">
      <c r="B38" s="133" t="s">
        <v>124</v>
      </c>
      <c r="C38" s="133" t="s">
        <v>48</v>
      </c>
      <c r="D38" s="133"/>
      <c r="E38" s="133"/>
      <c r="F38" s="133"/>
      <c r="G38" s="133"/>
      <c r="H38" s="133"/>
      <c r="I38" s="133"/>
      <c r="J38" s="133">
        <f t="shared" ref="J38:AL38" si="15">J37*J36</f>
        <v>11365.7585184</v>
      </c>
      <c r="K38" s="133">
        <f t="shared" si="15"/>
        <v>17437.701340799998</v>
      </c>
      <c r="L38" s="133">
        <f t="shared" si="15"/>
        <v>23496.887980800002</v>
      </c>
      <c r="M38" s="133">
        <f t="shared" si="15"/>
        <v>29568.830803199999</v>
      </c>
      <c r="N38" s="133">
        <f>SUM(J38:M38)</f>
        <v>81869.178643199994</v>
      </c>
      <c r="O38" s="133">
        <f t="shared" si="15"/>
        <v>35628.017443199999</v>
      </c>
      <c r="P38" s="133">
        <f t="shared" si="15"/>
        <v>41674.447900799998</v>
      </c>
      <c r="Q38" s="133">
        <f t="shared" si="15"/>
        <v>42549.611306716797</v>
      </c>
      <c r="R38" s="133">
        <f t="shared" si="15"/>
        <v>42549.611306716797</v>
      </c>
      <c r="S38" s="133">
        <f t="shared" si="15"/>
        <v>42549.611306716797</v>
      </c>
      <c r="T38" s="133">
        <f t="shared" si="15"/>
        <v>42549.611306716797</v>
      </c>
      <c r="U38" s="133">
        <f t="shared" si="15"/>
        <v>42549.611306716797</v>
      </c>
      <c r="V38" s="133">
        <f t="shared" si="15"/>
        <v>42549.611306716797</v>
      </c>
      <c r="W38" s="133">
        <f t="shared" si="15"/>
        <v>42549.611306716797</v>
      </c>
      <c r="X38" s="133">
        <f t="shared" si="15"/>
        <v>42549.611306716797</v>
      </c>
      <c r="Y38" s="133">
        <f t="shared" si="15"/>
        <v>42549.611306716797</v>
      </c>
      <c r="Z38" s="133">
        <f t="shared" si="15"/>
        <v>42549.611306716797</v>
      </c>
      <c r="AA38" s="133">
        <f>SUM(O38:Z38)</f>
        <v>502798.57841116801</v>
      </c>
      <c r="AB38" s="133">
        <f t="shared" si="15"/>
        <v>43400.603532851128</v>
      </c>
      <c r="AC38" s="133">
        <f t="shared" si="15"/>
        <v>43400.603532851128</v>
      </c>
      <c r="AD38" s="133">
        <f t="shared" si="15"/>
        <v>45698.829554027514</v>
      </c>
      <c r="AE38" s="133">
        <f t="shared" si="15"/>
        <v>47983.771031728887</v>
      </c>
      <c r="AF38" s="133">
        <f t="shared" si="15"/>
        <v>50268.712509430268</v>
      </c>
      <c r="AG38" s="133">
        <f t="shared" si="15"/>
        <v>52553.653987131642</v>
      </c>
      <c r="AH38" s="133">
        <f t="shared" si="15"/>
        <v>54838.595464833015</v>
      </c>
      <c r="AI38" s="133">
        <f t="shared" si="15"/>
        <v>57110.252399059384</v>
      </c>
      <c r="AJ38" s="133">
        <f t="shared" si="15"/>
        <v>59395.193876760764</v>
      </c>
      <c r="AK38" s="133">
        <f t="shared" si="15"/>
        <v>61680.135354462138</v>
      </c>
      <c r="AL38" s="133">
        <f t="shared" si="15"/>
        <v>63951.792288688506</v>
      </c>
      <c r="AM38" s="133">
        <f t="shared" ref="AM38:BN38" si="16">AM37*AM36</f>
        <v>66236.73376638988</v>
      </c>
      <c r="AN38" s="133">
        <f t="shared" si="16"/>
        <v>646518.87729821424</v>
      </c>
      <c r="AO38" s="133">
        <f t="shared" si="16"/>
        <v>69892.108748973085</v>
      </c>
      <c r="AP38" s="133">
        <f t="shared" si="16"/>
        <v>72222.749056228495</v>
      </c>
      <c r="AQ38" s="133">
        <f t="shared" si="16"/>
        <v>74553.389363483904</v>
      </c>
      <c r="AR38" s="133">
        <f t="shared" si="16"/>
        <v>76884.029670739299</v>
      </c>
      <c r="AS38" s="133">
        <f t="shared" si="16"/>
        <v>79214.669977994708</v>
      </c>
      <c r="AT38" s="133">
        <f t="shared" si="16"/>
        <v>81545.310285250103</v>
      </c>
      <c r="AU38" s="133">
        <f t="shared" si="16"/>
        <v>83862.400358161001</v>
      </c>
      <c r="AV38" s="133">
        <f t="shared" si="16"/>
        <v>88537.231207016317</v>
      </c>
      <c r="AW38" s="133">
        <f t="shared" si="16"/>
        <v>88537.231207016317</v>
      </c>
      <c r="AX38" s="133">
        <f t="shared" si="16"/>
        <v>88537.231207016317</v>
      </c>
      <c r="AY38" s="133">
        <f t="shared" si="16"/>
        <v>88537.231207016317</v>
      </c>
      <c r="AZ38" s="133">
        <f t="shared" si="16"/>
        <v>88537.231207016317</v>
      </c>
      <c r="BA38" s="133">
        <f t="shared" si="16"/>
        <v>980860.81349591224</v>
      </c>
      <c r="BB38" s="133">
        <f t="shared" si="16"/>
        <v>77067.232511742361</v>
      </c>
      <c r="BC38" s="133">
        <f t="shared" si="16"/>
        <v>77067.232511742361</v>
      </c>
      <c r="BD38" s="133">
        <f t="shared" si="16"/>
        <v>77067.232511742361</v>
      </c>
      <c r="BE38" s="133">
        <f t="shared" si="16"/>
        <v>77067.232511742361</v>
      </c>
      <c r="BF38" s="133">
        <f t="shared" si="16"/>
        <v>77067.232511742361</v>
      </c>
      <c r="BG38" s="133">
        <f t="shared" si="16"/>
        <v>77067.232511742361</v>
      </c>
      <c r="BH38" s="133">
        <f t="shared" si="16"/>
        <v>77067.232511742361</v>
      </c>
      <c r="BI38" s="133">
        <f t="shared" si="16"/>
        <v>77067.232511742361</v>
      </c>
      <c r="BJ38" s="133">
        <f t="shared" si="16"/>
        <v>77067.232511742361</v>
      </c>
      <c r="BK38" s="133">
        <f t="shared" si="16"/>
        <v>77067.232511742361</v>
      </c>
      <c r="BL38" s="133">
        <f t="shared" si="16"/>
        <v>77067.232511742361</v>
      </c>
      <c r="BM38" s="133">
        <f t="shared" si="16"/>
        <v>77067.232511742361</v>
      </c>
      <c r="BN38" s="133">
        <f t="shared" si="16"/>
        <v>924806.79014090833</v>
      </c>
    </row>
    <row r="40" spans="2:66" x14ac:dyDescent="0.2">
      <c r="B40" s="80" t="s">
        <v>121</v>
      </c>
    </row>
    <row r="41" spans="2:66" x14ac:dyDescent="0.2">
      <c r="B41" s="76" t="s">
        <v>18</v>
      </c>
      <c r="C41" s="76" t="s">
        <v>10</v>
      </c>
      <c r="J41" s="76">
        <f>Assumptions!J50</f>
        <v>11.222644752000001</v>
      </c>
      <c r="K41" s="76">
        <f>Assumptions!K50</f>
        <v>11.222644752000001</v>
      </c>
      <c r="L41" s="76">
        <f>Assumptions!L50</f>
        <v>11.222644752000001</v>
      </c>
      <c r="M41" s="76">
        <f>Assumptions!M50</f>
        <v>11.222644752000001</v>
      </c>
      <c r="N41" s="76">
        <f>Assumptions!N50</f>
        <v>11.222644752000001</v>
      </c>
      <c r="O41" s="76">
        <f>Assumptions!O50</f>
        <v>11.222644752000001</v>
      </c>
      <c r="P41" s="76">
        <f>Assumptions!P50</f>
        <v>11.222644752000001</v>
      </c>
      <c r="Q41" s="76">
        <f>Assumptions!Q50</f>
        <v>11.458320291791997</v>
      </c>
      <c r="R41" s="76">
        <f>Assumptions!R50</f>
        <v>11.458320291791997</v>
      </c>
      <c r="S41" s="76">
        <f>Assumptions!S50</f>
        <v>11.458320291791997</v>
      </c>
      <c r="T41" s="76">
        <f>Assumptions!T50</f>
        <v>11.458320291791997</v>
      </c>
      <c r="U41" s="76">
        <f>Assumptions!U50</f>
        <v>11.458320291791997</v>
      </c>
      <c r="V41" s="76">
        <f>Assumptions!V50</f>
        <v>11.458320291791997</v>
      </c>
      <c r="W41" s="76">
        <f>Assumptions!W50</f>
        <v>11.458320291791997</v>
      </c>
      <c r="X41" s="76">
        <f>Assumptions!X50</f>
        <v>11.458320291791997</v>
      </c>
      <c r="Y41" s="76">
        <f>Assumptions!Y50</f>
        <v>11.458320291791997</v>
      </c>
      <c r="Z41" s="76">
        <f>Assumptions!Z50</f>
        <v>11.458320291791997</v>
      </c>
      <c r="AA41" s="76">
        <f>Assumptions!AA50</f>
        <v>11.458320291791997</v>
      </c>
      <c r="AB41" s="76">
        <f>Assumptions!AB50</f>
        <v>11.687486697627838</v>
      </c>
      <c r="AC41" s="76">
        <f>Assumptions!AC50</f>
        <v>11.687486697627838</v>
      </c>
      <c r="AD41" s="76">
        <f>Assumptions!AD50</f>
        <v>11.687486697627838</v>
      </c>
      <c r="AE41" s="76">
        <f>Assumptions!AE50</f>
        <v>11.687486697627838</v>
      </c>
      <c r="AF41" s="76">
        <f>Assumptions!AF50</f>
        <v>11.687486697627838</v>
      </c>
      <c r="AG41" s="76">
        <f>Assumptions!AG50</f>
        <v>11.687486697627838</v>
      </c>
      <c r="AH41" s="76">
        <f>Assumptions!AH50</f>
        <v>11.687486697627838</v>
      </c>
      <c r="AI41" s="76">
        <f>Assumptions!AI50</f>
        <v>11.687486697627838</v>
      </c>
      <c r="AJ41" s="76">
        <f>Assumptions!AJ50</f>
        <v>11.687486697627838</v>
      </c>
      <c r="AK41" s="76">
        <f>Assumptions!AK50</f>
        <v>11.687486697627838</v>
      </c>
      <c r="AL41" s="76">
        <f>Assumptions!AL50</f>
        <v>11.687486697627838</v>
      </c>
      <c r="AM41" s="76">
        <f>Assumptions!AM50</f>
        <v>11.687486697627838</v>
      </c>
      <c r="AN41" s="76">
        <f>Assumptions!AN50</f>
        <v>11.687486697627838</v>
      </c>
      <c r="AO41" s="76">
        <f>Assumptions!AO50</f>
        <v>11.921236431580397</v>
      </c>
      <c r="AP41" s="76">
        <f>Assumptions!AP50</f>
        <v>11.921236431580397</v>
      </c>
      <c r="AQ41" s="76">
        <f>Assumptions!AQ50</f>
        <v>11.921236431580397</v>
      </c>
      <c r="AR41" s="76">
        <f>Assumptions!AR50</f>
        <v>11.921236431580397</v>
      </c>
      <c r="AS41" s="76">
        <f>Assumptions!AS50</f>
        <v>11.921236431580397</v>
      </c>
      <c r="AT41" s="76">
        <f>Assumptions!AT50</f>
        <v>11.921236431580397</v>
      </c>
      <c r="AU41" s="76">
        <f>Assumptions!AU50</f>
        <v>11.921236431580397</v>
      </c>
      <c r="AV41" s="76">
        <f>Assumptions!AV50</f>
        <v>11.921236431580397</v>
      </c>
      <c r="AW41" s="76">
        <f>Assumptions!AW50</f>
        <v>11.921236431580397</v>
      </c>
      <c r="AX41" s="76">
        <f>Assumptions!AX50</f>
        <v>11.921236431580397</v>
      </c>
      <c r="AY41" s="76">
        <f>Assumptions!AY50</f>
        <v>11.921236431580397</v>
      </c>
      <c r="AZ41" s="76">
        <f>Assumptions!AZ50</f>
        <v>11.921236431580397</v>
      </c>
      <c r="BA41" s="76">
        <f>Assumptions!BA50</f>
        <v>11.921236431580397</v>
      </c>
      <c r="BB41" s="76">
        <f>Assumptions!BB50</f>
        <v>13.391926020798337</v>
      </c>
      <c r="BC41" s="76">
        <f>Assumptions!BC50</f>
        <v>13.391926020798337</v>
      </c>
      <c r="BD41" s="76">
        <f>Assumptions!BD50</f>
        <v>13.391926020798337</v>
      </c>
      <c r="BE41" s="76">
        <f>Assumptions!BE50</f>
        <v>13.391926020798337</v>
      </c>
      <c r="BF41" s="76">
        <f>Assumptions!BF50</f>
        <v>13.391926020798337</v>
      </c>
      <c r="BG41" s="76">
        <f>Assumptions!BG50</f>
        <v>13.391926020798337</v>
      </c>
      <c r="BH41" s="76">
        <f>Assumptions!BH50</f>
        <v>13.391926020798337</v>
      </c>
      <c r="BI41" s="76">
        <f>Assumptions!BI50</f>
        <v>13.391926020798337</v>
      </c>
      <c r="BJ41" s="76">
        <f>Assumptions!BJ50</f>
        <v>13.391926020798337</v>
      </c>
      <c r="BK41" s="76">
        <f>Assumptions!BK50</f>
        <v>13.391926020798337</v>
      </c>
      <c r="BL41" s="76">
        <f>Assumptions!BL50</f>
        <v>13.391926020798337</v>
      </c>
      <c r="BM41" s="76">
        <f>Assumptions!BM50</f>
        <v>13.391926020798337</v>
      </c>
      <c r="BN41" s="76">
        <f>Assumptions!BN50</f>
        <v>13.391926020798337</v>
      </c>
    </row>
    <row r="42" spans="2:66" x14ac:dyDescent="0.2">
      <c r="B42" s="76" t="s">
        <v>25</v>
      </c>
      <c r="C42" s="329" t="s">
        <v>104</v>
      </c>
      <c r="J42" s="76">
        <f>Assumptions!J51</f>
        <v>446</v>
      </c>
      <c r="K42" s="76">
        <f>Assumptions!K51</f>
        <v>683</v>
      </c>
      <c r="L42" s="76">
        <f>Assumptions!L51</f>
        <v>921</v>
      </c>
      <c r="M42" s="76">
        <f>Assumptions!M51</f>
        <v>1158</v>
      </c>
      <c r="N42" s="76">
        <f>Assumptions!N51</f>
        <v>3208</v>
      </c>
      <c r="O42" s="76">
        <f>Assumptions!O51</f>
        <v>1397</v>
      </c>
      <c r="P42" s="76">
        <f>Assumptions!P51</f>
        <v>1634</v>
      </c>
      <c r="Q42" s="76">
        <f>Assumptions!Q51</f>
        <v>1634</v>
      </c>
      <c r="R42" s="76">
        <f>Assumptions!R51</f>
        <v>1634</v>
      </c>
      <c r="S42" s="76">
        <f>Assumptions!S51</f>
        <v>1634</v>
      </c>
      <c r="T42" s="76">
        <f>Assumptions!T51</f>
        <v>1634</v>
      </c>
      <c r="U42" s="76">
        <f>Assumptions!U51</f>
        <v>1634</v>
      </c>
      <c r="V42" s="76">
        <f>Assumptions!V51</f>
        <v>1634</v>
      </c>
      <c r="W42" s="76">
        <f>Assumptions!W51</f>
        <v>1634</v>
      </c>
      <c r="X42" s="76">
        <f>Assumptions!X51</f>
        <v>1634</v>
      </c>
      <c r="Y42" s="76">
        <f>Assumptions!Y51</f>
        <v>1634</v>
      </c>
      <c r="Z42" s="76">
        <f>Assumptions!Z51</f>
        <v>1634</v>
      </c>
      <c r="AA42" s="76">
        <f>Assumptions!AA51</f>
        <v>19371</v>
      </c>
      <c r="AB42" s="76">
        <f>Assumptions!AB51</f>
        <v>1634</v>
      </c>
      <c r="AC42" s="76">
        <f>Assumptions!AC51</f>
        <v>1634</v>
      </c>
      <c r="AD42" s="76">
        <f>Assumptions!AD51</f>
        <v>1720</v>
      </c>
      <c r="AE42" s="76">
        <f>Assumptions!AE51</f>
        <v>1806</v>
      </c>
      <c r="AF42" s="76">
        <f>Assumptions!AF51</f>
        <v>1892</v>
      </c>
      <c r="AG42" s="76">
        <f>Assumptions!AG51</f>
        <v>1978</v>
      </c>
      <c r="AH42" s="76">
        <f>Assumptions!AH51</f>
        <v>2064</v>
      </c>
      <c r="AI42" s="76">
        <f>Assumptions!AI51</f>
        <v>2150</v>
      </c>
      <c r="AJ42" s="76">
        <f>Assumptions!AJ51</f>
        <v>2236</v>
      </c>
      <c r="AK42" s="76">
        <f>Assumptions!AK51</f>
        <v>2322</v>
      </c>
      <c r="AL42" s="76">
        <f>Assumptions!AL51</f>
        <v>2407</v>
      </c>
      <c r="AM42" s="76">
        <f>Assumptions!AM51</f>
        <v>2493</v>
      </c>
      <c r="AN42" s="76">
        <f>Assumptions!AN51</f>
        <v>24336</v>
      </c>
      <c r="AO42" s="76">
        <f>Assumptions!AO51</f>
        <v>2579</v>
      </c>
      <c r="AP42" s="76">
        <f>Assumptions!AP51</f>
        <v>2665</v>
      </c>
      <c r="AQ42" s="76">
        <f>Assumptions!AQ51</f>
        <v>2751</v>
      </c>
      <c r="AR42" s="76">
        <f>Assumptions!AR51</f>
        <v>2836</v>
      </c>
      <c r="AS42" s="76">
        <f>Assumptions!AS51</f>
        <v>2922</v>
      </c>
      <c r="AT42" s="76">
        <f>Assumptions!AT51</f>
        <v>3008</v>
      </c>
      <c r="AU42" s="76">
        <f>Assumptions!AU51</f>
        <v>3094</v>
      </c>
      <c r="AV42" s="76">
        <f>Assumptions!AV51</f>
        <v>3267</v>
      </c>
      <c r="AW42" s="76">
        <f>Assumptions!AW51</f>
        <v>3267</v>
      </c>
      <c r="AX42" s="76">
        <f>Assumptions!AX51</f>
        <v>3267</v>
      </c>
      <c r="AY42" s="76">
        <f>Assumptions!AY51</f>
        <v>3267</v>
      </c>
      <c r="AZ42" s="76">
        <f>Assumptions!AZ51</f>
        <v>3267</v>
      </c>
      <c r="BA42" s="76">
        <f>Assumptions!BA51</f>
        <v>36190</v>
      </c>
      <c r="BB42" s="76">
        <f>Assumptions!BB51</f>
        <v>2769.2499825581667</v>
      </c>
      <c r="BC42" s="76">
        <f>Assumptions!BC51</f>
        <v>2769.2499825581667</v>
      </c>
      <c r="BD42" s="76">
        <f>Assumptions!BD51</f>
        <v>2769.2499825581667</v>
      </c>
      <c r="BE42" s="76">
        <f>Assumptions!BE51</f>
        <v>2769.2499825581667</v>
      </c>
      <c r="BF42" s="76">
        <f>Assumptions!BF51</f>
        <v>2769.2499825581667</v>
      </c>
      <c r="BG42" s="76">
        <f>Assumptions!BG51</f>
        <v>2769.2499825581667</v>
      </c>
      <c r="BH42" s="76">
        <f>Assumptions!BH51</f>
        <v>2769.2499825581667</v>
      </c>
      <c r="BI42" s="76">
        <f>Assumptions!BI51</f>
        <v>2769.2499825581667</v>
      </c>
      <c r="BJ42" s="76">
        <f>Assumptions!BJ51</f>
        <v>2769.2499825581667</v>
      </c>
      <c r="BK42" s="76">
        <f>Assumptions!BK51</f>
        <v>2769.2499825581667</v>
      </c>
      <c r="BL42" s="76">
        <f>Assumptions!BL51</f>
        <v>2769.2499825581667</v>
      </c>
      <c r="BM42" s="76">
        <f>Assumptions!BM51</f>
        <v>2769.2499825581667</v>
      </c>
      <c r="BN42" s="76">
        <f>Assumptions!BN51</f>
        <v>33230.999790697999</v>
      </c>
    </row>
    <row r="43" spans="2:66" x14ac:dyDescent="0.2">
      <c r="B43" s="133" t="s">
        <v>125</v>
      </c>
      <c r="C43" s="133" t="s">
        <v>48</v>
      </c>
      <c r="D43" s="133"/>
      <c r="E43" s="133"/>
      <c r="F43" s="133"/>
      <c r="G43" s="133"/>
      <c r="H43" s="133"/>
      <c r="I43" s="133"/>
      <c r="J43" s="133">
        <f t="shared" ref="J43:AL43" si="17">J42*J41</f>
        <v>5005.2995593920004</v>
      </c>
      <c r="K43" s="133">
        <f t="shared" si="17"/>
        <v>7665.0663656160004</v>
      </c>
      <c r="L43" s="133">
        <f t="shared" si="17"/>
        <v>10336.055816592001</v>
      </c>
      <c r="M43" s="133">
        <f t="shared" si="17"/>
        <v>12995.822622816</v>
      </c>
      <c r="N43" s="133">
        <f>SUM(J43:M43)</f>
        <v>36002.244364416001</v>
      </c>
      <c r="O43" s="133">
        <f t="shared" si="17"/>
        <v>15678.034718544</v>
      </c>
      <c r="P43" s="133">
        <f t="shared" si="17"/>
        <v>18337.801524768001</v>
      </c>
      <c r="Q43" s="133">
        <f t="shared" si="17"/>
        <v>18722.895356788125</v>
      </c>
      <c r="R43" s="133">
        <f t="shared" si="17"/>
        <v>18722.895356788125</v>
      </c>
      <c r="S43" s="133">
        <f t="shared" si="17"/>
        <v>18722.895356788125</v>
      </c>
      <c r="T43" s="133">
        <f t="shared" si="17"/>
        <v>18722.895356788125</v>
      </c>
      <c r="U43" s="133">
        <f t="shared" si="17"/>
        <v>18722.895356788125</v>
      </c>
      <c r="V43" s="133">
        <f t="shared" si="17"/>
        <v>18722.895356788125</v>
      </c>
      <c r="W43" s="133">
        <f t="shared" si="17"/>
        <v>18722.895356788125</v>
      </c>
      <c r="X43" s="133">
        <f t="shared" si="17"/>
        <v>18722.895356788125</v>
      </c>
      <c r="Y43" s="133">
        <f t="shared" si="17"/>
        <v>18722.895356788125</v>
      </c>
      <c r="Z43" s="133">
        <f t="shared" si="17"/>
        <v>18722.895356788125</v>
      </c>
      <c r="AA43" s="133">
        <f>SUM(O43:Z43)</f>
        <v>221244.78981119324</v>
      </c>
      <c r="AB43" s="133">
        <f t="shared" si="17"/>
        <v>19097.353263923887</v>
      </c>
      <c r="AC43" s="133">
        <f t="shared" si="17"/>
        <v>19097.353263923887</v>
      </c>
      <c r="AD43" s="133">
        <f t="shared" si="17"/>
        <v>20102.47711991988</v>
      </c>
      <c r="AE43" s="133">
        <f t="shared" si="17"/>
        <v>21107.600975915877</v>
      </c>
      <c r="AF43" s="133">
        <f t="shared" si="17"/>
        <v>22112.72483191187</v>
      </c>
      <c r="AG43" s="133">
        <f t="shared" si="17"/>
        <v>23117.848687907863</v>
      </c>
      <c r="AH43" s="133">
        <f t="shared" si="17"/>
        <v>24122.972543903859</v>
      </c>
      <c r="AI43" s="133">
        <f t="shared" si="17"/>
        <v>25128.096399899852</v>
      </c>
      <c r="AJ43" s="133">
        <f t="shared" si="17"/>
        <v>26133.220255895845</v>
      </c>
      <c r="AK43" s="133">
        <f t="shared" si="17"/>
        <v>27138.344111891838</v>
      </c>
      <c r="AL43" s="133">
        <f t="shared" si="17"/>
        <v>28131.780481190206</v>
      </c>
      <c r="AM43" s="133">
        <f t="shared" ref="AM43:BN43" si="18">AM42*AM41</f>
        <v>29136.904337186199</v>
      </c>
      <c r="AN43" s="133">
        <f t="shared" si="18"/>
        <v>284426.67627347109</v>
      </c>
      <c r="AO43" s="133">
        <f t="shared" si="18"/>
        <v>30744.868757045842</v>
      </c>
      <c r="AP43" s="133">
        <f t="shared" si="18"/>
        <v>31770.095090161758</v>
      </c>
      <c r="AQ43" s="133">
        <f t="shared" si="18"/>
        <v>32795.321423277674</v>
      </c>
      <c r="AR43" s="133">
        <f t="shared" si="18"/>
        <v>33808.626519962003</v>
      </c>
      <c r="AS43" s="133">
        <f t="shared" si="18"/>
        <v>34833.852853077922</v>
      </c>
      <c r="AT43" s="133">
        <f t="shared" si="18"/>
        <v>35859.079186193834</v>
      </c>
      <c r="AU43" s="133">
        <f t="shared" si="18"/>
        <v>36884.305519309746</v>
      </c>
      <c r="AV43" s="133">
        <f t="shared" si="18"/>
        <v>38946.679421973153</v>
      </c>
      <c r="AW43" s="133">
        <f t="shared" si="18"/>
        <v>38946.679421973153</v>
      </c>
      <c r="AX43" s="133">
        <f t="shared" si="18"/>
        <v>38946.679421973153</v>
      </c>
      <c r="AY43" s="133">
        <f t="shared" si="18"/>
        <v>38946.679421973153</v>
      </c>
      <c r="AZ43" s="133">
        <f t="shared" si="18"/>
        <v>38946.679421973153</v>
      </c>
      <c r="BA43" s="133">
        <f t="shared" si="18"/>
        <v>431429.54645889456</v>
      </c>
      <c r="BB43" s="133">
        <f t="shared" si="18"/>
        <v>37085.590899516057</v>
      </c>
      <c r="BC43" s="133">
        <f t="shared" si="18"/>
        <v>37085.590899516057</v>
      </c>
      <c r="BD43" s="133">
        <f t="shared" si="18"/>
        <v>37085.590899516057</v>
      </c>
      <c r="BE43" s="133">
        <f t="shared" si="18"/>
        <v>37085.590899516057</v>
      </c>
      <c r="BF43" s="133">
        <f t="shared" si="18"/>
        <v>37085.590899516057</v>
      </c>
      <c r="BG43" s="133">
        <f t="shared" si="18"/>
        <v>37085.590899516057</v>
      </c>
      <c r="BH43" s="133">
        <f t="shared" si="18"/>
        <v>37085.590899516057</v>
      </c>
      <c r="BI43" s="133">
        <f t="shared" si="18"/>
        <v>37085.590899516057</v>
      </c>
      <c r="BJ43" s="133">
        <f t="shared" si="18"/>
        <v>37085.590899516057</v>
      </c>
      <c r="BK43" s="133">
        <f t="shared" si="18"/>
        <v>37085.590899516057</v>
      </c>
      <c r="BL43" s="133">
        <f t="shared" si="18"/>
        <v>37085.590899516057</v>
      </c>
      <c r="BM43" s="133">
        <f t="shared" si="18"/>
        <v>37085.590899516057</v>
      </c>
      <c r="BN43" s="133">
        <f t="shared" si="18"/>
        <v>445027.09079419263</v>
      </c>
    </row>
    <row r="44" spans="2:66" x14ac:dyDescent="0.2"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</row>
    <row r="45" spans="2:66" x14ac:dyDescent="0.2">
      <c r="B45" s="80" t="s">
        <v>122</v>
      </c>
    </row>
    <row r="46" spans="2:66" x14ac:dyDescent="0.2">
      <c r="B46" s="76" t="s">
        <v>18</v>
      </c>
      <c r="C46" s="76" t="s">
        <v>10</v>
      </c>
      <c r="J46" s="76">
        <f>Assumptions!J55</f>
        <v>4.5</v>
      </c>
      <c r="K46" s="76">
        <f>Assumptions!K55</f>
        <v>4.5</v>
      </c>
      <c r="L46" s="76">
        <f>Assumptions!L55</f>
        <v>4.5</v>
      </c>
      <c r="M46" s="76">
        <f>Assumptions!M55</f>
        <v>4.5</v>
      </c>
      <c r="O46" s="76">
        <f>Assumptions!O55</f>
        <v>4.5</v>
      </c>
      <c r="P46" s="76">
        <f>Assumptions!P55</f>
        <v>4.5</v>
      </c>
      <c r="Q46" s="76">
        <f>Assumptions!Q55</f>
        <v>4.5</v>
      </c>
      <c r="R46" s="76">
        <f>Assumptions!R55</f>
        <v>4.5</v>
      </c>
      <c r="S46" s="76">
        <f>Assumptions!S55</f>
        <v>4.5945</v>
      </c>
      <c r="T46" s="76">
        <f>Assumptions!T55</f>
        <v>4.5945</v>
      </c>
      <c r="U46" s="76">
        <f>Assumptions!U55</f>
        <v>4.5945</v>
      </c>
      <c r="V46" s="76">
        <f>Assumptions!V55</f>
        <v>4.5945</v>
      </c>
      <c r="W46" s="76">
        <f>Assumptions!W55</f>
        <v>4.5945</v>
      </c>
      <c r="X46" s="76">
        <f>Assumptions!X55</f>
        <v>4.5945</v>
      </c>
      <c r="Y46" s="76">
        <f>Assumptions!Y55</f>
        <v>4.5945</v>
      </c>
      <c r="Z46" s="76">
        <f>Assumptions!Z55</f>
        <v>4.5945</v>
      </c>
      <c r="AB46" s="76">
        <f>Assumptions!AB55</f>
        <v>4.6863900000000003</v>
      </c>
      <c r="AC46" s="76">
        <f>Assumptions!AC55</f>
        <v>4.6863900000000003</v>
      </c>
      <c r="AD46" s="76">
        <f>Assumptions!AD55</f>
        <v>4.6863900000000003</v>
      </c>
      <c r="AE46" s="76">
        <f>Assumptions!AE55</f>
        <v>4.6863900000000003</v>
      </c>
      <c r="AF46" s="76">
        <f>Assumptions!AF55</f>
        <v>4.6863900000000003</v>
      </c>
      <c r="AG46" s="76">
        <f>Assumptions!AG55</f>
        <v>4.6863900000000003</v>
      </c>
      <c r="AH46" s="76">
        <f>Assumptions!AH55</f>
        <v>4.6863900000000003</v>
      </c>
      <c r="AI46" s="76">
        <f>Assumptions!AI55</f>
        <v>4.6863900000000003</v>
      </c>
      <c r="AJ46" s="76">
        <f>Assumptions!AJ55</f>
        <v>4.6863900000000003</v>
      </c>
      <c r="AK46" s="76">
        <f>Assumptions!AK55</f>
        <v>4.6863900000000003</v>
      </c>
      <c r="AL46" s="76">
        <f>Assumptions!AL55</f>
        <v>4.6863900000000003</v>
      </c>
      <c r="AM46" s="76">
        <f>Assumptions!AM55</f>
        <v>4.6863900000000003</v>
      </c>
      <c r="AO46" s="76">
        <f>Assumptions!AO55</f>
        <v>4.7801178000000002</v>
      </c>
      <c r="AP46" s="76">
        <f>Assumptions!AP55</f>
        <v>4.7801178000000002</v>
      </c>
      <c r="AQ46" s="76">
        <f>Assumptions!AQ55</f>
        <v>4.7801178000000002</v>
      </c>
      <c r="AR46" s="76">
        <f>Assumptions!AR55</f>
        <v>4.7801178000000002</v>
      </c>
      <c r="AS46" s="76">
        <f>Assumptions!AS55</f>
        <v>4.7801178000000002</v>
      </c>
      <c r="AT46" s="76">
        <f>Assumptions!AT55</f>
        <v>4.7801178000000002</v>
      </c>
      <c r="AU46" s="76">
        <f>Assumptions!AU55</f>
        <v>4.7801178000000002</v>
      </c>
      <c r="AV46" s="76">
        <f>Assumptions!AV55</f>
        <v>4.7801178000000002</v>
      </c>
      <c r="AW46" s="76">
        <f>Assumptions!AW55</f>
        <v>4.7801178000000002</v>
      </c>
      <c r="AX46" s="76">
        <f>Assumptions!AX55</f>
        <v>4.7801178000000002</v>
      </c>
      <c r="AY46" s="76">
        <f>Assumptions!AY55</f>
        <v>4.7801178000000002</v>
      </c>
      <c r="AZ46" s="76">
        <f>Assumptions!AZ55</f>
        <v>4.7801178000000002</v>
      </c>
      <c r="BB46" s="76">
        <f>Assumptions!BB55</f>
        <v>4.8757201559999999</v>
      </c>
      <c r="BC46" s="76">
        <f>Assumptions!BC55</f>
        <v>4.8757201559999999</v>
      </c>
      <c r="BD46" s="76">
        <f>Assumptions!BD55</f>
        <v>4.8757201559999999</v>
      </c>
      <c r="BE46" s="76">
        <f>Assumptions!BE55</f>
        <v>4.8757201559999999</v>
      </c>
      <c r="BF46" s="76">
        <f>Assumptions!BF55</f>
        <v>4.8757201559999999</v>
      </c>
      <c r="BG46" s="76">
        <f>Assumptions!BG55</f>
        <v>4.8757201559999999</v>
      </c>
      <c r="BH46" s="76">
        <f>Assumptions!BH55</f>
        <v>4.8757201559999999</v>
      </c>
      <c r="BI46" s="76">
        <f>Assumptions!BI55</f>
        <v>4.8757201559999999</v>
      </c>
      <c r="BJ46" s="76">
        <f>Assumptions!BJ55</f>
        <v>4.8757201559999999</v>
      </c>
      <c r="BK46" s="76">
        <f>Assumptions!BK55</f>
        <v>4.8757201559999999</v>
      </c>
      <c r="BL46" s="76">
        <f>Assumptions!BL55</f>
        <v>4.8757201559999999</v>
      </c>
      <c r="BM46" s="76">
        <f>Assumptions!BM55</f>
        <v>4.8757201559999999</v>
      </c>
      <c r="BN46" s="76">
        <f>Assumptions!BN55</f>
        <v>4.8757201559999999</v>
      </c>
    </row>
    <row r="47" spans="2:66" x14ac:dyDescent="0.2">
      <c r="B47" s="76" t="s">
        <v>25</v>
      </c>
      <c r="C47" s="329" t="s">
        <v>104</v>
      </c>
      <c r="J47" s="76">
        <f>Assumptions!J57</f>
        <v>446</v>
      </c>
      <c r="K47" s="76">
        <f>Assumptions!K57</f>
        <v>683</v>
      </c>
      <c r="L47" s="76">
        <f>Assumptions!L57</f>
        <v>921</v>
      </c>
      <c r="M47" s="76">
        <f>Assumptions!M57</f>
        <v>1158</v>
      </c>
      <c r="O47" s="76">
        <f>Assumptions!O57</f>
        <v>1397</v>
      </c>
      <c r="P47" s="76">
        <f>Assumptions!P57</f>
        <v>1634</v>
      </c>
      <c r="Q47" s="76">
        <f>Assumptions!Q57</f>
        <v>1634</v>
      </c>
      <c r="R47" s="76">
        <f>Assumptions!R57</f>
        <v>1634</v>
      </c>
      <c r="S47" s="76">
        <f>Assumptions!S57</f>
        <v>1634</v>
      </c>
      <c r="T47" s="76">
        <f>Assumptions!T57</f>
        <v>1634</v>
      </c>
      <c r="U47" s="76">
        <f>Assumptions!U57</f>
        <v>1634</v>
      </c>
      <c r="V47" s="76">
        <f>Assumptions!V57</f>
        <v>1634</v>
      </c>
      <c r="W47" s="76">
        <f>Assumptions!W57</f>
        <v>1634</v>
      </c>
      <c r="X47" s="76">
        <f>Assumptions!X57</f>
        <v>1634</v>
      </c>
      <c r="Y47" s="76">
        <f>Assumptions!Y57</f>
        <v>1634</v>
      </c>
      <c r="Z47" s="76">
        <f>Assumptions!Z57</f>
        <v>1634</v>
      </c>
      <c r="AB47" s="76">
        <f>Assumptions!AB57</f>
        <v>1634</v>
      </c>
      <c r="AC47" s="76">
        <f>Assumptions!AC57</f>
        <v>1634</v>
      </c>
      <c r="AD47" s="76">
        <f>Assumptions!AD57</f>
        <v>1720</v>
      </c>
      <c r="AE47" s="76">
        <f>Assumptions!AE57</f>
        <v>1806</v>
      </c>
      <c r="AF47" s="76">
        <f>Assumptions!AF57</f>
        <v>1891</v>
      </c>
      <c r="AG47" s="76">
        <f>Assumptions!AG57</f>
        <v>1977</v>
      </c>
      <c r="AH47" s="76">
        <f>Assumptions!AH57</f>
        <v>2063</v>
      </c>
      <c r="AI47" s="76">
        <f>Assumptions!AI57</f>
        <v>2149</v>
      </c>
      <c r="AJ47" s="76">
        <f>Assumptions!AJ57</f>
        <v>2235</v>
      </c>
      <c r="AK47" s="76">
        <f>Assumptions!AK57</f>
        <v>2321</v>
      </c>
      <c r="AL47" s="76">
        <f>Assumptions!AL57</f>
        <v>2408</v>
      </c>
      <c r="AM47" s="76">
        <f>Assumptions!AM57</f>
        <v>2494</v>
      </c>
      <c r="AO47" s="76">
        <f>Assumptions!AO57</f>
        <v>2579</v>
      </c>
      <c r="AP47" s="76">
        <f>Assumptions!AP57</f>
        <v>2665</v>
      </c>
      <c r="AQ47" s="76">
        <f>Assumptions!AQ57</f>
        <v>2751</v>
      </c>
      <c r="AR47" s="76">
        <f>Assumptions!AR57</f>
        <v>2837</v>
      </c>
      <c r="AS47" s="76">
        <f>Assumptions!AS57</f>
        <v>2923</v>
      </c>
      <c r="AT47" s="76">
        <f>Assumptions!AT57</f>
        <v>3009</v>
      </c>
      <c r="AU47" s="76">
        <f>Assumptions!AU57</f>
        <v>3095</v>
      </c>
      <c r="AV47" s="76">
        <f>Assumptions!AV57</f>
        <v>3267</v>
      </c>
      <c r="AW47" s="76">
        <f>Assumptions!AW57</f>
        <v>3267</v>
      </c>
      <c r="AX47" s="76">
        <f>Assumptions!AX57</f>
        <v>3267</v>
      </c>
      <c r="AY47" s="76">
        <f>Assumptions!AY57</f>
        <v>3267</v>
      </c>
      <c r="AZ47" s="76">
        <f>Assumptions!AZ57</f>
        <v>3267</v>
      </c>
      <c r="BB47" s="76">
        <f>Assumptions!BB57</f>
        <v>2769.5833158914998</v>
      </c>
      <c r="BC47" s="76">
        <f>Assumptions!BC57</f>
        <v>2769.5833158914998</v>
      </c>
      <c r="BD47" s="76">
        <f>Assumptions!BD57</f>
        <v>2769.5833158914998</v>
      </c>
      <c r="BE47" s="76">
        <f>Assumptions!BE57</f>
        <v>2769.5833158914998</v>
      </c>
      <c r="BF47" s="76">
        <f>Assumptions!BF57</f>
        <v>2769.5833158914998</v>
      </c>
      <c r="BG47" s="76">
        <f>Assumptions!BG57</f>
        <v>2769.5833158914998</v>
      </c>
      <c r="BH47" s="76">
        <f>Assumptions!BH57</f>
        <v>2769.5833158914998</v>
      </c>
      <c r="BI47" s="76">
        <f>Assumptions!BI57</f>
        <v>2769.5833158914998</v>
      </c>
      <c r="BJ47" s="76">
        <f>Assumptions!BJ57</f>
        <v>2769.5833158914998</v>
      </c>
      <c r="BK47" s="76">
        <f>Assumptions!BK57</f>
        <v>2769.5833158914998</v>
      </c>
      <c r="BL47" s="76">
        <f>Assumptions!BL57</f>
        <v>2769.5833158914998</v>
      </c>
      <c r="BM47" s="76">
        <f>Assumptions!BM57</f>
        <v>2769.5833158914998</v>
      </c>
      <c r="BN47" s="76">
        <f>Assumptions!BN57</f>
        <v>33234.999790697999</v>
      </c>
    </row>
    <row r="48" spans="2:66" x14ac:dyDescent="0.2">
      <c r="B48" s="133" t="s">
        <v>126</v>
      </c>
      <c r="C48" s="133" t="s">
        <v>48</v>
      </c>
      <c r="D48" s="133"/>
      <c r="E48" s="133"/>
      <c r="F48" s="133"/>
      <c r="G48" s="133"/>
      <c r="H48" s="133"/>
      <c r="I48" s="133"/>
      <c r="J48" s="133">
        <f t="shared" ref="J48:AL48" si="19">J47*J46</f>
        <v>2007</v>
      </c>
      <c r="K48" s="133">
        <f t="shared" si="19"/>
        <v>3073.5</v>
      </c>
      <c r="L48" s="133">
        <f t="shared" si="19"/>
        <v>4144.5</v>
      </c>
      <c r="M48" s="133">
        <f t="shared" si="19"/>
        <v>5211</v>
      </c>
      <c r="N48" s="133">
        <f>SUM(J48:M48)</f>
        <v>14436</v>
      </c>
      <c r="O48" s="133">
        <f t="shared" si="19"/>
        <v>6286.5</v>
      </c>
      <c r="P48" s="133">
        <f t="shared" si="19"/>
        <v>7353</v>
      </c>
      <c r="Q48" s="133">
        <f t="shared" si="19"/>
        <v>7353</v>
      </c>
      <c r="R48" s="133">
        <f t="shared" si="19"/>
        <v>7353</v>
      </c>
      <c r="S48" s="133">
        <f t="shared" si="19"/>
        <v>7507.4130000000005</v>
      </c>
      <c r="T48" s="133">
        <f t="shared" si="19"/>
        <v>7507.4130000000005</v>
      </c>
      <c r="U48" s="133">
        <f t="shared" si="19"/>
        <v>7507.4130000000005</v>
      </c>
      <c r="V48" s="133">
        <f t="shared" si="19"/>
        <v>7507.4130000000005</v>
      </c>
      <c r="W48" s="133">
        <f t="shared" si="19"/>
        <v>7507.4130000000005</v>
      </c>
      <c r="X48" s="133">
        <f t="shared" si="19"/>
        <v>7507.4130000000005</v>
      </c>
      <c r="Y48" s="133">
        <f t="shared" si="19"/>
        <v>7507.4130000000005</v>
      </c>
      <c r="Z48" s="133">
        <f>Z47*Z46</f>
        <v>7507.4130000000005</v>
      </c>
      <c r="AA48" s="133">
        <f>SUM(O48:Z48)</f>
        <v>88404.804000000004</v>
      </c>
      <c r="AB48" s="133">
        <f t="shared" si="19"/>
        <v>7657.5612600000004</v>
      </c>
      <c r="AC48" s="133">
        <f t="shared" si="19"/>
        <v>7657.5612600000004</v>
      </c>
      <c r="AD48" s="133">
        <f t="shared" si="19"/>
        <v>8060.5908000000009</v>
      </c>
      <c r="AE48" s="133">
        <f t="shared" si="19"/>
        <v>8463.6203400000013</v>
      </c>
      <c r="AF48" s="133">
        <f t="shared" si="19"/>
        <v>8861.9634900000001</v>
      </c>
      <c r="AG48" s="133">
        <f t="shared" si="19"/>
        <v>9264.9930300000015</v>
      </c>
      <c r="AH48" s="133">
        <f t="shared" si="19"/>
        <v>9668.022570000001</v>
      </c>
      <c r="AI48" s="133">
        <f t="shared" si="19"/>
        <v>10071.052110000001</v>
      </c>
      <c r="AJ48" s="133">
        <f t="shared" si="19"/>
        <v>10474.08165</v>
      </c>
      <c r="AK48" s="133">
        <f t="shared" si="19"/>
        <v>10877.111190000001</v>
      </c>
      <c r="AL48" s="133">
        <f t="shared" si="19"/>
        <v>11284.82712</v>
      </c>
      <c r="AM48" s="133">
        <f t="shared" ref="AM48:BN48" si="20">AM47*AM46</f>
        <v>11687.856660000001</v>
      </c>
      <c r="AN48" s="133">
        <f>SUM(AB48:AM48)</f>
        <v>114029.24148000001</v>
      </c>
      <c r="AO48" s="133">
        <f t="shared" si="20"/>
        <v>12327.9238062</v>
      </c>
      <c r="AP48" s="133">
        <f t="shared" si="20"/>
        <v>12739.013937</v>
      </c>
      <c r="AQ48" s="133">
        <f t="shared" si="20"/>
        <v>13150.104067800001</v>
      </c>
      <c r="AR48" s="133">
        <f t="shared" si="20"/>
        <v>13561.1941986</v>
      </c>
      <c r="AS48" s="133">
        <f t="shared" si="20"/>
        <v>13972.284329400001</v>
      </c>
      <c r="AT48" s="133">
        <f t="shared" si="20"/>
        <v>14383.374460200001</v>
      </c>
      <c r="AU48" s="133">
        <f t="shared" si="20"/>
        <v>14794.464591</v>
      </c>
      <c r="AV48" s="133">
        <f t="shared" si="20"/>
        <v>15616.6448526</v>
      </c>
      <c r="AW48" s="133">
        <f t="shared" si="20"/>
        <v>15616.6448526</v>
      </c>
      <c r="AX48" s="133">
        <f t="shared" si="20"/>
        <v>15616.6448526</v>
      </c>
      <c r="AY48" s="133">
        <f t="shared" si="20"/>
        <v>15616.6448526</v>
      </c>
      <c r="AZ48" s="133">
        <f t="shared" si="20"/>
        <v>15616.6448526</v>
      </c>
      <c r="BA48" s="133">
        <f>SUM(AO48:AZ48)</f>
        <v>173011.58365320001</v>
      </c>
      <c r="BB48" s="133">
        <f t="shared" si="20"/>
        <v>13503.7131970135</v>
      </c>
      <c r="BC48" s="133">
        <f t="shared" si="20"/>
        <v>13503.7131970135</v>
      </c>
      <c r="BD48" s="133">
        <f t="shared" si="20"/>
        <v>13503.7131970135</v>
      </c>
      <c r="BE48" s="133">
        <f t="shared" si="20"/>
        <v>13503.7131970135</v>
      </c>
      <c r="BF48" s="133">
        <f t="shared" si="20"/>
        <v>13503.7131970135</v>
      </c>
      <c r="BG48" s="133">
        <f t="shared" si="20"/>
        <v>13503.7131970135</v>
      </c>
      <c r="BH48" s="133">
        <f t="shared" si="20"/>
        <v>13503.7131970135</v>
      </c>
      <c r="BI48" s="133">
        <f t="shared" si="20"/>
        <v>13503.7131970135</v>
      </c>
      <c r="BJ48" s="133">
        <f t="shared" si="20"/>
        <v>13503.7131970135</v>
      </c>
      <c r="BK48" s="133">
        <f t="shared" si="20"/>
        <v>13503.7131970135</v>
      </c>
      <c r="BL48" s="133">
        <f t="shared" si="20"/>
        <v>13503.7131970135</v>
      </c>
      <c r="BM48" s="133">
        <f t="shared" si="20"/>
        <v>13503.7131970135</v>
      </c>
      <c r="BN48" s="133">
        <f t="shared" si="20"/>
        <v>162044.55836416202</v>
      </c>
    </row>
    <row r="49" spans="2:66" x14ac:dyDescent="0.2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</row>
    <row r="50" spans="2:66" x14ac:dyDescent="0.2">
      <c r="B50" s="133" t="s">
        <v>349</v>
      </c>
      <c r="C50" s="133" t="s">
        <v>48</v>
      </c>
      <c r="D50" s="133"/>
      <c r="E50" s="133"/>
      <c r="F50" s="133"/>
      <c r="G50" s="133"/>
      <c r="H50" s="133"/>
      <c r="I50" s="133"/>
      <c r="J50" s="133">
        <f>J48+J43+J38+J33</f>
        <v>23234.741181792</v>
      </c>
      <c r="K50" s="133">
        <f t="shared" ref="K50:BN50" si="21">K48+K43+K38+K33</f>
        <v>35617.374106415999</v>
      </c>
      <c r="L50" s="133">
        <f t="shared" si="21"/>
        <v>48010.233109392</v>
      </c>
      <c r="M50" s="133">
        <f t="shared" si="21"/>
        <v>60400.125650015994</v>
      </c>
      <c r="N50" s="133">
        <f t="shared" si="21"/>
        <v>167262.47404761601</v>
      </c>
      <c r="O50" s="133">
        <f t="shared" si="21"/>
        <v>72794.188065743991</v>
      </c>
      <c r="P50" s="133">
        <f t="shared" si="21"/>
        <v>85158.568241568006</v>
      </c>
      <c r="Q50" s="133">
        <f t="shared" si="21"/>
        <v>86792.485174640926</v>
      </c>
      <c r="R50" s="133">
        <f t="shared" si="21"/>
        <v>86792.485174640926</v>
      </c>
      <c r="S50" s="133">
        <f t="shared" si="21"/>
        <v>86946.898174640926</v>
      </c>
      <c r="T50" s="133">
        <f t="shared" si="21"/>
        <v>86946.898174640926</v>
      </c>
      <c r="U50" s="133">
        <f t="shared" si="21"/>
        <v>86946.898174640926</v>
      </c>
      <c r="V50" s="133">
        <f t="shared" si="21"/>
        <v>86946.898174640926</v>
      </c>
      <c r="W50" s="133">
        <f t="shared" si="21"/>
        <v>86946.898174640926</v>
      </c>
      <c r="X50" s="133">
        <f t="shared" si="21"/>
        <v>86946.898174640926</v>
      </c>
      <c r="Y50" s="133">
        <f t="shared" si="21"/>
        <v>86946.898174640926</v>
      </c>
      <c r="Z50" s="133">
        <f t="shared" si="21"/>
        <v>86946.898174640926</v>
      </c>
      <c r="AA50" s="133">
        <f t="shared" si="21"/>
        <v>1027112.9120537211</v>
      </c>
      <c r="AB50" s="133">
        <f t="shared" si="21"/>
        <v>88685.836138133731</v>
      </c>
      <c r="AC50" s="133">
        <f t="shared" si="21"/>
        <v>88685.836138133731</v>
      </c>
      <c r="AD50" s="133">
        <f t="shared" si="21"/>
        <v>93359.935145030264</v>
      </c>
      <c r="AE50" s="133">
        <f t="shared" si="21"/>
        <v>98028.309917746519</v>
      </c>
      <c r="AF50" s="133">
        <f t="shared" si="21"/>
        <v>102691.99830046277</v>
      </c>
      <c r="AG50" s="133">
        <f t="shared" si="21"/>
        <v>107360.37307317901</v>
      </c>
      <c r="AH50" s="133">
        <f t="shared" si="21"/>
        <v>112021.18753660057</v>
      </c>
      <c r="AI50" s="133">
        <f t="shared" si="21"/>
        <v>116683.83807513652</v>
      </c>
      <c r="AJ50" s="133">
        <f t="shared" si="21"/>
        <v>121344.65253855805</v>
      </c>
      <c r="AK50" s="133">
        <f t="shared" si="21"/>
        <v>126013.02731127429</v>
      </c>
      <c r="AL50" s="133">
        <f t="shared" si="21"/>
        <v>130668.67675311262</v>
      </c>
      <c r="AM50" s="133">
        <f t="shared" si="21"/>
        <v>135329.49121653417</v>
      </c>
      <c r="AN50" s="133">
        <f t="shared" si="21"/>
        <v>1320873.1621439024</v>
      </c>
      <c r="AO50" s="133">
        <f t="shared" si="21"/>
        <v>142800.75470671605</v>
      </c>
      <c r="AP50" s="133">
        <f t="shared" si="21"/>
        <v>147554.785459406</v>
      </c>
      <c r="AQ50" s="133">
        <f t="shared" si="21"/>
        <v>152316.52772757661</v>
      </c>
      <c r="AR50" s="133">
        <f t="shared" si="21"/>
        <v>157066.34875931559</v>
      </c>
      <c r="AS50" s="133">
        <f t="shared" si="21"/>
        <v>161828.09102748617</v>
      </c>
      <c r="AT50" s="133">
        <f t="shared" si="21"/>
        <v>166582.12178017612</v>
      </c>
      <c r="AU50" s="133">
        <f t="shared" si="21"/>
        <v>171338.0253294828</v>
      </c>
      <c r="AV50" s="133">
        <f t="shared" si="21"/>
        <v>180894.69285208063</v>
      </c>
      <c r="AW50" s="133">
        <f t="shared" si="21"/>
        <v>180894.69285208063</v>
      </c>
      <c r="AX50" s="133">
        <f t="shared" si="21"/>
        <v>180894.69285208063</v>
      </c>
      <c r="AY50" s="133">
        <f t="shared" si="21"/>
        <v>180894.69285208063</v>
      </c>
      <c r="AZ50" s="133">
        <f t="shared" si="21"/>
        <v>180894.69285208063</v>
      </c>
      <c r="BA50" s="133">
        <f t="shared" si="21"/>
        <v>2003960.1190505628</v>
      </c>
      <c r="BB50" s="133">
        <f>BB48+BB43+BB38+BB33</f>
        <v>160547.95355475135</v>
      </c>
      <c r="BC50" s="133">
        <f t="shared" si="21"/>
        <v>160547.95355475135</v>
      </c>
      <c r="BD50" s="133">
        <f t="shared" si="21"/>
        <v>160547.95355475135</v>
      </c>
      <c r="BE50" s="133">
        <f t="shared" si="21"/>
        <v>160547.95355475135</v>
      </c>
      <c r="BF50" s="133">
        <f t="shared" si="21"/>
        <v>160547.95355475135</v>
      </c>
      <c r="BG50" s="133">
        <f t="shared" si="21"/>
        <v>160547.95355475135</v>
      </c>
      <c r="BH50" s="133">
        <f t="shared" si="21"/>
        <v>160547.95355475135</v>
      </c>
      <c r="BI50" s="133">
        <f t="shared" si="21"/>
        <v>160547.95355475135</v>
      </c>
      <c r="BJ50" s="133">
        <f t="shared" si="21"/>
        <v>160547.95355475135</v>
      </c>
      <c r="BK50" s="133">
        <f t="shared" si="21"/>
        <v>160547.95355475135</v>
      </c>
      <c r="BL50" s="133">
        <f t="shared" si="21"/>
        <v>160547.95355475135</v>
      </c>
      <c r="BM50" s="133">
        <f t="shared" si="21"/>
        <v>160547.95355475135</v>
      </c>
      <c r="BN50" s="133">
        <f t="shared" si="21"/>
        <v>1926575.4426570162</v>
      </c>
    </row>
    <row r="51" spans="2:66" x14ac:dyDescent="0.2"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</row>
    <row r="52" spans="2:66" x14ac:dyDescent="0.2">
      <c r="B52" s="330"/>
      <c r="C52" s="33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</row>
    <row r="53" spans="2:66" x14ac:dyDescent="0.2">
      <c r="B53" s="80" t="s">
        <v>115</v>
      </c>
    </row>
    <row r="54" spans="2:66" x14ac:dyDescent="0.2">
      <c r="B54" s="330" t="s">
        <v>31</v>
      </c>
      <c r="C54" s="76" t="s">
        <v>10</v>
      </c>
      <c r="G54" s="76">
        <f>J54</f>
        <v>4.37</v>
      </c>
      <c r="J54" s="76">
        <f>Assumptions!J66</f>
        <v>4.37</v>
      </c>
      <c r="K54" s="76">
        <f>Assumptions!K66</f>
        <v>4.37</v>
      </c>
      <c r="L54" s="76">
        <f>Assumptions!L66</f>
        <v>4.37</v>
      </c>
      <c r="M54" s="76">
        <f>Assumptions!M66</f>
        <v>4.37</v>
      </c>
      <c r="N54" s="76">
        <f>Assumptions!N66</f>
        <v>4.37</v>
      </c>
      <c r="O54" s="76">
        <f>Assumptions!O66</f>
        <v>4.37</v>
      </c>
      <c r="P54" s="76">
        <f>Assumptions!P66</f>
        <v>4.37</v>
      </c>
      <c r="Q54" s="76">
        <f>Assumptions!Q66</f>
        <v>4.4617699999999996</v>
      </c>
      <c r="R54" s="76">
        <f>Assumptions!R66</f>
        <v>4.4617699999999996</v>
      </c>
      <c r="S54" s="76">
        <f>Assumptions!S66</f>
        <v>4.4617699999999996</v>
      </c>
      <c r="T54" s="76">
        <f>Assumptions!T66</f>
        <v>4.4617699999999996</v>
      </c>
      <c r="U54" s="76">
        <f>Assumptions!U66</f>
        <v>4.4617699999999996</v>
      </c>
      <c r="V54" s="76">
        <f>Assumptions!V66</f>
        <v>4.4617699999999996</v>
      </c>
      <c r="W54" s="76">
        <f>Assumptions!W66</f>
        <v>4.4617699999999996</v>
      </c>
      <c r="X54" s="76">
        <f>Assumptions!X66</f>
        <v>4.4617699999999996</v>
      </c>
      <c r="Y54" s="76">
        <f>Assumptions!Y66</f>
        <v>4.4617699999999996</v>
      </c>
      <c r="Z54" s="76">
        <f>Assumptions!Z66</f>
        <v>4.4617699999999996</v>
      </c>
      <c r="AA54" s="76">
        <f>Assumptions!AA66</f>
        <v>4.4617699999999996</v>
      </c>
      <c r="AB54" s="76">
        <f>Assumptions!AB66</f>
        <v>4.5510053999999993</v>
      </c>
      <c r="AC54" s="76">
        <f>Assumptions!AC66</f>
        <v>4.5510053999999993</v>
      </c>
      <c r="AD54" s="76">
        <f>Assumptions!AD66</f>
        <v>4.5510053999999993</v>
      </c>
      <c r="AE54" s="76">
        <f>Assumptions!AE66</f>
        <v>4.5510053999999993</v>
      </c>
      <c r="AF54" s="76">
        <f>Assumptions!AF66</f>
        <v>4.5510053999999993</v>
      </c>
      <c r="AG54" s="76">
        <f>Assumptions!AG66</f>
        <v>4.5510053999999993</v>
      </c>
      <c r="AH54" s="76">
        <f>Assumptions!AH66</f>
        <v>4.5510053999999993</v>
      </c>
      <c r="AI54" s="76">
        <f>Assumptions!AI66</f>
        <v>4.5510053999999993</v>
      </c>
      <c r="AJ54" s="76">
        <f>Assumptions!AJ66</f>
        <v>4.5510053999999993</v>
      </c>
      <c r="AK54" s="76">
        <f>Assumptions!AK66</f>
        <v>4.5510053999999993</v>
      </c>
      <c r="AL54" s="76">
        <f>Assumptions!AL66</f>
        <v>4.5510053999999993</v>
      </c>
      <c r="AM54" s="76">
        <f>Assumptions!AM66</f>
        <v>4.5510053999999993</v>
      </c>
      <c r="AN54" s="76">
        <f>Assumptions!AN66</f>
        <v>4.5510053999999993</v>
      </c>
      <c r="AO54" s="76">
        <f>Assumptions!AO66</f>
        <v>4.6420255079999997</v>
      </c>
      <c r="AP54" s="76">
        <f>Assumptions!AP66</f>
        <v>4.6420255079999997</v>
      </c>
      <c r="AQ54" s="76">
        <f>Assumptions!AQ66</f>
        <v>4.6420255079999997</v>
      </c>
      <c r="AR54" s="76">
        <f>Assumptions!AR66</f>
        <v>4.6420255079999997</v>
      </c>
      <c r="AS54" s="76">
        <f>Assumptions!AS66</f>
        <v>4.6420255079999997</v>
      </c>
      <c r="AT54" s="76">
        <f>Assumptions!AT66</f>
        <v>4.6420255079999997</v>
      </c>
      <c r="AU54" s="76">
        <f>Assumptions!AU66</f>
        <v>4.6420255079999997</v>
      </c>
      <c r="AV54" s="76">
        <f>Assumptions!AV66</f>
        <v>4.6420255079999997</v>
      </c>
      <c r="AW54" s="76">
        <f>Assumptions!AW66</f>
        <v>4.6420255079999997</v>
      </c>
      <c r="AX54" s="76">
        <f>Assumptions!AX66</f>
        <v>4.6420255079999997</v>
      </c>
      <c r="AY54" s="76">
        <f>Assumptions!AY66</f>
        <v>4.6420255079999997</v>
      </c>
      <c r="AZ54" s="76">
        <f>Assumptions!AZ66</f>
        <v>4.6420255079999997</v>
      </c>
      <c r="BA54" s="76">
        <f>Assumptions!BA66</f>
        <v>4.6420255079999997</v>
      </c>
      <c r="BB54" s="76">
        <f>Assumptions!BB66</f>
        <v>4.73486601816</v>
      </c>
      <c r="BC54" s="76">
        <f>Assumptions!BC66</f>
        <v>4.73486601816</v>
      </c>
      <c r="BD54" s="76">
        <f>Assumptions!BD66</f>
        <v>4.73486601816</v>
      </c>
      <c r="BE54" s="76">
        <f>Assumptions!BE66</f>
        <v>4.73486601816</v>
      </c>
      <c r="BF54" s="76">
        <f>Assumptions!BF66</f>
        <v>4.73486601816</v>
      </c>
      <c r="BG54" s="76">
        <f>Assumptions!BG66</f>
        <v>4.73486601816</v>
      </c>
      <c r="BH54" s="76">
        <f>Assumptions!BH66</f>
        <v>4.73486601816</v>
      </c>
      <c r="BI54" s="76">
        <f>Assumptions!BI66</f>
        <v>4.73486601816</v>
      </c>
      <c r="BJ54" s="76">
        <f>Assumptions!BJ66</f>
        <v>4.73486601816</v>
      </c>
      <c r="BK54" s="76">
        <f>Assumptions!BK66</f>
        <v>4.73486601816</v>
      </c>
      <c r="BL54" s="76">
        <f>Assumptions!BL66</f>
        <v>4.73486601816</v>
      </c>
      <c r="BM54" s="76">
        <f>Assumptions!BM66</f>
        <v>4.73486601816</v>
      </c>
      <c r="BN54" s="76">
        <f>Assumptions!BN66</f>
        <v>4.73486601816</v>
      </c>
    </row>
    <row r="55" spans="2:66" x14ac:dyDescent="0.2">
      <c r="B55" s="330" t="s">
        <v>116</v>
      </c>
      <c r="C55" s="329" t="s">
        <v>104</v>
      </c>
      <c r="G55" s="331"/>
      <c r="H55" s="331"/>
      <c r="I55" s="331"/>
      <c r="J55" s="331">
        <f>Assumptions!J68</f>
        <v>614</v>
      </c>
      <c r="K55" s="331">
        <f>Assumptions!K68</f>
        <v>941</v>
      </c>
      <c r="L55" s="331">
        <f>Assumptions!L68</f>
        <v>1269</v>
      </c>
      <c r="M55" s="331">
        <f>Assumptions!M68</f>
        <v>1596</v>
      </c>
      <c r="N55" s="331">
        <f>Assumptions!N68</f>
        <v>4420</v>
      </c>
      <c r="O55" s="331">
        <f>Assumptions!O68</f>
        <v>1922</v>
      </c>
      <c r="P55" s="331">
        <f>Assumptions!P68</f>
        <v>2250.0001151161018</v>
      </c>
      <c r="Q55" s="331">
        <f>Assumptions!Q68</f>
        <v>2250.0001151161018</v>
      </c>
      <c r="R55" s="331">
        <f>Assumptions!R68</f>
        <v>2250.0001151161018</v>
      </c>
      <c r="S55" s="331">
        <f>Assumptions!S68</f>
        <v>2250.0001151161018</v>
      </c>
      <c r="T55" s="331">
        <f>Assumptions!T68</f>
        <v>2250.0001151161018</v>
      </c>
      <c r="U55" s="331">
        <f>Assumptions!U68</f>
        <v>2250.0001151161018</v>
      </c>
      <c r="V55" s="331">
        <f>Assumptions!V68</f>
        <v>2250.0001151161018</v>
      </c>
      <c r="W55" s="331">
        <f>Assumptions!W68</f>
        <v>2250.0001151161018</v>
      </c>
      <c r="X55" s="331">
        <f>Assumptions!X68</f>
        <v>2250.0001151161018</v>
      </c>
      <c r="Y55" s="331">
        <f>Assumptions!Y68</f>
        <v>2250.0001151161018</v>
      </c>
      <c r="Z55" s="331">
        <f>Assumptions!Z68</f>
        <v>2250.0001151161018</v>
      </c>
      <c r="AA55" s="331">
        <f>Assumptions!AA68</f>
        <v>26672.001266277115</v>
      </c>
      <c r="AB55" s="331">
        <f>Assumptions!AB68</f>
        <v>2250.0001151161018</v>
      </c>
      <c r="AC55" s="331">
        <f>Assumptions!AC68</f>
        <v>2250.0001151161018</v>
      </c>
      <c r="AD55" s="331">
        <f>Assumptions!AD68</f>
        <v>2368</v>
      </c>
      <c r="AE55" s="331">
        <f>Assumptions!AE68</f>
        <v>2486</v>
      </c>
      <c r="AF55" s="331">
        <f>Assumptions!AF68</f>
        <v>2605</v>
      </c>
      <c r="AG55" s="331">
        <f>Assumptions!AG68</f>
        <v>2723</v>
      </c>
      <c r="AH55" s="331">
        <f>Assumptions!AH68</f>
        <v>2841</v>
      </c>
      <c r="AI55" s="331">
        <f>Assumptions!AI68</f>
        <v>2960</v>
      </c>
      <c r="AJ55" s="331">
        <f>Assumptions!AJ68</f>
        <v>3078</v>
      </c>
      <c r="AK55" s="331">
        <f>Assumptions!AK68</f>
        <v>3196</v>
      </c>
      <c r="AL55" s="331">
        <f>Assumptions!AL68</f>
        <v>3315</v>
      </c>
      <c r="AM55" s="331">
        <f>Assumptions!AM68</f>
        <v>3433</v>
      </c>
      <c r="AN55" s="331">
        <f>Assumptions!AN68</f>
        <v>33505.000230232203</v>
      </c>
      <c r="AO55" s="331">
        <f>Assumptions!AO68</f>
        <v>3552</v>
      </c>
      <c r="AP55" s="331">
        <f>Assumptions!AP68</f>
        <v>3670</v>
      </c>
      <c r="AQ55" s="331">
        <f>Assumptions!AQ68</f>
        <v>3788</v>
      </c>
      <c r="AR55" s="331">
        <f>Assumptions!AR68</f>
        <v>3907</v>
      </c>
      <c r="AS55" s="331">
        <f>Assumptions!AS68</f>
        <v>4025</v>
      </c>
      <c r="AT55" s="331">
        <f>Assumptions!AT68</f>
        <v>4143</v>
      </c>
      <c r="AU55" s="331">
        <f>Assumptions!AU68</f>
        <v>4262</v>
      </c>
      <c r="AV55" s="331">
        <f>Assumptions!AV68</f>
        <v>4500.0001674415998</v>
      </c>
      <c r="AW55" s="331">
        <f>Assumptions!AW68</f>
        <v>4500.0001674415998</v>
      </c>
      <c r="AX55" s="331">
        <f>Assumptions!AX68</f>
        <v>4500.0001674415998</v>
      </c>
      <c r="AY55" s="331">
        <f>Assumptions!AY68</f>
        <v>4500.0001674415998</v>
      </c>
      <c r="AZ55" s="331">
        <f>Assumptions!AZ68</f>
        <v>4500.0001674415998</v>
      </c>
      <c r="BA55" s="331">
        <f>Assumptions!BA68</f>
        <v>49847.00083720799</v>
      </c>
      <c r="BB55" s="331">
        <f>Assumptions!BB68</f>
        <v>4153.9167364339992</v>
      </c>
      <c r="BC55" s="331">
        <f>Assumptions!BC68</f>
        <v>4153.9167364339992</v>
      </c>
      <c r="BD55" s="331">
        <f>Assumptions!BD68</f>
        <v>4153.9167364339992</v>
      </c>
      <c r="BE55" s="331">
        <f>Assumptions!BE68</f>
        <v>4153.9167364339992</v>
      </c>
      <c r="BF55" s="331">
        <f>Assumptions!BF68</f>
        <v>4153.9167364339992</v>
      </c>
      <c r="BG55" s="331">
        <f>Assumptions!BG68</f>
        <v>4153.9167364339992</v>
      </c>
      <c r="BH55" s="331">
        <f>Assumptions!BH68</f>
        <v>4153.9167364339992</v>
      </c>
      <c r="BI55" s="331">
        <f>Assumptions!BI68</f>
        <v>4153.9167364339992</v>
      </c>
      <c r="BJ55" s="331">
        <f>Assumptions!BJ68</f>
        <v>4153.9167364339992</v>
      </c>
      <c r="BK55" s="331">
        <f>Assumptions!BK68</f>
        <v>4153.9167364339992</v>
      </c>
      <c r="BL55" s="331">
        <f>Assumptions!BL68</f>
        <v>4153.9167364339992</v>
      </c>
      <c r="BM55" s="331">
        <f>Assumptions!BM68</f>
        <v>4153.9167364339992</v>
      </c>
      <c r="BN55" s="331">
        <f>Assumptions!BN68</f>
        <v>49847.00083720799</v>
      </c>
    </row>
    <row r="56" spans="2:66" x14ac:dyDescent="0.2">
      <c r="B56" s="330" t="s">
        <v>117</v>
      </c>
      <c r="C56" s="329" t="s">
        <v>104</v>
      </c>
      <c r="G56" s="331"/>
      <c r="H56" s="331"/>
      <c r="I56" s="331"/>
      <c r="J56" s="331">
        <f>Assumptions!J69</f>
        <v>818</v>
      </c>
      <c r="K56" s="331">
        <f>Assumptions!K69</f>
        <v>1255</v>
      </c>
      <c r="L56" s="331">
        <f>Assumptions!L69</f>
        <v>1691</v>
      </c>
      <c r="M56" s="331">
        <f>Assumptions!M69</f>
        <v>2128</v>
      </c>
      <c r="N56" s="331">
        <f>Assumptions!N69</f>
        <v>5892</v>
      </c>
      <c r="O56" s="331">
        <f>Assumptions!O69</f>
        <v>2564</v>
      </c>
      <c r="P56" s="331">
        <f>Assumptions!P69</f>
        <v>3000</v>
      </c>
      <c r="Q56" s="331">
        <f>Assumptions!Q69</f>
        <v>3000</v>
      </c>
      <c r="R56" s="331">
        <f>Assumptions!R69</f>
        <v>3000</v>
      </c>
      <c r="S56" s="331">
        <f>Assumptions!S69</f>
        <v>3000</v>
      </c>
      <c r="T56" s="331">
        <f>Assumptions!T69</f>
        <v>3000</v>
      </c>
      <c r="U56" s="331">
        <f>Assumptions!U69</f>
        <v>3000</v>
      </c>
      <c r="V56" s="331">
        <f>Assumptions!V69</f>
        <v>3000</v>
      </c>
      <c r="W56" s="331">
        <f>Assumptions!W69</f>
        <v>3000</v>
      </c>
      <c r="X56" s="331">
        <f>Assumptions!X69</f>
        <v>3000</v>
      </c>
      <c r="Y56" s="331">
        <f>Assumptions!Y69</f>
        <v>3000</v>
      </c>
      <c r="Z56" s="331">
        <f>Assumptions!Z69</f>
        <v>3000</v>
      </c>
      <c r="AA56" s="331">
        <f>Assumptions!AA69</f>
        <v>35564</v>
      </c>
      <c r="AB56" s="331">
        <f>Assumptions!AB69</f>
        <v>3000</v>
      </c>
      <c r="AC56" s="331">
        <f>Assumptions!AC69</f>
        <v>3000</v>
      </c>
      <c r="AD56" s="331">
        <f>Assumptions!AD69</f>
        <v>3158</v>
      </c>
      <c r="AE56" s="331">
        <f>Assumptions!AE69</f>
        <v>3316</v>
      </c>
      <c r="AF56" s="331">
        <f>Assumptions!AF69</f>
        <v>3474</v>
      </c>
      <c r="AG56" s="331">
        <f>Assumptions!AG69</f>
        <v>3632</v>
      </c>
      <c r="AH56" s="331">
        <f>Assumptions!AH69</f>
        <v>3790</v>
      </c>
      <c r="AI56" s="331">
        <f>Assumptions!AI69</f>
        <v>3947</v>
      </c>
      <c r="AJ56" s="331">
        <f>Assumptions!AJ69</f>
        <v>4105</v>
      </c>
      <c r="AK56" s="331">
        <f>Assumptions!AK69</f>
        <v>4263</v>
      </c>
      <c r="AL56" s="331">
        <f>Assumptions!AL69</f>
        <v>4420</v>
      </c>
      <c r="AM56" s="331">
        <f>Assumptions!AM69</f>
        <v>4578</v>
      </c>
      <c r="AN56" s="331">
        <f>Assumptions!AN69</f>
        <v>44683</v>
      </c>
      <c r="AO56" s="331">
        <f>Assumptions!AO69</f>
        <v>4736</v>
      </c>
      <c r="AP56" s="331">
        <f>Assumptions!AP69</f>
        <v>4894</v>
      </c>
      <c r="AQ56" s="331">
        <f>Assumptions!AQ69</f>
        <v>5052</v>
      </c>
      <c r="AR56" s="331">
        <f>Assumptions!AR69</f>
        <v>5210</v>
      </c>
      <c r="AS56" s="331">
        <f>Assumptions!AS69</f>
        <v>5368</v>
      </c>
      <c r="AT56" s="331">
        <f>Assumptions!AT69</f>
        <v>5526</v>
      </c>
      <c r="AU56" s="331">
        <f>Assumptions!AU69</f>
        <v>5683</v>
      </c>
      <c r="AV56" s="331">
        <f>Assumptions!AV69</f>
        <v>5999.9999162792001</v>
      </c>
      <c r="AW56" s="331">
        <f>Assumptions!AW69</f>
        <v>5999.9999162792001</v>
      </c>
      <c r="AX56" s="331">
        <f>Assumptions!AX69</f>
        <v>5999.9999162792001</v>
      </c>
      <c r="AY56" s="331">
        <f>Assumptions!AY69</f>
        <v>5999.9999162792001</v>
      </c>
      <c r="AZ56" s="331">
        <f>Assumptions!AZ69</f>
        <v>5999.9999162792001</v>
      </c>
      <c r="BA56" s="331">
        <f>Assumptions!BA69</f>
        <v>66468.999581395998</v>
      </c>
      <c r="BB56" s="331">
        <f>Assumptions!BB69</f>
        <v>5539.0832984496665</v>
      </c>
      <c r="BC56" s="331">
        <f>Assumptions!BC69</f>
        <v>5539.0832984496665</v>
      </c>
      <c r="BD56" s="331">
        <f>Assumptions!BD69</f>
        <v>5539.0832984496665</v>
      </c>
      <c r="BE56" s="331">
        <f>Assumptions!BE69</f>
        <v>5539.0832984496665</v>
      </c>
      <c r="BF56" s="331">
        <f>Assumptions!BF69</f>
        <v>5539.0832984496665</v>
      </c>
      <c r="BG56" s="331">
        <f>Assumptions!BG69</f>
        <v>5539.0832984496665</v>
      </c>
      <c r="BH56" s="331">
        <f>Assumptions!BH69</f>
        <v>5539.0832984496665</v>
      </c>
      <c r="BI56" s="331">
        <f>Assumptions!BI69</f>
        <v>5539.0832984496665</v>
      </c>
      <c r="BJ56" s="331">
        <f>Assumptions!BJ69</f>
        <v>5539.0832984496665</v>
      </c>
      <c r="BK56" s="331">
        <f>Assumptions!BK69</f>
        <v>5539.0832984496665</v>
      </c>
      <c r="BL56" s="331">
        <f>Assumptions!BL69</f>
        <v>5539.0832984496665</v>
      </c>
      <c r="BM56" s="331">
        <f>Assumptions!BM69</f>
        <v>5539.0832984496665</v>
      </c>
      <c r="BN56" s="331">
        <f>Assumptions!BN69</f>
        <v>66468.999581395998</v>
      </c>
    </row>
    <row r="57" spans="2:66" x14ac:dyDescent="0.2">
      <c r="B57" s="330" t="s">
        <v>118</v>
      </c>
      <c r="C57" s="329" t="s">
        <v>104</v>
      </c>
      <c r="G57" s="331"/>
      <c r="H57" s="331"/>
      <c r="I57" s="331"/>
      <c r="J57" s="331">
        <f>Assumptions!J70</f>
        <v>409</v>
      </c>
      <c r="K57" s="331">
        <f>Assumptions!K70</f>
        <v>627</v>
      </c>
      <c r="L57" s="331">
        <f>Assumptions!L70</f>
        <v>845</v>
      </c>
      <c r="M57" s="331">
        <f>Assumptions!M70</f>
        <v>1063</v>
      </c>
      <c r="N57" s="331">
        <f>Assumptions!N70</f>
        <v>2944</v>
      </c>
      <c r="O57" s="331">
        <f>Assumptions!O70</f>
        <v>1282</v>
      </c>
      <c r="P57" s="331">
        <f>Assumptions!P70</f>
        <v>1500</v>
      </c>
      <c r="Q57" s="331">
        <f>Assumptions!Q70</f>
        <v>1500</v>
      </c>
      <c r="R57" s="331">
        <f>Assumptions!R70</f>
        <v>1500</v>
      </c>
      <c r="S57" s="331">
        <f>Assumptions!S70</f>
        <v>1500</v>
      </c>
      <c r="T57" s="331">
        <f>Assumptions!T70</f>
        <v>1500</v>
      </c>
      <c r="U57" s="331">
        <f>Assumptions!U70</f>
        <v>1500</v>
      </c>
      <c r="V57" s="331">
        <f>Assumptions!V70</f>
        <v>1500</v>
      </c>
      <c r="W57" s="331">
        <f>Assumptions!W70</f>
        <v>1500</v>
      </c>
      <c r="X57" s="331">
        <f>Assumptions!X70</f>
        <v>1500</v>
      </c>
      <c r="Y57" s="331">
        <f>Assumptions!Y70</f>
        <v>1500</v>
      </c>
      <c r="Z57" s="331">
        <f>Assumptions!Z70</f>
        <v>1500</v>
      </c>
      <c r="AA57" s="331">
        <f>Assumptions!AA70</f>
        <v>17782</v>
      </c>
      <c r="AB57" s="331">
        <f>Assumptions!AB70</f>
        <v>1500</v>
      </c>
      <c r="AC57" s="331">
        <f>Assumptions!AC70</f>
        <v>1500</v>
      </c>
      <c r="AD57" s="331">
        <f>Assumptions!AD70</f>
        <v>1579</v>
      </c>
      <c r="AE57" s="331">
        <f>Assumptions!AE70</f>
        <v>1658</v>
      </c>
      <c r="AF57" s="331">
        <f>Assumptions!AF70</f>
        <v>1737</v>
      </c>
      <c r="AG57" s="331">
        <f>Assumptions!AG70</f>
        <v>1816</v>
      </c>
      <c r="AH57" s="331">
        <f>Assumptions!AH70</f>
        <v>1895</v>
      </c>
      <c r="AI57" s="331">
        <f>Assumptions!AI70</f>
        <v>1974</v>
      </c>
      <c r="AJ57" s="331">
        <f>Assumptions!AJ70</f>
        <v>2053</v>
      </c>
      <c r="AK57" s="331">
        <f>Assumptions!AK70</f>
        <v>2132</v>
      </c>
      <c r="AL57" s="331">
        <f>Assumptions!AL70</f>
        <v>2210</v>
      </c>
      <c r="AM57" s="331">
        <f>Assumptions!AM70</f>
        <v>2289</v>
      </c>
      <c r="AN57" s="331">
        <f>Assumptions!AN70</f>
        <v>22343</v>
      </c>
      <c r="AO57" s="331">
        <f>Assumptions!AO70</f>
        <v>2368</v>
      </c>
      <c r="AP57" s="331">
        <f>Assumptions!AP70</f>
        <v>2447</v>
      </c>
      <c r="AQ57" s="331">
        <f>Assumptions!AQ70</f>
        <v>2526</v>
      </c>
      <c r="AR57" s="331">
        <f>Assumptions!AR70</f>
        <v>2604</v>
      </c>
      <c r="AS57" s="331">
        <f>Assumptions!AS70</f>
        <v>2683</v>
      </c>
      <c r="AT57" s="331">
        <f>Assumptions!AT70</f>
        <v>2762</v>
      </c>
      <c r="AU57" s="331">
        <f>Assumptions!AU70</f>
        <v>2841</v>
      </c>
      <c r="AV57" s="331">
        <f>Assumptions!AV70</f>
        <v>2999.9999581396</v>
      </c>
      <c r="AW57" s="331">
        <f>Assumptions!AW70</f>
        <v>2999.9999581396</v>
      </c>
      <c r="AX57" s="331">
        <f>Assumptions!AX70</f>
        <v>2999.9999581396</v>
      </c>
      <c r="AY57" s="331">
        <f>Assumptions!AY70</f>
        <v>2999.9999581396</v>
      </c>
      <c r="AZ57" s="331">
        <f>Assumptions!AZ70</f>
        <v>2999.9999581396</v>
      </c>
      <c r="BA57" s="331">
        <f>Assumptions!BA70</f>
        <v>33230.999790697999</v>
      </c>
      <c r="BB57" s="331">
        <f>Assumptions!BB70</f>
        <v>2769.2499825581667</v>
      </c>
      <c r="BC57" s="331">
        <f>Assumptions!BC70</f>
        <v>2769.2499825581667</v>
      </c>
      <c r="BD57" s="331">
        <f>Assumptions!BD70</f>
        <v>2769.2499825581667</v>
      </c>
      <c r="BE57" s="331">
        <f>Assumptions!BE70</f>
        <v>2769.2499825581667</v>
      </c>
      <c r="BF57" s="331">
        <f>Assumptions!BF70</f>
        <v>2769.2499825581667</v>
      </c>
      <c r="BG57" s="331">
        <f>Assumptions!BG70</f>
        <v>2769.2499825581667</v>
      </c>
      <c r="BH57" s="331">
        <f>Assumptions!BH70</f>
        <v>2769.2499825581667</v>
      </c>
      <c r="BI57" s="331">
        <f>Assumptions!BI70</f>
        <v>2769.2499825581667</v>
      </c>
      <c r="BJ57" s="331">
        <f>Assumptions!BJ70</f>
        <v>2769.2499825581667</v>
      </c>
      <c r="BK57" s="331">
        <f>Assumptions!BK70</f>
        <v>2769.2499825581667</v>
      </c>
      <c r="BL57" s="331">
        <f>Assumptions!BL70</f>
        <v>2769.2499825581667</v>
      </c>
      <c r="BM57" s="331">
        <f>Assumptions!BM70</f>
        <v>2769.2499825581667</v>
      </c>
      <c r="BN57" s="331">
        <f>Assumptions!BN70</f>
        <v>33230.999790697999</v>
      </c>
    </row>
    <row r="58" spans="2:66" x14ac:dyDescent="0.2">
      <c r="B58" s="330" t="s">
        <v>119</v>
      </c>
      <c r="C58" s="329" t="s">
        <v>104</v>
      </c>
      <c r="G58" s="331"/>
      <c r="H58" s="331"/>
      <c r="I58" s="331"/>
      <c r="J58" s="331">
        <f>Assumptions!J71</f>
        <v>409</v>
      </c>
      <c r="K58" s="331">
        <f>Assumptions!K71</f>
        <v>627</v>
      </c>
      <c r="L58" s="331">
        <f>Assumptions!L71</f>
        <v>845</v>
      </c>
      <c r="M58" s="331">
        <f>Assumptions!M71</f>
        <v>1063</v>
      </c>
      <c r="N58" s="331">
        <f>Assumptions!N71</f>
        <v>2944</v>
      </c>
      <c r="O58" s="331">
        <f>Assumptions!O71</f>
        <v>1282</v>
      </c>
      <c r="P58" s="331">
        <f>Assumptions!P71</f>
        <v>1500</v>
      </c>
      <c r="Q58" s="331">
        <f>Assumptions!Q71</f>
        <v>1500</v>
      </c>
      <c r="R58" s="331">
        <f>Assumptions!R71</f>
        <v>1500</v>
      </c>
      <c r="S58" s="331">
        <f>Assumptions!S71</f>
        <v>1500</v>
      </c>
      <c r="T58" s="331">
        <f>Assumptions!T71</f>
        <v>1500</v>
      </c>
      <c r="U58" s="331">
        <f>Assumptions!U71</f>
        <v>1500</v>
      </c>
      <c r="V58" s="331">
        <f>Assumptions!V71</f>
        <v>1500</v>
      </c>
      <c r="W58" s="331">
        <f>Assumptions!W71</f>
        <v>1500</v>
      </c>
      <c r="X58" s="331">
        <f>Assumptions!X71</f>
        <v>1500</v>
      </c>
      <c r="Y58" s="331">
        <f>Assumptions!Y71</f>
        <v>1500</v>
      </c>
      <c r="Z58" s="331">
        <f>Assumptions!Z71</f>
        <v>1500</v>
      </c>
      <c r="AA58" s="331">
        <f>Assumptions!AA71</f>
        <v>17782</v>
      </c>
      <c r="AB58" s="331">
        <f>Assumptions!AB71</f>
        <v>1500</v>
      </c>
      <c r="AC58" s="331">
        <f>Assumptions!AC71</f>
        <v>1500</v>
      </c>
      <c r="AD58" s="331">
        <f>Assumptions!AD71</f>
        <v>1579</v>
      </c>
      <c r="AE58" s="331">
        <f>Assumptions!AE71</f>
        <v>1658</v>
      </c>
      <c r="AF58" s="331">
        <f>Assumptions!AF71</f>
        <v>1736</v>
      </c>
      <c r="AG58" s="331">
        <f>Assumptions!AG71</f>
        <v>1815</v>
      </c>
      <c r="AH58" s="331">
        <f>Assumptions!AH71</f>
        <v>1894</v>
      </c>
      <c r="AI58" s="331">
        <f>Assumptions!AI71</f>
        <v>1973</v>
      </c>
      <c r="AJ58" s="331">
        <f>Assumptions!AJ71</f>
        <v>2052</v>
      </c>
      <c r="AK58" s="331">
        <f>Assumptions!AK71</f>
        <v>2131</v>
      </c>
      <c r="AL58" s="331">
        <f>Assumptions!AL71</f>
        <v>2211</v>
      </c>
      <c r="AM58" s="331">
        <f>Assumptions!AM71</f>
        <v>2290</v>
      </c>
      <c r="AN58" s="331">
        <f>Assumptions!AN71</f>
        <v>22339</v>
      </c>
      <c r="AO58" s="331">
        <f>Assumptions!AO71</f>
        <v>2368</v>
      </c>
      <c r="AP58" s="331">
        <f>Assumptions!AP71</f>
        <v>2447</v>
      </c>
      <c r="AQ58" s="331">
        <f>Assumptions!AQ71</f>
        <v>2526</v>
      </c>
      <c r="AR58" s="331">
        <f>Assumptions!AR71</f>
        <v>2605</v>
      </c>
      <c r="AS58" s="331">
        <f>Assumptions!AS71</f>
        <v>2684</v>
      </c>
      <c r="AT58" s="331">
        <f>Assumptions!AT71</f>
        <v>2763</v>
      </c>
      <c r="AU58" s="331">
        <f>Assumptions!AU71</f>
        <v>2842</v>
      </c>
      <c r="AV58" s="331">
        <f>Assumptions!AV71</f>
        <v>2999.9999581396</v>
      </c>
      <c r="AW58" s="331">
        <f>Assumptions!AW71</f>
        <v>2999.9999581396</v>
      </c>
      <c r="AX58" s="331">
        <f>Assumptions!AX71</f>
        <v>2999.9999581396</v>
      </c>
      <c r="AY58" s="331">
        <f>Assumptions!AY71</f>
        <v>2999.9999581396</v>
      </c>
      <c r="AZ58" s="331">
        <f>Assumptions!AZ71</f>
        <v>2999.9999581396</v>
      </c>
      <c r="BA58" s="331">
        <f>Assumptions!BA71</f>
        <v>33234.999790697999</v>
      </c>
      <c r="BB58" s="331">
        <f>Assumptions!BB71</f>
        <v>2769.5833158914998</v>
      </c>
      <c r="BC58" s="331">
        <f>Assumptions!BC71</f>
        <v>2769.5833158914998</v>
      </c>
      <c r="BD58" s="331">
        <f>Assumptions!BD71</f>
        <v>2769.5833158914998</v>
      </c>
      <c r="BE58" s="331">
        <f>Assumptions!BE71</f>
        <v>2769.5833158914998</v>
      </c>
      <c r="BF58" s="331">
        <f>Assumptions!BF71</f>
        <v>2769.5833158914998</v>
      </c>
      <c r="BG58" s="331">
        <f>Assumptions!BG71</f>
        <v>2769.5833158914998</v>
      </c>
      <c r="BH58" s="331">
        <f>Assumptions!BH71</f>
        <v>2769.5833158914998</v>
      </c>
      <c r="BI58" s="331">
        <f>Assumptions!BI71</f>
        <v>2769.5833158914998</v>
      </c>
      <c r="BJ58" s="331">
        <f>Assumptions!BJ71</f>
        <v>2769.5833158914998</v>
      </c>
      <c r="BK58" s="331">
        <f>Assumptions!BK71</f>
        <v>2769.5833158914998</v>
      </c>
      <c r="BL58" s="331">
        <f>Assumptions!BL71</f>
        <v>2769.5833158914998</v>
      </c>
      <c r="BM58" s="331">
        <f>Assumptions!BM71</f>
        <v>2769.5833158914998</v>
      </c>
      <c r="BN58" s="331">
        <f>Assumptions!BN71</f>
        <v>33234.999790697999</v>
      </c>
    </row>
    <row r="59" spans="2:66" ht="7.5" customHeight="1" x14ac:dyDescent="0.2">
      <c r="B59" s="330"/>
      <c r="C59" s="329"/>
      <c r="G59" s="331"/>
      <c r="H59" s="331"/>
      <c r="I59" s="331"/>
      <c r="J59" s="331"/>
      <c r="K59" s="331"/>
      <c r="L59" s="331"/>
      <c r="M59" s="331"/>
      <c r="N59" s="331"/>
      <c r="O59" s="331"/>
      <c r="P59" s="331"/>
      <c r="Q59" s="331"/>
      <c r="R59" s="331"/>
      <c r="S59" s="331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1"/>
      <c r="AP59" s="331"/>
      <c r="AQ59" s="331"/>
      <c r="AR59" s="331"/>
      <c r="AS59" s="331"/>
      <c r="AT59" s="331"/>
      <c r="AU59" s="331"/>
      <c r="AV59" s="331"/>
      <c r="AW59" s="331"/>
      <c r="AX59" s="331"/>
      <c r="AY59" s="331"/>
      <c r="AZ59" s="331"/>
      <c r="BA59" s="331"/>
      <c r="BB59" s="331"/>
      <c r="BC59" s="331"/>
      <c r="BD59" s="331"/>
      <c r="BE59" s="331"/>
      <c r="BF59" s="331"/>
      <c r="BG59" s="331"/>
      <c r="BH59" s="331"/>
      <c r="BI59" s="331"/>
      <c r="BJ59" s="331"/>
      <c r="BK59" s="331"/>
      <c r="BL59" s="331"/>
      <c r="BM59" s="331"/>
      <c r="BN59" s="331"/>
    </row>
    <row r="60" spans="2:66" x14ac:dyDescent="0.2">
      <c r="B60" s="330" t="s">
        <v>6</v>
      </c>
      <c r="C60" s="76" t="s">
        <v>41</v>
      </c>
      <c r="G60" s="331"/>
      <c r="H60" s="331"/>
      <c r="I60" s="331"/>
      <c r="J60" s="331">
        <f>J54*J55</f>
        <v>2683.1800000000003</v>
      </c>
      <c r="K60" s="331">
        <f t="shared" ref="K60:AZ60" si="22">K54*K55</f>
        <v>4112.17</v>
      </c>
      <c r="L60" s="331">
        <f t="shared" si="22"/>
        <v>5545.53</v>
      </c>
      <c r="M60" s="331">
        <f>M54*M55</f>
        <v>6974.52</v>
      </c>
      <c r="N60" s="331">
        <f t="shared" si="22"/>
        <v>19315.400000000001</v>
      </c>
      <c r="O60" s="331">
        <f t="shared" si="22"/>
        <v>8399.14</v>
      </c>
      <c r="P60" s="331">
        <f t="shared" si="22"/>
        <v>9832.5005030573648</v>
      </c>
      <c r="Q60" s="331">
        <f t="shared" si="22"/>
        <v>10038.983013621568</v>
      </c>
      <c r="R60" s="331">
        <f t="shared" si="22"/>
        <v>10038.983013621568</v>
      </c>
      <c r="S60" s="331">
        <f t="shared" si="22"/>
        <v>10038.983013621568</v>
      </c>
      <c r="T60" s="331">
        <f t="shared" si="22"/>
        <v>10038.983013621568</v>
      </c>
      <c r="U60" s="331">
        <f t="shared" si="22"/>
        <v>10038.983013621568</v>
      </c>
      <c r="V60" s="331">
        <f t="shared" si="22"/>
        <v>10038.983013621568</v>
      </c>
      <c r="W60" s="331">
        <f t="shared" si="22"/>
        <v>10038.983013621568</v>
      </c>
      <c r="X60" s="331">
        <f t="shared" si="22"/>
        <v>10038.983013621568</v>
      </c>
      <c r="Y60" s="331">
        <f t="shared" si="22"/>
        <v>10038.983013621568</v>
      </c>
      <c r="Z60" s="331">
        <f t="shared" si="22"/>
        <v>10038.983013621568</v>
      </c>
      <c r="AA60" s="331">
        <f>SUM(O60:Z60)</f>
        <v>118621.470639273</v>
      </c>
      <c r="AB60" s="331">
        <f t="shared" si="22"/>
        <v>10239.762673894</v>
      </c>
      <c r="AC60" s="331">
        <f t="shared" si="22"/>
        <v>10239.762673894</v>
      </c>
      <c r="AD60" s="331">
        <f t="shared" si="22"/>
        <v>10776.780787199998</v>
      </c>
      <c r="AE60" s="331">
        <f t="shared" si="22"/>
        <v>11313.799424399998</v>
      </c>
      <c r="AF60" s="331">
        <f t="shared" si="22"/>
        <v>11855.369066999998</v>
      </c>
      <c r="AG60" s="331">
        <f t="shared" si="22"/>
        <v>12392.387704199999</v>
      </c>
      <c r="AH60" s="331">
        <f t="shared" si="22"/>
        <v>12929.406341399997</v>
      </c>
      <c r="AI60" s="331">
        <f t="shared" si="22"/>
        <v>13470.975983999999</v>
      </c>
      <c r="AJ60" s="331">
        <f t="shared" si="22"/>
        <v>14007.994621199998</v>
      </c>
      <c r="AK60" s="331">
        <f t="shared" si="22"/>
        <v>14545.013258399998</v>
      </c>
      <c r="AL60" s="331">
        <f t="shared" si="22"/>
        <v>15086.582900999998</v>
      </c>
      <c r="AM60" s="331">
        <f t="shared" si="22"/>
        <v>15623.601538199997</v>
      </c>
      <c r="AN60" s="331">
        <f>SUM(AB60:AM60)</f>
        <v>152481.43697478797</v>
      </c>
      <c r="AO60" s="331">
        <f t="shared" si="22"/>
        <v>16488.474604415998</v>
      </c>
      <c r="AP60" s="331">
        <f t="shared" si="22"/>
        <v>17036.233614360001</v>
      </c>
      <c r="AQ60" s="331">
        <f t="shared" si="22"/>
        <v>17583.992624303999</v>
      </c>
      <c r="AR60" s="331">
        <f t="shared" si="22"/>
        <v>18136.393659755999</v>
      </c>
      <c r="AS60" s="331">
        <f t="shared" si="22"/>
        <v>18684.152669699997</v>
      </c>
      <c r="AT60" s="331">
        <f t="shared" si="22"/>
        <v>19231.911679643999</v>
      </c>
      <c r="AU60" s="331">
        <f t="shared" si="22"/>
        <v>19784.312715095999</v>
      </c>
      <c r="AV60" s="331">
        <f t="shared" si="22"/>
        <v>20889.115563268177</v>
      </c>
      <c r="AW60" s="331">
        <f t="shared" si="22"/>
        <v>20889.115563268177</v>
      </c>
      <c r="AX60" s="331">
        <f t="shared" si="22"/>
        <v>20889.115563268177</v>
      </c>
      <c r="AY60" s="331">
        <f t="shared" si="22"/>
        <v>20889.115563268177</v>
      </c>
      <c r="AZ60" s="331">
        <f t="shared" si="22"/>
        <v>20889.115563268177</v>
      </c>
      <c r="BA60" s="331">
        <f>SUM(AO60:AZ60)</f>
        <v>231391.04938361689</v>
      </c>
      <c r="BB60" s="331">
        <f t="shared" ref="BB60:BN60" si="23">$G$54*BB55</f>
        <v>18152.616138216577</v>
      </c>
      <c r="BC60" s="331">
        <f t="shared" si="23"/>
        <v>18152.616138216577</v>
      </c>
      <c r="BD60" s="331">
        <f t="shared" si="23"/>
        <v>18152.616138216577</v>
      </c>
      <c r="BE60" s="331">
        <f t="shared" si="23"/>
        <v>18152.616138216577</v>
      </c>
      <c r="BF60" s="331">
        <f t="shared" si="23"/>
        <v>18152.616138216577</v>
      </c>
      <c r="BG60" s="331">
        <f t="shared" si="23"/>
        <v>18152.616138216577</v>
      </c>
      <c r="BH60" s="331">
        <f t="shared" si="23"/>
        <v>18152.616138216577</v>
      </c>
      <c r="BI60" s="331">
        <f t="shared" si="23"/>
        <v>18152.616138216577</v>
      </c>
      <c r="BJ60" s="331">
        <f t="shared" si="23"/>
        <v>18152.616138216577</v>
      </c>
      <c r="BK60" s="331">
        <f t="shared" si="23"/>
        <v>18152.616138216577</v>
      </c>
      <c r="BL60" s="331">
        <f t="shared" si="23"/>
        <v>18152.616138216577</v>
      </c>
      <c r="BM60" s="331">
        <f t="shared" si="23"/>
        <v>18152.616138216577</v>
      </c>
      <c r="BN60" s="331">
        <f t="shared" si="23"/>
        <v>217831.39365859891</v>
      </c>
    </row>
    <row r="61" spans="2:66" x14ac:dyDescent="0.2">
      <c r="B61" s="330" t="s">
        <v>7</v>
      </c>
      <c r="C61" s="76" t="s">
        <v>41</v>
      </c>
      <c r="G61" s="331"/>
      <c r="H61" s="331"/>
      <c r="I61" s="331"/>
      <c r="J61" s="331">
        <f>J54*J56</f>
        <v>3574.6600000000003</v>
      </c>
      <c r="K61" s="331">
        <f t="shared" ref="K61:AZ61" si="24">K54*K56</f>
        <v>5484.35</v>
      </c>
      <c r="L61" s="331">
        <f t="shared" si="24"/>
        <v>7389.67</v>
      </c>
      <c r="M61" s="331">
        <f t="shared" si="24"/>
        <v>9299.36</v>
      </c>
      <c r="N61" s="331">
        <f t="shared" si="24"/>
        <v>25748.04</v>
      </c>
      <c r="O61" s="331">
        <f t="shared" si="24"/>
        <v>11204.68</v>
      </c>
      <c r="P61" s="331">
        <f t="shared" si="24"/>
        <v>13110</v>
      </c>
      <c r="Q61" s="331">
        <f t="shared" si="24"/>
        <v>13385.31</v>
      </c>
      <c r="R61" s="331">
        <f t="shared" si="24"/>
        <v>13385.31</v>
      </c>
      <c r="S61" s="331">
        <f t="shared" si="24"/>
        <v>13385.31</v>
      </c>
      <c r="T61" s="331">
        <f t="shared" si="24"/>
        <v>13385.31</v>
      </c>
      <c r="U61" s="331">
        <f t="shared" si="24"/>
        <v>13385.31</v>
      </c>
      <c r="V61" s="331">
        <f t="shared" si="24"/>
        <v>13385.31</v>
      </c>
      <c r="W61" s="331">
        <f t="shared" si="24"/>
        <v>13385.31</v>
      </c>
      <c r="X61" s="331">
        <f t="shared" si="24"/>
        <v>13385.31</v>
      </c>
      <c r="Y61" s="331">
        <f t="shared" si="24"/>
        <v>13385.31</v>
      </c>
      <c r="Z61" s="331">
        <f t="shared" si="24"/>
        <v>13385.31</v>
      </c>
      <c r="AA61" s="331">
        <f t="shared" ref="AA61:AA63" si="25">SUM(O61:Z61)</f>
        <v>158167.78</v>
      </c>
      <c r="AB61" s="331">
        <f t="shared" si="24"/>
        <v>13653.016199999998</v>
      </c>
      <c r="AC61" s="331">
        <f t="shared" si="24"/>
        <v>13653.016199999998</v>
      </c>
      <c r="AD61" s="331">
        <f t="shared" si="24"/>
        <v>14372.075053199998</v>
      </c>
      <c r="AE61" s="331">
        <f t="shared" si="24"/>
        <v>15091.133906399999</v>
      </c>
      <c r="AF61" s="331">
        <f t="shared" si="24"/>
        <v>15810.192759599997</v>
      </c>
      <c r="AG61" s="331">
        <f t="shared" si="24"/>
        <v>16529.251612799999</v>
      </c>
      <c r="AH61" s="331">
        <f t="shared" si="24"/>
        <v>17248.310465999999</v>
      </c>
      <c r="AI61" s="331">
        <f t="shared" si="24"/>
        <v>17962.818313799999</v>
      </c>
      <c r="AJ61" s="331">
        <f t="shared" si="24"/>
        <v>18681.877166999999</v>
      </c>
      <c r="AK61" s="331">
        <f t="shared" si="24"/>
        <v>19400.936020199995</v>
      </c>
      <c r="AL61" s="331">
        <f t="shared" si="24"/>
        <v>20115.443867999998</v>
      </c>
      <c r="AM61" s="331">
        <f t="shared" si="24"/>
        <v>20834.502721199999</v>
      </c>
      <c r="AN61" s="331">
        <f t="shared" ref="AN61:AN63" si="26">SUM(AB61:AM61)</f>
        <v>203352.57428819998</v>
      </c>
      <c r="AO61" s="331">
        <f t="shared" si="24"/>
        <v>21984.632805887999</v>
      </c>
      <c r="AP61" s="331">
        <f t="shared" si="24"/>
        <v>22718.072836151998</v>
      </c>
      <c r="AQ61" s="331">
        <f t="shared" si="24"/>
        <v>23451.512866416</v>
      </c>
      <c r="AR61" s="331">
        <f t="shared" si="24"/>
        <v>24184.952896679999</v>
      </c>
      <c r="AS61" s="331">
        <f t="shared" si="24"/>
        <v>24918.392926943998</v>
      </c>
      <c r="AT61" s="331">
        <f t="shared" si="24"/>
        <v>25651.832957207997</v>
      </c>
      <c r="AU61" s="331">
        <f t="shared" si="24"/>
        <v>26380.630961963998</v>
      </c>
      <c r="AV61" s="331">
        <f t="shared" si="24"/>
        <v>27852.152659365911</v>
      </c>
      <c r="AW61" s="331">
        <f t="shared" si="24"/>
        <v>27852.152659365911</v>
      </c>
      <c r="AX61" s="331">
        <f t="shared" si="24"/>
        <v>27852.152659365911</v>
      </c>
      <c r="AY61" s="331">
        <f t="shared" si="24"/>
        <v>27852.152659365911</v>
      </c>
      <c r="AZ61" s="331">
        <f t="shared" si="24"/>
        <v>27852.152659365911</v>
      </c>
      <c r="BA61" s="331">
        <f t="shared" ref="BA61:BA63" si="27">SUM(AO61:AZ61)</f>
        <v>308550.79154808156</v>
      </c>
      <c r="BB61" s="331">
        <f t="shared" ref="BB61:BN61" si="28">$G$54*BB56</f>
        <v>24205.794014225045</v>
      </c>
      <c r="BC61" s="331">
        <f t="shared" si="28"/>
        <v>24205.794014225045</v>
      </c>
      <c r="BD61" s="331">
        <f t="shared" si="28"/>
        <v>24205.794014225045</v>
      </c>
      <c r="BE61" s="331">
        <f t="shared" si="28"/>
        <v>24205.794014225045</v>
      </c>
      <c r="BF61" s="331">
        <f t="shared" si="28"/>
        <v>24205.794014225045</v>
      </c>
      <c r="BG61" s="331">
        <f t="shared" si="28"/>
        <v>24205.794014225045</v>
      </c>
      <c r="BH61" s="331">
        <f t="shared" si="28"/>
        <v>24205.794014225045</v>
      </c>
      <c r="BI61" s="331">
        <f t="shared" si="28"/>
        <v>24205.794014225045</v>
      </c>
      <c r="BJ61" s="331">
        <f t="shared" si="28"/>
        <v>24205.794014225045</v>
      </c>
      <c r="BK61" s="331">
        <f t="shared" si="28"/>
        <v>24205.794014225045</v>
      </c>
      <c r="BL61" s="331">
        <f t="shared" si="28"/>
        <v>24205.794014225045</v>
      </c>
      <c r="BM61" s="331">
        <f t="shared" si="28"/>
        <v>24205.794014225045</v>
      </c>
      <c r="BN61" s="331">
        <f t="shared" si="28"/>
        <v>290469.52817070053</v>
      </c>
    </row>
    <row r="62" spans="2:66" x14ac:dyDescent="0.2">
      <c r="B62" s="330" t="s">
        <v>121</v>
      </c>
      <c r="C62" s="76" t="s">
        <v>41</v>
      </c>
      <c r="G62" s="331"/>
      <c r="H62" s="331"/>
      <c r="I62" s="331"/>
      <c r="J62" s="331">
        <f>J54*J57</f>
        <v>1787.3300000000002</v>
      </c>
      <c r="K62" s="331">
        <f t="shared" ref="K62:AZ62" si="29">K54*K57</f>
        <v>2739.9900000000002</v>
      </c>
      <c r="L62" s="331">
        <f t="shared" si="29"/>
        <v>3692.65</v>
      </c>
      <c r="M62" s="331">
        <f t="shared" si="29"/>
        <v>4645.3100000000004</v>
      </c>
      <c r="N62" s="331">
        <f t="shared" si="29"/>
        <v>12865.28</v>
      </c>
      <c r="O62" s="331">
        <f t="shared" si="29"/>
        <v>5602.34</v>
      </c>
      <c r="P62" s="331">
        <f t="shared" si="29"/>
        <v>6555</v>
      </c>
      <c r="Q62" s="331">
        <f t="shared" si="29"/>
        <v>6692.6549999999997</v>
      </c>
      <c r="R62" s="331">
        <f t="shared" si="29"/>
        <v>6692.6549999999997</v>
      </c>
      <c r="S62" s="331">
        <f t="shared" si="29"/>
        <v>6692.6549999999997</v>
      </c>
      <c r="T62" s="331">
        <f t="shared" si="29"/>
        <v>6692.6549999999997</v>
      </c>
      <c r="U62" s="331">
        <f t="shared" si="29"/>
        <v>6692.6549999999997</v>
      </c>
      <c r="V62" s="331">
        <f t="shared" si="29"/>
        <v>6692.6549999999997</v>
      </c>
      <c r="W62" s="331">
        <f t="shared" si="29"/>
        <v>6692.6549999999997</v>
      </c>
      <c r="X62" s="331">
        <f t="shared" si="29"/>
        <v>6692.6549999999997</v>
      </c>
      <c r="Y62" s="331">
        <f t="shared" si="29"/>
        <v>6692.6549999999997</v>
      </c>
      <c r="Z62" s="331">
        <f t="shared" si="29"/>
        <v>6692.6549999999997</v>
      </c>
      <c r="AA62" s="331">
        <f t="shared" si="25"/>
        <v>79083.89</v>
      </c>
      <c r="AB62" s="331">
        <f t="shared" si="29"/>
        <v>6826.5080999999991</v>
      </c>
      <c r="AC62" s="331">
        <f t="shared" si="29"/>
        <v>6826.5080999999991</v>
      </c>
      <c r="AD62" s="331">
        <f t="shared" si="29"/>
        <v>7186.0375265999992</v>
      </c>
      <c r="AE62" s="331">
        <f t="shared" si="29"/>
        <v>7545.5669531999993</v>
      </c>
      <c r="AF62" s="331">
        <f t="shared" si="29"/>
        <v>7905.0963797999984</v>
      </c>
      <c r="AG62" s="331">
        <f t="shared" si="29"/>
        <v>8264.6258063999994</v>
      </c>
      <c r="AH62" s="331">
        <f t="shared" si="29"/>
        <v>8624.1552329999995</v>
      </c>
      <c r="AI62" s="331">
        <f t="shared" si="29"/>
        <v>8983.6846595999978</v>
      </c>
      <c r="AJ62" s="331">
        <f t="shared" si="29"/>
        <v>9343.2140861999978</v>
      </c>
      <c r="AK62" s="331">
        <f t="shared" si="29"/>
        <v>9702.7435127999979</v>
      </c>
      <c r="AL62" s="331">
        <f t="shared" si="29"/>
        <v>10057.721933999999</v>
      </c>
      <c r="AM62" s="331">
        <f t="shared" si="29"/>
        <v>10417.251360599999</v>
      </c>
      <c r="AN62" s="331">
        <f t="shared" si="26"/>
        <v>101683.11365219997</v>
      </c>
      <c r="AO62" s="331">
        <f t="shared" si="29"/>
        <v>10992.316402943999</v>
      </c>
      <c r="AP62" s="331">
        <f t="shared" si="29"/>
        <v>11359.036418075999</v>
      </c>
      <c r="AQ62" s="331">
        <f t="shared" si="29"/>
        <v>11725.756433208</v>
      </c>
      <c r="AR62" s="331">
        <f t="shared" si="29"/>
        <v>12087.834422831998</v>
      </c>
      <c r="AS62" s="331">
        <f t="shared" si="29"/>
        <v>12454.554437964</v>
      </c>
      <c r="AT62" s="331">
        <f t="shared" si="29"/>
        <v>12821.274453095999</v>
      </c>
      <c r="AU62" s="331">
        <f t="shared" si="29"/>
        <v>13187.994468227998</v>
      </c>
      <c r="AV62" s="331">
        <f t="shared" si="29"/>
        <v>13926.076329682955</v>
      </c>
      <c r="AW62" s="331">
        <f t="shared" si="29"/>
        <v>13926.076329682955</v>
      </c>
      <c r="AX62" s="331">
        <f t="shared" si="29"/>
        <v>13926.076329682955</v>
      </c>
      <c r="AY62" s="331">
        <f t="shared" si="29"/>
        <v>13926.076329682955</v>
      </c>
      <c r="AZ62" s="331">
        <f t="shared" si="29"/>
        <v>13926.076329682955</v>
      </c>
      <c r="BA62" s="331">
        <f t="shared" si="27"/>
        <v>154259.14868476277</v>
      </c>
      <c r="BB62" s="331">
        <f t="shared" ref="BB62:BN62" si="30">$G$54*BB57</f>
        <v>12101.622423779188</v>
      </c>
      <c r="BC62" s="331">
        <f t="shared" si="30"/>
        <v>12101.622423779188</v>
      </c>
      <c r="BD62" s="331">
        <f t="shared" si="30"/>
        <v>12101.622423779188</v>
      </c>
      <c r="BE62" s="331">
        <f t="shared" si="30"/>
        <v>12101.622423779188</v>
      </c>
      <c r="BF62" s="331">
        <f t="shared" si="30"/>
        <v>12101.622423779188</v>
      </c>
      <c r="BG62" s="331">
        <f t="shared" si="30"/>
        <v>12101.622423779188</v>
      </c>
      <c r="BH62" s="331">
        <f t="shared" si="30"/>
        <v>12101.622423779188</v>
      </c>
      <c r="BI62" s="331">
        <f t="shared" si="30"/>
        <v>12101.622423779188</v>
      </c>
      <c r="BJ62" s="331">
        <f t="shared" si="30"/>
        <v>12101.622423779188</v>
      </c>
      <c r="BK62" s="331">
        <f t="shared" si="30"/>
        <v>12101.622423779188</v>
      </c>
      <c r="BL62" s="331">
        <f t="shared" si="30"/>
        <v>12101.622423779188</v>
      </c>
      <c r="BM62" s="331">
        <f t="shared" si="30"/>
        <v>12101.622423779188</v>
      </c>
      <c r="BN62" s="331">
        <f t="shared" si="30"/>
        <v>145219.46908535025</v>
      </c>
    </row>
    <row r="63" spans="2:66" x14ac:dyDescent="0.2">
      <c r="B63" s="330" t="s">
        <v>128</v>
      </c>
      <c r="C63" s="76" t="s">
        <v>41</v>
      </c>
      <c r="G63" s="331"/>
      <c r="H63" s="331"/>
      <c r="I63" s="331"/>
      <c r="J63" s="331">
        <f>J54*J58</f>
        <v>1787.3300000000002</v>
      </c>
      <c r="K63" s="331">
        <f t="shared" ref="K63:AZ63" si="31">K54*K58</f>
        <v>2739.9900000000002</v>
      </c>
      <c r="L63" s="331">
        <f t="shared" si="31"/>
        <v>3692.65</v>
      </c>
      <c r="M63" s="331">
        <f t="shared" si="31"/>
        <v>4645.3100000000004</v>
      </c>
      <c r="N63" s="331">
        <f t="shared" si="31"/>
        <v>12865.28</v>
      </c>
      <c r="O63" s="331">
        <f t="shared" si="31"/>
        <v>5602.34</v>
      </c>
      <c r="P63" s="331">
        <f t="shared" si="31"/>
        <v>6555</v>
      </c>
      <c r="Q63" s="331">
        <f t="shared" si="31"/>
        <v>6692.6549999999997</v>
      </c>
      <c r="R63" s="331">
        <f t="shared" si="31"/>
        <v>6692.6549999999997</v>
      </c>
      <c r="S63" s="331">
        <f t="shared" si="31"/>
        <v>6692.6549999999997</v>
      </c>
      <c r="T63" s="331">
        <f t="shared" si="31"/>
        <v>6692.6549999999997</v>
      </c>
      <c r="U63" s="331">
        <f t="shared" si="31"/>
        <v>6692.6549999999997</v>
      </c>
      <c r="V63" s="331">
        <f t="shared" si="31"/>
        <v>6692.6549999999997</v>
      </c>
      <c r="W63" s="331">
        <f t="shared" si="31"/>
        <v>6692.6549999999997</v>
      </c>
      <c r="X63" s="331">
        <f t="shared" si="31"/>
        <v>6692.6549999999997</v>
      </c>
      <c r="Y63" s="331">
        <f t="shared" si="31"/>
        <v>6692.6549999999997</v>
      </c>
      <c r="Z63" s="331">
        <f t="shared" si="31"/>
        <v>6692.6549999999997</v>
      </c>
      <c r="AA63" s="331">
        <f t="shared" si="25"/>
        <v>79083.89</v>
      </c>
      <c r="AB63" s="331">
        <f t="shared" si="31"/>
        <v>6826.5080999999991</v>
      </c>
      <c r="AC63" s="331">
        <f t="shared" si="31"/>
        <v>6826.5080999999991</v>
      </c>
      <c r="AD63" s="331">
        <f t="shared" si="31"/>
        <v>7186.0375265999992</v>
      </c>
      <c r="AE63" s="331">
        <f t="shared" si="31"/>
        <v>7545.5669531999993</v>
      </c>
      <c r="AF63" s="331">
        <f t="shared" si="31"/>
        <v>7900.5453743999988</v>
      </c>
      <c r="AG63" s="331">
        <f t="shared" si="31"/>
        <v>8260.0748009999988</v>
      </c>
      <c r="AH63" s="331">
        <f t="shared" si="31"/>
        <v>8619.6042275999989</v>
      </c>
      <c r="AI63" s="331">
        <f t="shared" si="31"/>
        <v>8979.133654199999</v>
      </c>
      <c r="AJ63" s="331">
        <f t="shared" si="31"/>
        <v>9338.6630807999991</v>
      </c>
      <c r="AK63" s="331">
        <f t="shared" si="31"/>
        <v>9698.1925073999992</v>
      </c>
      <c r="AL63" s="331">
        <f t="shared" si="31"/>
        <v>10062.272939399998</v>
      </c>
      <c r="AM63" s="331">
        <f t="shared" si="31"/>
        <v>10421.802365999998</v>
      </c>
      <c r="AN63" s="331">
        <f t="shared" si="26"/>
        <v>101664.9096306</v>
      </c>
      <c r="AO63" s="331">
        <f t="shared" si="31"/>
        <v>10992.316402943999</v>
      </c>
      <c r="AP63" s="331">
        <f t="shared" si="31"/>
        <v>11359.036418075999</v>
      </c>
      <c r="AQ63" s="331">
        <f t="shared" si="31"/>
        <v>11725.756433208</v>
      </c>
      <c r="AR63" s="331">
        <f t="shared" si="31"/>
        <v>12092.476448339999</v>
      </c>
      <c r="AS63" s="331">
        <f t="shared" si="31"/>
        <v>12459.196463471999</v>
      </c>
      <c r="AT63" s="331">
        <f t="shared" si="31"/>
        <v>12825.916478603998</v>
      </c>
      <c r="AU63" s="331">
        <f t="shared" si="31"/>
        <v>13192.636493735999</v>
      </c>
      <c r="AV63" s="331">
        <f t="shared" si="31"/>
        <v>13926.076329682955</v>
      </c>
      <c r="AW63" s="331">
        <f t="shared" si="31"/>
        <v>13926.076329682955</v>
      </c>
      <c r="AX63" s="331">
        <f t="shared" si="31"/>
        <v>13926.076329682955</v>
      </c>
      <c r="AY63" s="331">
        <f t="shared" si="31"/>
        <v>13926.076329682955</v>
      </c>
      <c r="AZ63" s="331">
        <f t="shared" si="31"/>
        <v>13926.076329682955</v>
      </c>
      <c r="BA63" s="331">
        <f t="shared" si="27"/>
        <v>154277.71678679477</v>
      </c>
      <c r="BB63" s="331">
        <f t="shared" ref="BB63:BN63" si="32">$G$54*BB58</f>
        <v>12103.079090445854</v>
      </c>
      <c r="BC63" s="331">
        <f t="shared" si="32"/>
        <v>12103.079090445854</v>
      </c>
      <c r="BD63" s="331">
        <f t="shared" si="32"/>
        <v>12103.079090445854</v>
      </c>
      <c r="BE63" s="331">
        <f t="shared" si="32"/>
        <v>12103.079090445854</v>
      </c>
      <c r="BF63" s="331">
        <f t="shared" si="32"/>
        <v>12103.079090445854</v>
      </c>
      <c r="BG63" s="331">
        <f t="shared" si="32"/>
        <v>12103.079090445854</v>
      </c>
      <c r="BH63" s="331">
        <f t="shared" si="32"/>
        <v>12103.079090445854</v>
      </c>
      <c r="BI63" s="331">
        <f t="shared" si="32"/>
        <v>12103.079090445854</v>
      </c>
      <c r="BJ63" s="331">
        <f t="shared" si="32"/>
        <v>12103.079090445854</v>
      </c>
      <c r="BK63" s="331">
        <f t="shared" si="32"/>
        <v>12103.079090445854</v>
      </c>
      <c r="BL63" s="331">
        <f t="shared" si="32"/>
        <v>12103.079090445854</v>
      </c>
      <c r="BM63" s="331">
        <f t="shared" si="32"/>
        <v>12103.079090445854</v>
      </c>
      <c r="BN63" s="331">
        <f t="shared" si="32"/>
        <v>145236.94908535026</v>
      </c>
    </row>
    <row r="64" spans="2:66" x14ac:dyDescent="0.2">
      <c r="B64" s="330"/>
      <c r="C64" s="329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1"/>
      <c r="AP64" s="331"/>
      <c r="AQ64" s="331"/>
      <c r="AR64" s="331"/>
      <c r="AS64" s="331"/>
      <c r="AT64" s="331"/>
      <c r="AU64" s="331"/>
      <c r="AV64" s="331"/>
      <c r="AW64" s="331"/>
      <c r="AX64" s="331"/>
      <c r="AY64" s="331"/>
      <c r="AZ64" s="331"/>
      <c r="BA64" s="331"/>
      <c r="BB64" s="331"/>
      <c r="BC64" s="331"/>
      <c r="BD64" s="331"/>
      <c r="BE64" s="331"/>
      <c r="BF64" s="331"/>
      <c r="BG64" s="331"/>
      <c r="BH64" s="331"/>
      <c r="BI64" s="331"/>
      <c r="BJ64" s="331"/>
      <c r="BK64" s="331"/>
      <c r="BL64" s="331"/>
      <c r="BM64" s="331"/>
      <c r="BN64" s="331"/>
    </row>
    <row r="65" spans="2:66" x14ac:dyDescent="0.2">
      <c r="B65" s="133" t="s">
        <v>127</v>
      </c>
      <c r="C65" s="133" t="s">
        <v>48</v>
      </c>
      <c r="D65" s="332"/>
      <c r="E65" s="332"/>
      <c r="F65" s="332"/>
      <c r="G65" s="333"/>
      <c r="H65" s="333"/>
      <c r="I65" s="333"/>
      <c r="J65" s="333">
        <f t="shared" ref="J65:BN65" si="33">SUM(J60:J63)</f>
        <v>9832.5</v>
      </c>
      <c r="K65" s="333">
        <f t="shared" si="33"/>
        <v>15076.5</v>
      </c>
      <c r="L65" s="333">
        <f t="shared" si="33"/>
        <v>20320.500000000004</v>
      </c>
      <c r="M65" s="333">
        <f t="shared" si="33"/>
        <v>25564.500000000004</v>
      </c>
      <c r="N65" s="333">
        <f t="shared" si="33"/>
        <v>70794</v>
      </c>
      <c r="O65" s="333">
        <f t="shared" si="33"/>
        <v>30808.5</v>
      </c>
      <c r="P65" s="333">
        <f t="shared" si="33"/>
        <v>36052.500503057367</v>
      </c>
      <c r="Q65" s="333">
        <f t="shared" si="33"/>
        <v>36809.603013621563</v>
      </c>
      <c r="R65" s="333">
        <f t="shared" si="33"/>
        <v>36809.603013621563</v>
      </c>
      <c r="S65" s="333">
        <f t="shared" si="33"/>
        <v>36809.603013621563</v>
      </c>
      <c r="T65" s="333">
        <f t="shared" si="33"/>
        <v>36809.603013621563</v>
      </c>
      <c r="U65" s="333">
        <f t="shared" si="33"/>
        <v>36809.603013621563</v>
      </c>
      <c r="V65" s="333">
        <f t="shared" si="33"/>
        <v>36809.603013621563</v>
      </c>
      <c r="W65" s="333">
        <f t="shared" si="33"/>
        <v>36809.603013621563</v>
      </c>
      <c r="X65" s="333">
        <f t="shared" si="33"/>
        <v>36809.603013621563</v>
      </c>
      <c r="Y65" s="333">
        <f t="shared" si="33"/>
        <v>36809.603013621563</v>
      </c>
      <c r="Z65" s="333">
        <f t="shared" si="33"/>
        <v>36809.603013621563</v>
      </c>
      <c r="AA65" s="333">
        <f>SUM(AA60:AA63)</f>
        <v>434957.030639273</v>
      </c>
      <c r="AB65" s="333">
        <f>SUM(AB60:AB63)</f>
        <v>37545.795073893998</v>
      </c>
      <c r="AC65" s="333">
        <f t="shared" si="33"/>
        <v>37545.795073893998</v>
      </c>
      <c r="AD65" s="333">
        <f t="shared" si="33"/>
        <v>39520.930893599994</v>
      </c>
      <c r="AE65" s="333">
        <f t="shared" si="33"/>
        <v>41496.067237199997</v>
      </c>
      <c r="AF65" s="333">
        <f t="shared" si="33"/>
        <v>43471.203580799993</v>
      </c>
      <c r="AG65" s="333">
        <f t="shared" si="33"/>
        <v>45446.339924399988</v>
      </c>
      <c r="AH65" s="333">
        <f t="shared" si="33"/>
        <v>47421.476267999999</v>
      </c>
      <c r="AI65" s="333">
        <f t="shared" si="33"/>
        <v>49396.612611599994</v>
      </c>
      <c r="AJ65" s="333">
        <f t="shared" si="33"/>
        <v>51371.748955199997</v>
      </c>
      <c r="AK65" s="333">
        <f t="shared" si="33"/>
        <v>53346.885298799985</v>
      </c>
      <c r="AL65" s="333">
        <f t="shared" si="33"/>
        <v>55322.021642399995</v>
      </c>
      <c r="AM65" s="333">
        <f t="shared" si="33"/>
        <v>57297.157985999991</v>
      </c>
      <c r="AN65" s="333">
        <f t="shared" si="33"/>
        <v>559182.03454578796</v>
      </c>
      <c r="AO65" s="333">
        <f t="shared" si="33"/>
        <v>60457.740216192004</v>
      </c>
      <c r="AP65" s="333">
        <f t="shared" si="33"/>
        <v>62472.379286664</v>
      </c>
      <c r="AQ65" s="333">
        <f t="shared" si="33"/>
        <v>64487.018357135996</v>
      </c>
      <c r="AR65" s="333">
        <f t="shared" si="33"/>
        <v>66501.657427607992</v>
      </c>
      <c r="AS65" s="333">
        <f t="shared" si="33"/>
        <v>68516.296498079988</v>
      </c>
      <c r="AT65" s="333">
        <f t="shared" si="33"/>
        <v>70530.935568551999</v>
      </c>
      <c r="AU65" s="333">
        <f t="shared" si="33"/>
        <v>72545.574639023995</v>
      </c>
      <c r="AV65" s="333">
        <f t="shared" si="33"/>
        <v>76593.420881999991</v>
      </c>
      <c r="AW65" s="333">
        <f t="shared" si="33"/>
        <v>76593.420881999991</v>
      </c>
      <c r="AX65" s="333">
        <f t="shared" si="33"/>
        <v>76593.420881999991</v>
      </c>
      <c r="AY65" s="333">
        <f t="shared" si="33"/>
        <v>76593.420881999991</v>
      </c>
      <c r="AZ65" s="333">
        <f t="shared" si="33"/>
        <v>76593.420881999991</v>
      </c>
      <c r="BA65" s="333">
        <f t="shared" si="33"/>
        <v>848478.70640325593</v>
      </c>
      <c r="BB65" s="333">
        <f t="shared" si="33"/>
        <v>66563.111666666664</v>
      </c>
      <c r="BC65" s="333">
        <f t="shared" si="33"/>
        <v>66563.111666666664</v>
      </c>
      <c r="BD65" s="333">
        <f t="shared" si="33"/>
        <v>66563.111666666664</v>
      </c>
      <c r="BE65" s="333">
        <f t="shared" si="33"/>
        <v>66563.111666666664</v>
      </c>
      <c r="BF65" s="333">
        <f t="shared" si="33"/>
        <v>66563.111666666664</v>
      </c>
      <c r="BG65" s="333">
        <f t="shared" si="33"/>
        <v>66563.111666666664</v>
      </c>
      <c r="BH65" s="333">
        <f t="shared" si="33"/>
        <v>66563.111666666664</v>
      </c>
      <c r="BI65" s="333">
        <f t="shared" si="33"/>
        <v>66563.111666666664</v>
      </c>
      <c r="BJ65" s="333">
        <f t="shared" si="33"/>
        <v>66563.111666666664</v>
      </c>
      <c r="BK65" s="333">
        <f t="shared" si="33"/>
        <v>66563.111666666664</v>
      </c>
      <c r="BL65" s="333">
        <f t="shared" si="33"/>
        <v>66563.111666666664</v>
      </c>
      <c r="BM65" s="333">
        <f t="shared" si="33"/>
        <v>66563.111666666664</v>
      </c>
      <c r="BN65" s="333">
        <f t="shared" si="33"/>
        <v>798757.34</v>
      </c>
    </row>
    <row r="67" spans="2:66" x14ac:dyDescent="0.2">
      <c r="B67" s="80" t="s">
        <v>99</v>
      </c>
    </row>
    <row r="68" spans="2:66" x14ac:dyDescent="0.2">
      <c r="B68" s="80" t="s">
        <v>21</v>
      </c>
    </row>
    <row r="69" spans="2:66" x14ac:dyDescent="0.2">
      <c r="B69" s="76" t="s">
        <v>21</v>
      </c>
      <c r="C69" s="76" t="s">
        <v>10</v>
      </c>
      <c r="J69" s="76">
        <f>Assumptions!J76</f>
        <v>5.128205128205128E-2</v>
      </c>
      <c r="K69" s="76">
        <f>Assumptions!K76</f>
        <v>5.128205128205128E-2</v>
      </c>
      <c r="L69" s="76">
        <f>Assumptions!L76</f>
        <v>5.128205128205128E-2</v>
      </c>
      <c r="M69" s="76">
        <f>Assumptions!M76</f>
        <v>5.128205128205128E-2</v>
      </c>
      <c r="N69" s="76">
        <f>Assumptions!N76</f>
        <v>5.128205128205128E-2</v>
      </c>
      <c r="O69" s="76">
        <f>Assumptions!O76</f>
        <v>5.128205128205128E-2</v>
      </c>
      <c r="P69" s="76">
        <f>Assumptions!P76</f>
        <v>5.128205128205128E-2</v>
      </c>
      <c r="Q69" s="76">
        <f>Assumptions!Q76</f>
        <v>5.235897435897436E-2</v>
      </c>
      <c r="R69" s="76">
        <f>Assumptions!R76</f>
        <v>5.235897435897436E-2</v>
      </c>
      <c r="S69" s="76">
        <f>Assumptions!S76</f>
        <v>5.235897435897436E-2</v>
      </c>
      <c r="T69" s="76">
        <f>Assumptions!T76</f>
        <v>5.235897435897436E-2</v>
      </c>
      <c r="U69" s="76">
        <f>Assumptions!U76</f>
        <v>5.235897435897436E-2</v>
      </c>
      <c r="V69" s="76">
        <f>Assumptions!V76</f>
        <v>5.235897435897436E-2</v>
      </c>
      <c r="W69" s="76">
        <f>Assumptions!W76</f>
        <v>5.235897435897436E-2</v>
      </c>
      <c r="X69" s="76">
        <f>Assumptions!X76</f>
        <v>5.235897435897436E-2</v>
      </c>
      <c r="Y69" s="76">
        <f>Assumptions!Y76</f>
        <v>5.235897435897436E-2</v>
      </c>
      <c r="Z69" s="76">
        <f>Assumptions!Z76</f>
        <v>5.235897435897436E-2</v>
      </c>
      <c r="AA69" s="76">
        <f>Assumptions!AA76</f>
        <v>5.235897435897436E-2</v>
      </c>
      <c r="AB69" s="76">
        <f>Assumptions!AB76</f>
        <v>5.3406153846153839E-2</v>
      </c>
      <c r="AC69" s="76">
        <f>Assumptions!AC76</f>
        <v>5.3406153846153839E-2</v>
      </c>
      <c r="AD69" s="76">
        <f>Assumptions!AD76</f>
        <v>5.3406153846153839E-2</v>
      </c>
      <c r="AE69" s="76">
        <f>Assumptions!AE76</f>
        <v>5.3406153846153839E-2</v>
      </c>
      <c r="AF69" s="76">
        <f>Assumptions!AF76</f>
        <v>5.3406153846153839E-2</v>
      </c>
      <c r="AG69" s="76">
        <f>Assumptions!AG76</f>
        <v>5.3406153846153839E-2</v>
      </c>
      <c r="AH69" s="76">
        <f>Assumptions!AH76</f>
        <v>5.3406153846153839E-2</v>
      </c>
      <c r="AI69" s="76">
        <f>Assumptions!AI76</f>
        <v>5.3406153846153839E-2</v>
      </c>
      <c r="AJ69" s="76">
        <f>Assumptions!AJ76</f>
        <v>5.3406153846153839E-2</v>
      </c>
      <c r="AK69" s="76">
        <f>Assumptions!AK76</f>
        <v>5.3406153846153839E-2</v>
      </c>
      <c r="AL69" s="76">
        <f>Assumptions!AL76</f>
        <v>5.3406153846153839E-2</v>
      </c>
      <c r="AM69" s="76">
        <f>Assumptions!AM76</f>
        <v>5.3406153846153839E-2</v>
      </c>
      <c r="AN69" s="76">
        <f>Assumptions!AN76</f>
        <v>5.3406153846153839E-2</v>
      </c>
      <c r="AO69" s="76">
        <f>Assumptions!AO76</f>
        <v>5.4474276923076929E-2</v>
      </c>
      <c r="AP69" s="76">
        <f>Assumptions!AP76</f>
        <v>5.4474276923076929E-2</v>
      </c>
      <c r="AQ69" s="76">
        <f>Assumptions!AQ76</f>
        <v>5.4474276923076929E-2</v>
      </c>
      <c r="AR69" s="76">
        <f>Assumptions!AR76</f>
        <v>5.4474276923076929E-2</v>
      </c>
      <c r="AS69" s="76">
        <f>Assumptions!AS76</f>
        <v>5.4474276923076929E-2</v>
      </c>
      <c r="AT69" s="76">
        <f>Assumptions!AT76</f>
        <v>5.4474276923076929E-2</v>
      </c>
      <c r="AU69" s="76">
        <f>Assumptions!AU76</f>
        <v>5.4474276923076929E-2</v>
      </c>
      <c r="AV69" s="76">
        <f>Assumptions!AV76</f>
        <v>5.4474276923076929E-2</v>
      </c>
      <c r="AW69" s="76">
        <f>Assumptions!AW76</f>
        <v>5.4474276923076929E-2</v>
      </c>
      <c r="AX69" s="76">
        <f>Assumptions!AX76</f>
        <v>5.4474276923076929E-2</v>
      </c>
      <c r="AY69" s="76">
        <f>Assumptions!AY76</f>
        <v>5.4474276923076929E-2</v>
      </c>
      <c r="AZ69" s="76">
        <f>Assumptions!AZ76</f>
        <v>5.4474276923076929E-2</v>
      </c>
      <c r="BA69" s="76">
        <f>Assumptions!BA76</f>
        <v>5.4474276923076929E-2</v>
      </c>
      <c r="BB69" s="76">
        <f>Assumptions!BB76</f>
        <v>5.5563762461538463E-2</v>
      </c>
      <c r="BC69" s="76">
        <f>Assumptions!BC76</f>
        <v>5.5563762461538463E-2</v>
      </c>
      <c r="BD69" s="76">
        <f>Assumptions!BD76</f>
        <v>5.5563762461538463E-2</v>
      </c>
      <c r="BE69" s="76">
        <f>Assumptions!BE76</f>
        <v>5.5563762461538463E-2</v>
      </c>
      <c r="BF69" s="76">
        <f>Assumptions!BF76</f>
        <v>5.5563762461538463E-2</v>
      </c>
      <c r="BG69" s="76">
        <f>Assumptions!BG76</f>
        <v>5.5563762461538463E-2</v>
      </c>
      <c r="BH69" s="76">
        <f>Assumptions!BH76</f>
        <v>5.5563762461538463E-2</v>
      </c>
      <c r="BI69" s="76">
        <f>Assumptions!BI76</f>
        <v>5.5563762461538463E-2</v>
      </c>
      <c r="BJ69" s="76">
        <f>Assumptions!BJ76</f>
        <v>5.5563762461538463E-2</v>
      </c>
      <c r="BK69" s="76">
        <f>Assumptions!BK76</f>
        <v>5.5563762461538463E-2</v>
      </c>
      <c r="BL69" s="76">
        <f>Assumptions!BL76</f>
        <v>5.5563762461538463E-2</v>
      </c>
      <c r="BM69" s="76">
        <f>Assumptions!BM76</f>
        <v>5.5563762461538463E-2</v>
      </c>
      <c r="BN69" s="76">
        <f>Assumptions!BN76</f>
        <v>5.5563762461538463E-2</v>
      </c>
    </row>
    <row r="70" spans="2:66" x14ac:dyDescent="0.2">
      <c r="B70" s="76" t="s">
        <v>385</v>
      </c>
      <c r="C70" s="76" t="s">
        <v>28</v>
      </c>
      <c r="G70" s="331"/>
      <c r="H70" s="331"/>
      <c r="I70" s="331"/>
      <c r="J70" s="331">
        <f>Assumptions!J22</f>
        <v>2250</v>
      </c>
      <c r="K70" s="331">
        <f>Assumptions!K22</f>
        <v>3450.0000230232213</v>
      </c>
      <c r="L70" s="331">
        <f>Assumptions!L22</f>
        <v>4650.0000460464416</v>
      </c>
      <c r="M70" s="331">
        <f>Assumptions!M22</f>
        <v>5850.0000690696615</v>
      </c>
      <c r="N70" s="331">
        <f>Assumptions!N22</f>
        <v>16200.000138139325</v>
      </c>
      <c r="O70" s="331">
        <f>Assumptions!O22</f>
        <v>7050.0000920928815</v>
      </c>
      <c r="P70" s="331">
        <f>Assumptions!P22</f>
        <v>8250.0001151161014</v>
      </c>
      <c r="Q70" s="331">
        <f>Assumptions!Q22</f>
        <v>8250.0001151161014</v>
      </c>
      <c r="R70" s="331">
        <f>Assumptions!R22</f>
        <v>8250.0001151161014</v>
      </c>
      <c r="S70" s="331">
        <f>Assumptions!S22</f>
        <v>8250.0001151161014</v>
      </c>
      <c r="T70" s="331">
        <f>Assumptions!T22</f>
        <v>8250.0001151161014</v>
      </c>
      <c r="U70" s="331">
        <f>Assumptions!U22</f>
        <v>8250.0001151161014</v>
      </c>
      <c r="V70" s="331">
        <f>Assumptions!V22</f>
        <v>8250.0001151161014</v>
      </c>
      <c r="W70" s="331">
        <f>Assumptions!W22</f>
        <v>8250.0001151161014</v>
      </c>
      <c r="X70" s="331">
        <f>Assumptions!X22</f>
        <v>8250.0001151161014</v>
      </c>
      <c r="Y70" s="331">
        <f>Assumptions!Y22</f>
        <v>8250.0001151161014</v>
      </c>
      <c r="Z70" s="331">
        <f>Assumptions!Z22</f>
        <v>8250.0001151161014</v>
      </c>
      <c r="AA70" s="331">
        <f>Assumptions!AA22</f>
        <v>97800.001266277119</v>
      </c>
      <c r="AB70" s="331">
        <f>Assumptions!AB22</f>
        <v>8250.0001151161014</v>
      </c>
      <c r="AC70" s="331">
        <f>Assumptions!AC22</f>
        <v>8250.0001151161014</v>
      </c>
      <c r="AD70" s="331">
        <f>Assumptions!AD22</f>
        <v>8684</v>
      </c>
      <c r="AE70" s="331">
        <f>Assumptions!AE22</f>
        <v>9118</v>
      </c>
      <c r="AF70" s="331">
        <f>Assumptions!AF22</f>
        <v>9552</v>
      </c>
      <c r="AG70" s="331">
        <f>Assumptions!AG22</f>
        <v>9986</v>
      </c>
      <c r="AH70" s="331">
        <f>Assumptions!AH22</f>
        <v>10420</v>
      </c>
      <c r="AI70" s="331">
        <f>Assumptions!AI22</f>
        <v>10854</v>
      </c>
      <c r="AJ70" s="331">
        <f>Assumptions!AJ22</f>
        <v>11288</v>
      </c>
      <c r="AK70" s="331">
        <f>Assumptions!AK22</f>
        <v>11722</v>
      </c>
      <c r="AL70" s="331">
        <f>Assumptions!AL22</f>
        <v>12156</v>
      </c>
      <c r="AM70" s="331">
        <f>Assumptions!AM22</f>
        <v>12590</v>
      </c>
      <c r="AN70" s="331">
        <f>Assumptions!AN22</f>
        <v>122870.0002302322</v>
      </c>
      <c r="AO70" s="331">
        <f>Assumptions!AO22</f>
        <v>13024</v>
      </c>
      <c r="AP70" s="331">
        <f>Assumptions!AP22</f>
        <v>13458</v>
      </c>
      <c r="AQ70" s="331">
        <f>Assumptions!AQ22</f>
        <v>13892</v>
      </c>
      <c r="AR70" s="331">
        <f>Assumptions!AR22</f>
        <v>14326</v>
      </c>
      <c r="AS70" s="331">
        <f>Assumptions!AS22</f>
        <v>14760</v>
      </c>
      <c r="AT70" s="331">
        <f>Assumptions!AT22</f>
        <v>15194</v>
      </c>
      <c r="AU70" s="331">
        <f>Assumptions!AU22</f>
        <v>15628</v>
      </c>
      <c r="AV70" s="331">
        <f>Assumptions!AV22</f>
        <v>16500</v>
      </c>
      <c r="AW70" s="331">
        <f>Assumptions!AW22</f>
        <v>16500</v>
      </c>
      <c r="AX70" s="331">
        <f>Assumptions!AX22</f>
        <v>16500</v>
      </c>
      <c r="AY70" s="331">
        <f>Assumptions!AY22</f>
        <v>16500</v>
      </c>
      <c r="AZ70" s="331">
        <f>Assumptions!AZ22</f>
        <v>16500</v>
      </c>
      <c r="BA70" s="331">
        <f>Assumptions!BA22</f>
        <v>182782</v>
      </c>
      <c r="BB70" s="331">
        <f>Assumptions!BB22</f>
        <v>15231.833333333332</v>
      </c>
      <c r="BC70" s="331">
        <f>Assumptions!BC22</f>
        <v>15231.833333333332</v>
      </c>
      <c r="BD70" s="331">
        <f>Assumptions!BD22</f>
        <v>15231.833333333332</v>
      </c>
      <c r="BE70" s="331">
        <f>Assumptions!BE22</f>
        <v>15231.833333333332</v>
      </c>
      <c r="BF70" s="331">
        <f>Assumptions!BF22</f>
        <v>15231.833333333332</v>
      </c>
      <c r="BG70" s="331">
        <f>Assumptions!BG22</f>
        <v>15231.833333333332</v>
      </c>
      <c r="BH70" s="331">
        <f>Assumptions!BH22</f>
        <v>15231.833333333332</v>
      </c>
      <c r="BI70" s="331">
        <f>Assumptions!BI22</f>
        <v>15231.833333333332</v>
      </c>
      <c r="BJ70" s="331">
        <f>Assumptions!BJ22</f>
        <v>15231.833333333332</v>
      </c>
      <c r="BK70" s="331">
        <f>Assumptions!BK22</f>
        <v>15231.833333333332</v>
      </c>
      <c r="BL70" s="331">
        <f>Assumptions!BL22</f>
        <v>15231.833333333332</v>
      </c>
      <c r="BM70" s="331">
        <f>Assumptions!BM22</f>
        <v>15231.833333333332</v>
      </c>
      <c r="BN70" s="331">
        <f>Assumptions!BN22</f>
        <v>182782</v>
      </c>
    </row>
    <row r="71" spans="2:66" x14ac:dyDescent="0.2">
      <c r="B71" s="78" t="s">
        <v>77</v>
      </c>
      <c r="C71" s="334" t="s">
        <v>78</v>
      </c>
      <c r="D71" s="78"/>
      <c r="E71" s="78"/>
      <c r="F71" s="78"/>
      <c r="G71" s="78"/>
      <c r="H71" s="78"/>
      <c r="I71" s="78"/>
      <c r="J71" s="78">
        <f>J70*J69</f>
        <v>115.38461538461539</v>
      </c>
      <c r="K71" s="78">
        <f t="shared" ref="K71:BN71" si="34">K70*K69</f>
        <v>176.92307810375493</v>
      </c>
      <c r="L71" s="78">
        <f t="shared" si="34"/>
        <v>238.46154082289445</v>
      </c>
      <c r="M71" s="78">
        <f t="shared" si="34"/>
        <v>300.00000354203394</v>
      </c>
      <c r="N71" s="335">
        <f t="shared" si="34"/>
        <v>830.7692378532987</v>
      </c>
      <c r="O71" s="78">
        <f t="shared" si="34"/>
        <v>361.53846626117337</v>
      </c>
      <c r="P71" s="78">
        <f t="shared" si="34"/>
        <v>423.07692898031286</v>
      </c>
      <c r="Q71" s="78">
        <f t="shared" si="34"/>
        <v>431.96154448889945</v>
      </c>
      <c r="R71" s="78">
        <f t="shared" si="34"/>
        <v>431.96154448889945</v>
      </c>
      <c r="S71" s="78">
        <f t="shared" si="34"/>
        <v>431.96154448889945</v>
      </c>
      <c r="T71" s="78">
        <f t="shared" si="34"/>
        <v>431.96154448889945</v>
      </c>
      <c r="U71" s="78">
        <f t="shared" si="34"/>
        <v>431.96154448889945</v>
      </c>
      <c r="V71" s="78">
        <f t="shared" si="34"/>
        <v>431.96154448889945</v>
      </c>
      <c r="W71" s="78">
        <f t="shared" si="34"/>
        <v>431.96154448889945</v>
      </c>
      <c r="X71" s="78">
        <f t="shared" si="34"/>
        <v>431.96154448889945</v>
      </c>
      <c r="Y71" s="78">
        <f t="shared" si="34"/>
        <v>431.96154448889945</v>
      </c>
      <c r="Z71" s="78">
        <f t="shared" si="34"/>
        <v>431.96154448889945</v>
      </c>
      <c r="AA71" s="335">
        <f>SUM(O71:Z71)</f>
        <v>5104.2308401304817</v>
      </c>
      <c r="AB71" s="78">
        <f t="shared" si="34"/>
        <v>440.60077537867738</v>
      </c>
      <c r="AC71" s="78">
        <f t="shared" si="34"/>
        <v>440.60077537867738</v>
      </c>
      <c r="AD71" s="78">
        <f t="shared" si="34"/>
        <v>463.77903999999995</v>
      </c>
      <c r="AE71" s="78">
        <f t="shared" si="34"/>
        <v>486.95731076923073</v>
      </c>
      <c r="AF71" s="78">
        <f t="shared" si="34"/>
        <v>510.13558153846145</v>
      </c>
      <c r="AG71" s="78">
        <f t="shared" si="34"/>
        <v>533.31385230769229</v>
      </c>
      <c r="AH71" s="78">
        <f t="shared" si="34"/>
        <v>556.49212307692301</v>
      </c>
      <c r="AI71" s="78">
        <f t="shared" si="34"/>
        <v>579.67039384615373</v>
      </c>
      <c r="AJ71" s="78">
        <f t="shared" si="34"/>
        <v>602.84866461538456</v>
      </c>
      <c r="AK71" s="78">
        <f t="shared" si="34"/>
        <v>626.02693538461529</v>
      </c>
      <c r="AL71" s="78">
        <f t="shared" si="34"/>
        <v>649.20520615384612</v>
      </c>
      <c r="AM71" s="78">
        <f t="shared" si="34"/>
        <v>672.38347692307684</v>
      </c>
      <c r="AN71" s="335">
        <f>SUM(AB71:AM71)</f>
        <v>6562.0141353727386</v>
      </c>
      <c r="AO71" s="78">
        <f t="shared" si="34"/>
        <v>709.47298264615392</v>
      </c>
      <c r="AP71" s="78">
        <f t="shared" si="34"/>
        <v>733.11481883076931</v>
      </c>
      <c r="AQ71" s="78">
        <f t="shared" si="34"/>
        <v>756.75665501538469</v>
      </c>
      <c r="AR71" s="78">
        <f t="shared" si="34"/>
        <v>780.39849120000008</v>
      </c>
      <c r="AS71" s="78">
        <f t="shared" si="34"/>
        <v>804.04032738461547</v>
      </c>
      <c r="AT71" s="78">
        <f t="shared" si="34"/>
        <v>827.68216356923085</v>
      </c>
      <c r="AU71" s="78">
        <f t="shared" si="34"/>
        <v>851.32399975384624</v>
      </c>
      <c r="AV71" s="78">
        <f t="shared" si="34"/>
        <v>898.82556923076936</v>
      </c>
      <c r="AW71" s="78">
        <f t="shared" si="34"/>
        <v>898.82556923076936</v>
      </c>
      <c r="AX71" s="78">
        <f t="shared" si="34"/>
        <v>898.82556923076936</v>
      </c>
      <c r="AY71" s="78">
        <f t="shared" si="34"/>
        <v>898.82556923076936</v>
      </c>
      <c r="AZ71" s="78">
        <f t="shared" si="34"/>
        <v>898.82556923076936</v>
      </c>
      <c r="BA71" s="335">
        <f>SUM(AO71:AZ71)</f>
        <v>9956.9172845538487</v>
      </c>
      <c r="BB71" s="78">
        <f t="shared" si="34"/>
        <v>846.33796918707685</v>
      </c>
      <c r="BC71" s="78">
        <f t="shared" si="34"/>
        <v>846.33796918707685</v>
      </c>
      <c r="BD71" s="78">
        <f t="shared" si="34"/>
        <v>846.33796918707685</v>
      </c>
      <c r="BE71" s="78">
        <f t="shared" si="34"/>
        <v>846.33796918707685</v>
      </c>
      <c r="BF71" s="78">
        <f t="shared" si="34"/>
        <v>846.33796918707685</v>
      </c>
      <c r="BG71" s="78">
        <f t="shared" si="34"/>
        <v>846.33796918707685</v>
      </c>
      <c r="BH71" s="78">
        <f t="shared" si="34"/>
        <v>846.33796918707685</v>
      </c>
      <c r="BI71" s="78">
        <f t="shared" si="34"/>
        <v>846.33796918707685</v>
      </c>
      <c r="BJ71" s="78">
        <f t="shared" si="34"/>
        <v>846.33796918707685</v>
      </c>
      <c r="BK71" s="78">
        <f t="shared" si="34"/>
        <v>846.33796918707685</v>
      </c>
      <c r="BL71" s="78">
        <f t="shared" si="34"/>
        <v>846.33796918707685</v>
      </c>
      <c r="BM71" s="78">
        <f t="shared" si="34"/>
        <v>846.33796918707685</v>
      </c>
      <c r="BN71" s="335">
        <f t="shared" si="34"/>
        <v>10156.055630244924</v>
      </c>
    </row>
    <row r="73" spans="2:66" x14ac:dyDescent="0.2">
      <c r="B73" s="80" t="s">
        <v>30</v>
      </c>
    </row>
    <row r="74" spans="2:66" x14ac:dyDescent="0.2">
      <c r="B74" s="76" t="s">
        <v>31</v>
      </c>
      <c r="C74" s="76" t="s">
        <v>32</v>
      </c>
      <c r="J74" s="76">
        <f>Assumptions!J84</f>
        <v>1.75</v>
      </c>
      <c r="K74" s="76">
        <f>Assumptions!K84</f>
        <v>1.75</v>
      </c>
      <c r="L74" s="76">
        <f>Assumptions!L84</f>
        <v>1.75</v>
      </c>
      <c r="M74" s="76">
        <f>Assumptions!M84</f>
        <v>1.75</v>
      </c>
      <c r="O74" s="76">
        <f>Assumptions!O84</f>
        <v>1.75</v>
      </c>
      <c r="P74" s="76">
        <f>Assumptions!P84</f>
        <v>1.75</v>
      </c>
      <c r="Q74" s="76">
        <f>Assumptions!Q84</f>
        <v>1.7867499999999998</v>
      </c>
      <c r="R74" s="76">
        <f>Assumptions!R84</f>
        <v>1.7867499999999998</v>
      </c>
      <c r="S74" s="76">
        <f>Assumptions!S84</f>
        <v>1.7867499999999998</v>
      </c>
      <c r="T74" s="76">
        <f>Assumptions!T84</f>
        <v>1.7867499999999998</v>
      </c>
      <c r="U74" s="76">
        <f>Assumptions!U84</f>
        <v>1.7867499999999998</v>
      </c>
      <c r="V74" s="76">
        <f>Assumptions!V84</f>
        <v>1.7867499999999998</v>
      </c>
      <c r="W74" s="76">
        <f>Assumptions!W84</f>
        <v>1.7867499999999998</v>
      </c>
      <c r="X74" s="76">
        <f>Assumptions!X84</f>
        <v>1.7867499999999998</v>
      </c>
      <c r="Y74" s="76">
        <f>Assumptions!Y84</f>
        <v>1.7867499999999998</v>
      </c>
      <c r="Z74" s="76">
        <f>Assumptions!Z84</f>
        <v>1.7867499999999998</v>
      </c>
      <c r="AA74" s="76">
        <f>Assumptions!AA84</f>
        <v>1.7867499999999998</v>
      </c>
      <c r="AB74" s="76">
        <f>Assumptions!AB84</f>
        <v>1.8224849999999999</v>
      </c>
      <c r="AC74" s="76">
        <f>Assumptions!AC84</f>
        <v>1.8224849999999999</v>
      </c>
      <c r="AD74" s="76">
        <f>Assumptions!AD84</f>
        <v>1.8224849999999999</v>
      </c>
      <c r="AE74" s="76">
        <f>Assumptions!AE84</f>
        <v>1.8224849999999999</v>
      </c>
      <c r="AF74" s="76">
        <f>Assumptions!AF84</f>
        <v>1.8224849999999999</v>
      </c>
      <c r="AG74" s="76">
        <f>Assumptions!AG84</f>
        <v>1.8224849999999999</v>
      </c>
      <c r="AH74" s="76">
        <f>Assumptions!AH84</f>
        <v>1.8224849999999999</v>
      </c>
      <c r="AI74" s="76">
        <f>Assumptions!AI84</f>
        <v>1.8224849999999999</v>
      </c>
      <c r="AJ74" s="76">
        <f>Assumptions!AJ84</f>
        <v>1.8224849999999999</v>
      </c>
      <c r="AK74" s="76">
        <f>Assumptions!AK84</f>
        <v>1.8224849999999999</v>
      </c>
      <c r="AL74" s="76">
        <f>Assumptions!AL84</f>
        <v>1.8224849999999999</v>
      </c>
      <c r="AM74" s="76">
        <f>Assumptions!AM84</f>
        <v>1.8224849999999999</v>
      </c>
      <c r="AN74" s="76">
        <f>Assumptions!AN84</f>
        <v>1.8224849999999999</v>
      </c>
      <c r="AO74" s="76">
        <f>Assumptions!AO84</f>
        <v>1.8589347000000001</v>
      </c>
      <c r="AP74" s="76">
        <f>Assumptions!AP84</f>
        <v>1.8589347000000001</v>
      </c>
      <c r="AQ74" s="76">
        <f>Assumptions!AQ84</f>
        <v>1.8589347000000001</v>
      </c>
      <c r="AR74" s="76">
        <f>Assumptions!AR84</f>
        <v>1.8589347000000001</v>
      </c>
      <c r="AS74" s="76">
        <f>Assumptions!AS84</f>
        <v>1.8589347000000001</v>
      </c>
      <c r="AT74" s="76">
        <f>Assumptions!AT84</f>
        <v>1.8589347000000001</v>
      </c>
      <c r="AU74" s="76">
        <f>Assumptions!AU84</f>
        <v>1.8589347000000001</v>
      </c>
      <c r="AV74" s="76">
        <f>Assumptions!AV84</f>
        <v>1.8589347000000001</v>
      </c>
      <c r="AW74" s="76">
        <f>Assumptions!AW84</f>
        <v>1.8589347000000001</v>
      </c>
      <c r="AX74" s="76">
        <f>Assumptions!AX84</f>
        <v>1.8589347000000001</v>
      </c>
      <c r="AY74" s="76">
        <f>Assumptions!AY84</f>
        <v>1.8589347000000001</v>
      </c>
      <c r="AZ74" s="76">
        <f>Assumptions!AZ84</f>
        <v>1.8589347000000001</v>
      </c>
      <c r="BA74" s="76">
        <f>Assumptions!BA84</f>
        <v>1.8589347000000001</v>
      </c>
      <c r="BB74" s="76">
        <f>Assumptions!BB84</f>
        <v>1.8961133940000001</v>
      </c>
      <c r="BC74" s="76">
        <f>Assumptions!BC84</f>
        <v>1.8961133940000001</v>
      </c>
      <c r="BD74" s="76">
        <f>Assumptions!BD84</f>
        <v>1.8961133940000001</v>
      </c>
      <c r="BE74" s="76">
        <f>Assumptions!BE84</f>
        <v>1.8961133940000001</v>
      </c>
      <c r="BF74" s="76">
        <f>Assumptions!BF84</f>
        <v>1.8961133940000001</v>
      </c>
      <c r="BG74" s="76">
        <f>Assumptions!BG84</f>
        <v>1.8961133940000001</v>
      </c>
      <c r="BH74" s="76">
        <f>Assumptions!BH84</f>
        <v>1.8961133940000001</v>
      </c>
      <c r="BI74" s="76">
        <f>Assumptions!BI84</f>
        <v>1.8961133940000001</v>
      </c>
      <c r="BJ74" s="76">
        <f>Assumptions!BJ84</f>
        <v>1.8961133940000001</v>
      </c>
      <c r="BK74" s="76">
        <f>Assumptions!BK84</f>
        <v>1.8961133940000001</v>
      </c>
      <c r="BL74" s="76">
        <f>Assumptions!BL84</f>
        <v>1.8961133940000001</v>
      </c>
      <c r="BM74" s="76">
        <f>Assumptions!BM84</f>
        <v>1.8961133940000001</v>
      </c>
      <c r="BN74" s="76">
        <f>Assumptions!BN84</f>
        <v>1.8961133940000001</v>
      </c>
    </row>
    <row r="75" spans="2:66" x14ac:dyDescent="0.2">
      <c r="B75" s="76" t="s">
        <v>23</v>
      </c>
      <c r="C75" s="76" t="s">
        <v>28</v>
      </c>
      <c r="J75" s="76">
        <f>Assumptions!J85</f>
        <v>30</v>
      </c>
      <c r="K75" s="76">
        <f>Assumptions!K85</f>
        <v>46.000000306976283</v>
      </c>
      <c r="L75" s="76">
        <f>Assumptions!L85</f>
        <v>62.000000613952558</v>
      </c>
      <c r="M75" s="76">
        <f>Assumptions!M85</f>
        <v>78.000000920928827</v>
      </c>
      <c r="O75" s="76">
        <f>Assumptions!O85</f>
        <v>94.000001227905088</v>
      </c>
      <c r="P75" s="76">
        <f>Assumptions!P85</f>
        <v>110.00000153488135</v>
      </c>
      <c r="Q75" s="76">
        <f>Assumptions!Q85</f>
        <v>110.00000153488135</v>
      </c>
      <c r="R75" s="76">
        <f>Assumptions!R85</f>
        <v>110.00000153488135</v>
      </c>
      <c r="S75" s="76">
        <f>Assumptions!S85</f>
        <v>110.00000153488135</v>
      </c>
      <c r="T75" s="76">
        <f>Assumptions!T85</f>
        <v>110.00000153488135</v>
      </c>
      <c r="U75" s="76">
        <f>Assumptions!U85</f>
        <v>110.00000153488135</v>
      </c>
      <c r="V75" s="76">
        <f>Assumptions!V85</f>
        <v>110.00000153488135</v>
      </c>
      <c r="W75" s="76">
        <f>Assumptions!W85</f>
        <v>110.00000153488135</v>
      </c>
      <c r="X75" s="76">
        <f>Assumptions!X85</f>
        <v>110.00000153488135</v>
      </c>
      <c r="Y75" s="76">
        <f>Assumptions!Y85</f>
        <v>110.00000153488135</v>
      </c>
      <c r="Z75" s="76">
        <f>Assumptions!Z85</f>
        <v>110.00000153488135</v>
      </c>
      <c r="AA75" s="76">
        <f>Assumptions!AA85</f>
        <v>1304.000016883695</v>
      </c>
      <c r="AB75" s="76">
        <f>Assumptions!AB85</f>
        <v>110.00000153488135</v>
      </c>
      <c r="AC75" s="76">
        <f>Assumptions!AC85</f>
        <v>110.00000153488135</v>
      </c>
      <c r="AD75" s="76">
        <f>Assumptions!AD85</f>
        <v>115.78666666666666</v>
      </c>
      <c r="AE75" s="76">
        <f>Assumptions!AE85</f>
        <v>121.57333333333334</v>
      </c>
      <c r="AF75" s="76">
        <f>Assumptions!AF85</f>
        <v>127.36</v>
      </c>
      <c r="AG75" s="76">
        <f>Assumptions!AG85</f>
        <v>133.14666666666668</v>
      </c>
      <c r="AH75" s="76">
        <f>Assumptions!AH85</f>
        <v>138.93333333333334</v>
      </c>
      <c r="AI75" s="76">
        <f>Assumptions!AI85</f>
        <v>144.72</v>
      </c>
      <c r="AJ75" s="76">
        <f>Assumptions!AJ85</f>
        <v>150.50666666666666</v>
      </c>
      <c r="AK75" s="76">
        <f>Assumptions!AK85</f>
        <v>156.29333333333332</v>
      </c>
      <c r="AL75" s="76">
        <f>Assumptions!AL85</f>
        <v>162.08000000000001</v>
      </c>
      <c r="AM75" s="76">
        <f>Assumptions!AM85</f>
        <v>167.86666666666667</v>
      </c>
      <c r="AN75" s="76">
        <f>Assumptions!AN85</f>
        <v>1638.2666697364293</v>
      </c>
      <c r="AO75" s="76">
        <f>Assumptions!AO85</f>
        <v>173.65333333333334</v>
      </c>
      <c r="AP75" s="76">
        <f>Assumptions!AP85</f>
        <v>179.44</v>
      </c>
      <c r="AQ75" s="76">
        <f>Assumptions!AQ85</f>
        <v>185.22666666666666</v>
      </c>
      <c r="AR75" s="76">
        <f>Assumptions!AR85</f>
        <v>191.01333333333332</v>
      </c>
      <c r="AS75" s="76">
        <f>Assumptions!AS85</f>
        <v>196.8</v>
      </c>
      <c r="AT75" s="76">
        <f>Assumptions!AT85</f>
        <v>202.58666666666667</v>
      </c>
      <c r="AU75" s="76">
        <f>Assumptions!AU85</f>
        <v>208.37333333333333</v>
      </c>
      <c r="AV75" s="76">
        <f>Assumptions!AV85</f>
        <v>220</v>
      </c>
      <c r="AW75" s="76">
        <f>Assumptions!AW85</f>
        <v>220</v>
      </c>
      <c r="AX75" s="76">
        <f>Assumptions!AX85</f>
        <v>220</v>
      </c>
      <c r="AY75" s="76">
        <f>Assumptions!AY85</f>
        <v>220</v>
      </c>
      <c r="AZ75" s="76">
        <f>Assumptions!AZ85</f>
        <v>220</v>
      </c>
      <c r="BA75" s="76">
        <f>Assumptions!BA85</f>
        <v>2437.0933333333332</v>
      </c>
      <c r="BB75" s="76">
        <f>Assumptions!BB85</f>
        <v>203.0911111111111</v>
      </c>
      <c r="BC75" s="76">
        <f>Assumptions!BC85</f>
        <v>203.0911111111111</v>
      </c>
      <c r="BD75" s="76">
        <f>Assumptions!BD85</f>
        <v>203.0911111111111</v>
      </c>
      <c r="BE75" s="76">
        <f>Assumptions!BE85</f>
        <v>203.0911111111111</v>
      </c>
      <c r="BF75" s="76">
        <f>Assumptions!BF85</f>
        <v>203.0911111111111</v>
      </c>
      <c r="BG75" s="76">
        <f>Assumptions!BG85</f>
        <v>203.0911111111111</v>
      </c>
      <c r="BH75" s="76">
        <f>Assumptions!BH85</f>
        <v>203.0911111111111</v>
      </c>
      <c r="BI75" s="76">
        <f>Assumptions!BI85</f>
        <v>203.0911111111111</v>
      </c>
      <c r="BJ75" s="76">
        <f>Assumptions!BJ85</f>
        <v>203.0911111111111</v>
      </c>
      <c r="BK75" s="76">
        <f>Assumptions!BK85</f>
        <v>203.0911111111111</v>
      </c>
      <c r="BL75" s="76">
        <f>Assumptions!BL85</f>
        <v>203.0911111111111</v>
      </c>
      <c r="BM75" s="76">
        <f>Assumptions!BM85</f>
        <v>203.0911111111111</v>
      </c>
      <c r="BN75" s="76">
        <f>Assumptions!BN85</f>
        <v>2437.0933333333332</v>
      </c>
    </row>
    <row r="76" spans="2:66" x14ac:dyDescent="0.2">
      <c r="B76" s="78" t="s">
        <v>77</v>
      </c>
      <c r="C76" s="334" t="s">
        <v>78</v>
      </c>
      <c r="D76" s="78"/>
      <c r="E76" s="78"/>
      <c r="F76" s="78"/>
      <c r="G76" s="78"/>
      <c r="H76" s="78"/>
      <c r="I76" s="78"/>
      <c r="J76" s="78">
        <f t="shared" ref="J76:AL76" si="35">J75*J74</f>
        <v>52.5</v>
      </c>
      <c r="K76" s="78">
        <f>K75*K74</f>
        <v>80.500000537208493</v>
      </c>
      <c r="L76" s="78">
        <f t="shared" si="35"/>
        <v>108.50000107441697</v>
      </c>
      <c r="M76" s="78">
        <f t="shared" si="35"/>
        <v>136.50000161162544</v>
      </c>
      <c r="N76" s="335">
        <f>SUM(J76:M76)</f>
        <v>378.00000322325093</v>
      </c>
      <c r="O76" s="78">
        <f>O75*O74</f>
        <v>164.50000214883391</v>
      </c>
      <c r="P76" s="78">
        <f t="shared" si="35"/>
        <v>192.50000268604236</v>
      </c>
      <c r="Q76" s="78">
        <f t="shared" si="35"/>
        <v>196.54250274244924</v>
      </c>
      <c r="R76" s="78">
        <f t="shared" si="35"/>
        <v>196.54250274244924</v>
      </c>
      <c r="S76" s="78">
        <f t="shared" si="35"/>
        <v>196.54250274244924</v>
      </c>
      <c r="T76" s="78">
        <f t="shared" si="35"/>
        <v>196.54250274244924</v>
      </c>
      <c r="U76" s="78">
        <f t="shared" si="35"/>
        <v>196.54250274244924</v>
      </c>
      <c r="V76" s="78">
        <f t="shared" si="35"/>
        <v>196.54250274244924</v>
      </c>
      <c r="W76" s="78">
        <f t="shared" si="35"/>
        <v>196.54250274244924</v>
      </c>
      <c r="X76" s="78">
        <f t="shared" si="35"/>
        <v>196.54250274244924</v>
      </c>
      <c r="Y76" s="78">
        <f t="shared" si="35"/>
        <v>196.54250274244924</v>
      </c>
      <c r="Z76" s="78">
        <f t="shared" si="35"/>
        <v>196.54250274244924</v>
      </c>
      <c r="AA76" s="335">
        <f>SUM(O76:Z76)</f>
        <v>2322.4250322593684</v>
      </c>
      <c r="AB76" s="78">
        <f t="shared" si="35"/>
        <v>200.47335279729822</v>
      </c>
      <c r="AC76" s="78">
        <f t="shared" si="35"/>
        <v>200.47335279729822</v>
      </c>
      <c r="AD76" s="78">
        <f t="shared" si="35"/>
        <v>211.01946319999999</v>
      </c>
      <c r="AE76" s="78">
        <f t="shared" si="35"/>
        <v>221.5655764</v>
      </c>
      <c r="AF76" s="78">
        <f t="shared" si="35"/>
        <v>232.11168959999998</v>
      </c>
      <c r="AG76" s="78">
        <f t="shared" si="35"/>
        <v>242.65780280000001</v>
      </c>
      <c r="AH76" s="78">
        <f t="shared" si="35"/>
        <v>253.20391599999999</v>
      </c>
      <c r="AI76" s="78">
        <f t="shared" si="35"/>
        <v>263.75002919999997</v>
      </c>
      <c r="AJ76" s="78">
        <f t="shared" si="35"/>
        <v>274.29614239999995</v>
      </c>
      <c r="AK76" s="78">
        <f t="shared" si="35"/>
        <v>284.84225559999999</v>
      </c>
      <c r="AL76" s="78">
        <f t="shared" si="35"/>
        <v>295.38836880000002</v>
      </c>
      <c r="AM76" s="78">
        <f t="shared" ref="AM76:BN76" si="36">AM75*AM74</f>
        <v>305.934482</v>
      </c>
      <c r="AN76" s="335">
        <f>SUM(AB76:AM76)</f>
        <v>2985.7164315945965</v>
      </c>
      <c r="AO76" s="78">
        <f t="shared" si="36"/>
        <v>322.81020710400003</v>
      </c>
      <c r="AP76" s="78">
        <f t="shared" si="36"/>
        <v>333.56724256799998</v>
      </c>
      <c r="AQ76" s="78">
        <f t="shared" si="36"/>
        <v>344.324278032</v>
      </c>
      <c r="AR76" s="78">
        <f t="shared" si="36"/>
        <v>355.08131349600001</v>
      </c>
      <c r="AS76" s="78">
        <f t="shared" si="36"/>
        <v>365.83834896000002</v>
      </c>
      <c r="AT76" s="78">
        <f t="shared" si="36"/>
        <v>376.59538442400003</v>
      </c>
      <c r="AU76" s="78">
        <f t="shared" si="36"/>
        <v>387.35241988799999</v>
      </c>
      <c r="AV76" s="78">
        <f t="shared" si="36"/>
        <v>408.96563400000002</v>
      </c>
      <c r="AW76" s="78">
        <f t="shared" si="36"/>
        <v>408.96563400000002</v>
      </c>
      <c r="AX76" s="78">
        <f t="shared" si="36"/>
        <v>408.96563400000002</v>
      </c>
      <c r="AY76" s="78">
        <f t="shared" si="36"/>
        <v>408.96563400000002</v>
      </c>
      <c r="AZ76" s="78">
        <f t="shared" si="36"/>
        <v>408.96563400000002</v>
      </c>
      <c r="BA76" s="335">
        <f>SUM(AO76:AZ76)</f>
        <v>4530.3973644719999</v>
      </c>
      <c r="BB76" s="78">
        <f t="shared" si="36"/>
        <v>385.08377598012004</v>
      </c>
      <c r="BC76" s="78">
        <f t="shared" si="36"/>
        <v>385.08377598012004</v>
      </c>
      <c r="BD76" s="78">
        <f t="shared" si="36"/>
        <v>385.08377598012004</v>
      </c>
      <c r="BE76" s="78">
        <f t="shared" si="36"/>
        <v>385.08377598012004</v>
      </c>
      <c r="BF76" s="78">
        <f t="shared" si="36"/>
        <v>385.08377598012004</v>
      </c>
      <c r="BG76" s="78">
        <f t="shared" si="36"/>
        <v>385.08377598012004</v>
      </c>
      <c r="BH76" s="78">
        <f t="shared" si="36"/>
        <v>385.08377598012004</v>
      </c>
      <c r="BI76" s="78">
        <f t="shared" si="36"/>
        <v>385.08377598012004</v>
      </c>
      <c r="BJ76" s="78">
        <f t="shared" si="36"/>
        <v>385.08377598012004</v>
      </c>
      <c r="BK76" s="78">
        <f t="shared" si="36"/>
        <v>385.08377598012004</v>
      </c>
      <c r="BL76" s="78">
        <f t="shared" si="36"/>
        <v>385.08377598012004</v>
      </c>
      <c r="BM76" s="78">
        <f t="shared" si="36"/>
        <v>385.08377598012004</v>
      </c>
      <c r="BN76" s="335">
        <f t="shared" si="36"/>
        <v>4621.0053117614398</v>
      </c>
    </row>
    <row r="78" spans="2:66" x14ac:dyDescent="0.2">
      <c r="B78" s="80" t="s">
        <v>80</v>
      </c>
    </row>
    <row r="79" spans="2:66" x14ac:dyDescent="0.2">
      <c r="B79" s="76" t="s">
        <v>31</v>
      </c>
      <c r="C79" s="76" t="s">
        <v>50</v>
      </c>
      <c r="J79" s="76">
        <f>Assumptions!J90</f>
        <v>0.22857142857142859</v>
      </c>
      <c r="K79" s="76">
        <f>Assumptions!K90</f>
        <v>0.22857142857142859</v>
      </c>
      <c r="L79" s="76">
        <f>Assumptions!L90</f>
        <v>0.22857142857142859</v>
      </c>
      <c r="M79" s="76">
        <f>Assumptions!M90</f>
        <v>0.22857142857142859</v>
      </c>
      <c r="N79" s="76">
        <f>Assumptions!N90</f>
        <v>0.22857142857142859</v>
      </c>
      <c r="O79" s="76">
        <f>Assumptions!O90</f>
        <v>0.22857142857142859</v>
      </c>
      <c r="P79" s="76">
        <f>Assumptions!P90</f>
        <v>0.22857142857142859</v>
      </c>
      <c r="Q79" s="76">
        <f>Assumptions!Q90</f>
        <v>0.23337142857142856</v>
      </c>
      <c r="R79" s="76">
        <f>Assumptions!R90</f>
        <v>0.23337142857142856</v>
      </c>
      <c r="S79" s="76">
        <f>Assumptions!S90</f>
        <v>0.23337142857142856</v>
      </c>
      <c r="T79" s="76">
        <f>Assumptions!T90</f>
        <v>0.23337142857142856</v>
      </c>
      <c r="U79" s="76">
        <f>Assumptions!U90</f>
        <v>0.23337142857142856</v>
      </c>
      <c r="V79" s="76">
        <f>Assumptions!V90</f>
        <v>0.23337142857142856</v>
      </c>
      <c r="W79" s="76">
        <f>Assumptions!W90</f>
        <v>0.23337142857142856</v>
      </c>
      <c r="X79" s="76">
        <f>Assumptions!X90</f>
        <v>0.23337142857142856</v>
      </c>
      <c r="Y79" s="76">
        <f>Assumptions!Y90</f>
        <v>0.23337142857142856</v>
      </c>
      <c r="Z79" s="76">
        <f>Assumptions!Z90</f>
        <v>0.23337142857142856</v>
      </c>
      <c r="AA79" s="76">
        <f>Assumptions!AA90</f>
        <v>0.23337142857142856</v>
      </c>
      <c r="AB79" s="76">
        <f>Assumptions!AB90</f>
        <v>0.23803885714285714</v>
      </c>
      <c r="AC79" s="76">
        <f>Assumptions!AC90</f>
        <v>0.23803885714285714</v>
      </c>
      <c r="AD79" s="76">
        <f>Assumptions!AD90</f>
        <v>0.23803885714285714</v>
      </c>
      <c r="AE79" s="76">
        <f>Assumptions!AE90</f>
        <v>0.23803885714285714</v>
      </c>
      <c r="AF79" s="76">
        <f>Assumptions!AF90</f>
        <v>0.23803885714285714</v>
      </c>
      <c r="AG79" s="76">
        <f>Assumptions!AG90</f>
        <v>0.23803885714285714</v>
      </c>
      <c r="AH79" s="76">
        <f>Assumptions!AH90</f>
        <v>0.23803885714285714</v>
      </c>
      <c r="AI79" s="76">
        <f>Assumptions!AI90</f>
        <v>0.23803885714285714</v>
      </c>
      <c r="AJ79" s="76">
        <f>Assumptions!AJ90</f>
        <v>0.23803885714285714</v>
      </c>
      <c r="AK79" s="76">
        <f>Assumptions!AK90</f>
        <v>0.23803885714285714</v>
      </c>
      <c r="AL79" s="76">
        <f>Assumptions!AL90</f>
        <v>0.23803885714285714</v>
      </c>
      <c r="AM79" s="76">
        <f>Assumptions!AM90</f>
        <v>0.23803885714285714</v>
      </c>
      <c r="AN79" s="76">
        <f>Assumptions!AN90</f>
        <v>0.23803885714285714</v>
      </c>
      <c r="AO79" s="76">
        <f>Assumptions!AO90</f>
        <v>0.2427996342857143</v>
      </c>
      <c r="AP79" s="76">
        <f>Assumptions!AP90</f>
        <v>0.2427996342857143</v>
      </c>
      <c r="AQ79" s="76">
        <f>Assumptions!AQ90</f>
        <v>0.2427996342857143</v>
      </c>
      <c r="AR79" s="76">
        <f>Assumptions!AR90</f>
        <v>0.2427996342857143</v>
      </c>
      <c r="AS79" s="76">
        <f>Assumptions!AS90</f>
        <v>0.2427996342857143</v>
      </c>
      <c r="AT79" s="76">
        <f>Assumptions!AT90</f>
        <v>0.2427996342857143</v>
      </c>
      <c r="AU79" s="76">
        <f>Assumptions!AU90</f>
        <v>0.2427996342857143</v>
      </c>
      <c r="AV79" s="76">
        <f>Assumptions!AV90</f>
        <v>0.2427996342857143</v>
      </c>
      <c r="AW79" s="76">
        <f>Assumptions!AW90</f>
        <v>0.2427996342857143</v>
      </c>
      <c r="AX79" s="76">
        <f>Assumptions!AX90</f>
        <v>0.2427996342857143</v>
      </c>
      <c r="AY79" s="76">
        <f>Assumptions!AY90</f>
        <v>0.2427996342857143</v>
      </c>
      <c r="AZ79" s="76">
        <f>Assumptions!AZ90</f>
        <v>0.2427996342857143</v>
      </c>
      <c r="BA79" s="76">
        <f>Assumptions!BA90</f>
        <v>0.2427996342857143</v>
      </c>
      <c r="BB79" s="76">
        <f>Assumptions!BB90</f>
        <v>0.24765562697142857</v>
      </c>
      <c r="BC79" s="76">
        <f>Assumptions!BC90</f>
        <v>0.24765562697142857</v>
      </c>
      <c r="BD79" s="76">
        <f>Assumptions!BD90</f>
        <v>0.24765562697142857</v>
      </c>
      <c r="BE79" s="76">
        <f>Assumptions!BE90</f>
        <v>0.24765562697142857</v>
      </c>
      <c r="BF79" s="76">
        <f>Assumptions!BF90</f>
        <v>0.24765562697142857</v>
      </c>
      <c r="BG79" s="76">
        <f>Assumptions!BG90</f>
        <v>0.24765562697142857</v>
      </c>
      <c r="BH79" s="76">
        <f>Assumptions!BH90</f>
        <v>0.24765562697142857</v>
      </c>
      <c r="BI79" s="76">
        <f>Assumptions!BI90</f>
        <v>0.24765562697142857</v>
      </c>
      <c r="BJ79" s="76">
        <f>Assumptions!BJ90</f>
        <v>0.24765562697142857</v>
      </c>
      <c r="BK79" s="76">
        <f>Assumptions!BK90</f>
        <v>0.24765562697142857</v>
      </c>
      <c r="BL79" s="76">
        <f>Assumptions!BL90</f>
        <v>0.24765562697142857</v>
      </c>
      <c r="BM79" s="76">
        <f>Assumptions!BM90</f>
        <v>0.24765562697142857</v>
      </c>
      <c r="BN79" s="76">
        <f>Assumptions!BN90</f>
        <v>0.24765562697142857</v>
      </c>
    </row>
    <row r="80" spans="2:66" x14ac:dyDescent="0.2">
      <c r="B80" s="76" t="s">
        <v>23</v>
      </c>
      <c r="C80" s="76" t="s">
        <v>28</v>
      </c>
      <c r="J80" s="76">
        <f>Assumptions!J94</f>
        <v>8.1866666666666674</v>
      </c>
      <c r="K80" s="76">
        <f>Assumptions!K94</f>
        <v>12.546666666666667</v>
      </c>
      <c r="L80" s="76">
        <f>Assumptions!L94</f>
        <v>16.920000000000002</v>
      </c>
      <c r="M80" s="76">
        <f>Assumptions!M94</f>
        <v>21.28</v>
      </c>
      <c r="N80" s="76">
        <f>Assumptions!N94</f>
        <v>58.93333333333333</v>
      </c>
      <c r="O80" s="76">
        <f>Assumptions!O94</f>
        <v>25.626666666666665</v>
      </c>
      <c r="P80" s="76">
        <f>Assumptions!P94</f>
        <v>30.000001534881356</v>
      </c>
      <c r="Q80" s="76">
        <f>Assumptions!Q94</f>
        <v>30.000001534881356</v>
      </c>
      <c r="R80" s="76">
        <f>Assumptions!R94</f>
        <v>30.000001534881356</v>
      </c>
      <c r="S80" s="76">
        <f>Assumptions!S94</f>
        <v>30.000001534881356</v>
      </c>
      <c r="T80" s="76">
        <f>Assumptions!T94</f>
        <v>30.000001534881356</v>
      </c>
      <c r="U80" s="76">
        <f>Assumptions!U94</f>
        <v>30.000001534881356</v>
      </c>
      <c r="V80" s="76">
        <f>Assumptions!V94</f>
        <v>30.000001534881356</v>
      </c>
      <c r="W80" s="76">
        <f>Assumptions!W94</f>
        <v>30.000001534881356</v>
      </c>
      <c r="X80" s="76">
        <f>Assumptions!X94</f>
        <v>30.000001534881356</v>
      </c>
      <c r="Y80" s="76">
        <f>Assumptions!Y94</f>
        <v>30.000001534881356</v>
      </c>
      <c r="Z80" s="76">
        <f>Assumptions!Z94</f>
        <v>30.000001534881356</v>
      </c>
      <c r="AA80" s="76">
        <f>Assumptions!AA94</f>
        <v>355.62668355036152</v>
      </c>
      <c r="AB80" s="76">
        <f>Assumptions!AB94</f>
        <v>30.000001534881356</v>
      </c>
      <c r="AC80" s="76">
        <f>Assumptions!AC94</f>
        <v>30.000001534881356</v>
      </c>
      <c r="AD80" s="76">
        <f>Assumptions!AD94</f>
        <v>31.573333333333334</v>
      </c>
      <c r="AE80" s="76">
        <f>Assumptions!AE94</f>
        <v>33.146666666666668</v>
      </c>
      <c r="AF80" s="76">
        <f>Assumptions!AF94</f>
        <v>34.733333333333334</v>
      </c>
      <c r="AG80" s="76">
        <f>Assumptions!AG94</f>
        <v>36.306666666666665</v>
      </c>
      <c r="AH80" s="76">
        <f>Assumptions!AH94</f>
        <v>37.880000000000003</v>
      </c>
      <c r="AI80" s="76">
        <f>Assumptions!AI94</f>
        <v>39.466666666666669</v>
      </c>
      <c r="AJ80" s="76">
        <f>Assumptions!AJ94</f>
        <v>41.04</v>
      </c>
      <c r="AK80" s="76">
        <f>Assumptions!AK94</f>
        <v>42.613333333333337</v>
      </c>
      <c r="AL80" s="76">
        <f>Assumptions!AL94</f>
        <v>44.2</v>
      </c>
      <c r="AM80" s="76">
        <f>Assumptions!AM94</f>
        <v>45.773333333333333</v>
      </c>
      <c r="AN80" s="76">
        <f>Assumptions!AN94</f>
        <v>446.73333640309602</v>
      </c>
      <c r="AO80" s="76">
        <f>Assumptions!AO94</f>
        <v>47.36</v>
      </c>
      <c r="AP80" s="76">
        <f>Assumptions!AP94</f>
        <v>48.93333333333333</v>
      </c>
      <c r="AQ80" s="76">
        <f>Assumptions!AQ94</f>
        <v>50.506666666666668</v>
      </c>
      <c r="AR80" s="76">
        <f>Assumptions!AR94</f>
        <v>52.093333333333334</v>
      </c>
      <c r="AS80" s="76">
        <f>Assumptions!AS94</f>
        <v>53.666666666666664</v>
      </c>
      <c r="AT80" s="76">
        <f>Assumptions!AT94</f>
        <v>55.24</v>
      </c>
      <c r="AU80" s="76">
        <f>Assumptions!AU94</f>
        <v>56.826666666666668</v>
      </c>
      <c r="AV80" s="76">
        <f>Assumptions!AV94</f>
        <v>60.000002232554664</v>
      </c>
      <c r="AW80" s="76">
        <f>Assumptions!AW94</f>
        <v>60.000002232554664</v>
      </c>
      <c r="AX80" s="76">
        <f>Assumptions!AX94</f>
        <v>60.000002232554664</v>
      </c>
      <c r="AY80" s="76">
        <f>Assumptions!AY94</f>
        <v>60.000002232554664</v>
      </c>
      <c r="AZ80" s="76">
        <f>Assumptions!AZ94</f>
        <v>60.000002232554664</v>
      </c>
      <c r="BA80" s="76">
        <f>Assumptions!BA94</f>
        <v>664.62667782943981</v>
      </c>
      <c r="BB80" s="76">
        <f>Assumptions!BB94</f>
        <v>55.385556485786658</v>
      </c>
      <c r="BC80" s="76">
        <f>Assumptions!BC94</f>
        <v>55.385556485786658</v>
      </c>
      <c r="BD80" s="76">
        <f>Assumptions!BD94</f>
        <v>55.385556485786658</v>
      </c>
      <c r="BE80" s="76">
        <f>Assumptions!BE94</f>
        <v>55.385556485786658</v>
      </c>
      <c r="BF80" s="76">
        <f>Assumptions!BF94</f>
        <v>55.385556485786658</v>
      </c>
      <c r="BG80" s="76">
        <f>Assumptions!BG94</f>
        <v>55.385556485786658</v>
      </c>
      <c r="BH80" s="76">
        <f>Assumptions!BH94</f>
        <v>55.385556485786658</v>
      </c>
      <c r="BI80" s="76">
        <f>Assumptions!BI94</f>
        <v>55.385556485786658</v>
      </c>
      <c r="BJ80" s="76">
        <f>Assumptions!BJ94</f>
        <v>55.385556485786658</v>
      </c>
      <c r="BK80" s="76">
        <f>Assumptions!BK94</f>
        <v>55.385556485786658</v>
      </c>
      <c r="BL80" s="76">
        <f>Assumptions!BL94</f>
        <v>55.385556485786658</v>
      </c>
      <c r="BM80" s="76">
        <f>Assumptions!BM94</f>
        <v>55.385556485786658</v>
      </c>
      <c r="BN80" s="76">
        <f>Assumptions!BN94</f>
        <v>664.62667782943981</v>
      </c>
    </row>
    <row r="81" spans="2:66" hidden="1" x14ac:dyDescent="0.2">
      <c r="B81" s="76" t="s">
        <v>42</v>
      </c>
      <c r="C81" s="76" t="s">
        <v>49</v>
      </c>
      <c r="J81" s="76">
        <f>Assumptions!J97</f>
        <v>0</v>
      </c>
      <c r="K81" s="76">
        <f>Assumptions!K97</f>
        <v>0</v>
      </c>
      <c r="L81" s="76">
        <f>Assumptions!L97</f>
        <v>0</v>
      </c>
      <c r="M81" s="76">
        <f>Assumptions!M97</f>
        <v>0</v>
      </c>
      <c r="N81" s="76">
        <f>Assumptions!N97</f>
        <v>0</v>
      </c>
      <c r="O81" s="76">
        <f>Assumptions!O97</f>
        <v>0</v>
      </c>
      <c r="P81" s="76">
        <f>Assumptions!P97</f>
        <v>0</v>
      </c>
      <c r="Q81" s="76">
        <f>Assumptions!Q97</f>
        <v>0</v>
      </c>
      <c r="R81" s="76">
        <f>Assumptions!R97</f>
        <v>0</v>
      </c>
      <c r="S81" s="76">
        <f>Assumptions!S97</f>
        <v>0</v>
      </c>
      <c r="T81" s="76">
        <f>Assumptions!T97</f>
        <v>0</v>
      </c>
      <c r="U81" s="76">
        <f>Assumptions!U97</f>
        <v>0</v>
      </c>
      <c r="V81" s="76">
        <f>Assumptions!V97</f>
        <v>0</v>
      </c>
      <c r="W81" s="76">
        <f>Assumptions!W97</f>
        <v>0</v>
      </c>
      <c r="X81" s="76">
        <f>Assumptions!X97</f>
        <v>0</v>
      </c>
      <c r="Y81" s="76">
        <f>Assumptions!Y97</f>
        <v>0</v>
      </c>
      <c r="Z81" s="76">
        <f>Assumptions!Z97</f>
        <v>0</v>
      </c>
      <c r="AA81" s="76">
        <f>Assumptions!AA97</f>
        <v>0</v>
      </c>
      <c r="AB81" s="76">
        <f>Assumptions!AB97</f>
        <v>0</v>
      </c>
      <c r="AC81" s="76">
        <f>Assumptions!AC97</f>
        <v>0</v>
      </c>
      <c r="AD81" s="76">
        <f>Assumptions!AD97</f>
        <v>0</v>
      </c>
      <c r="AE81" s="76">
        <f>Assumptions!AE97</f>
        <v>0</v>
      </c>
      <c r="AF81" s="76">
        <f>Assumptions!AF97</f>
        <v>0</v>
      </c>
      <c r="AG81" s="76">
        <f>Assumptions!AG97</f>
        <v>0</v>
      </c>
      <c r="AH81" s="76">
        <f>Assumptions!AH97</f>
        <v>0</v>
      </c>
      <c r="AI81" s="76">
        <f>Assumptions!AI97</f>
        <v>0</v>
      </c>
      <c r="AJ81" s="76">
        <f>Assumptions!AJ97</f>
        <v>0</v>
      </c>
      <c r="AK81" s="76">
        <f>Assumptions!AK97</f>
        <v>0</v>
      </c>
      <c r="AL81" s="76">
        <f>Assumptions!AL97</f>
        <v>0</v>
      </c>
      <c r="AM81" s="76">
        <f>Assumptions!AM97</f>
        <v>0</v>
      </c>
      <c r="AN81" s="76">
        <f>Assumptions!AN97</f>
        <v>0</v>
      </c>
      <c r="AO81" s="76">
        <f>Assumptions!AO97</f>
        <v>0</v>
      </c>
      <c r="AP81" s="76">
        <f>Assumptions!AP97</f>
        <v>0</v>
      </c>
      <c r="AQ81" s="76">
        <f>Assumptions!AQ97</f>
        <v>0</v>
      </c>
      <c r="AR81" s="76">
        <f>Assumptions!AR97</f>
        <v>0</v>
      </c>
      <c r="AS81" s="76">
        <f>Assumptions!AS97</f>
        <v>0</v>
      </c>
      <c r="AT81" s="76">
        <f>Assumptions!AT97</f>
        <v>0</v>
      </c>
      <c r="AU81" s="76">
        <f>Assumptions!AU97</f>
        <v>0</v>
      </c>
      <c r="AV81" s="76">
        <f>Assumptions!AV97</f>
        <v>0</v>
      </c>
      <c r="AW81" s="76">
        <f>Assumptions!AW97</f>
        <v>0</v>
      </c>
      <c r="AX81" s="76">
        <f>Assumptions!AX97</f>
        <v>0</v>
      </c>
      <c r="AY81" s="76">
        <f>Assumptions!AY97</f>
        <v>0</v>
      </c>
      <c r="AZ81" s="76">
        <f>Assumptions!AZ97</f>
        <v>0</v>
      </c>
      <c r="BA81" s="76">
        <f>Assumptions!BA97</f>
        <v>0</v>
      </c>
      <c r="BB81" s="76">
        <f>Assumptions!BB97</f>
        <v>0</v>
      </c>
      <c r="BC81" s="76">
        <f>Assumptions!BC97</f>
        <v>0</v>
      </c>
      <c r="BD81" s="76">
        <f>Assumptions!BD97</f>
        <v>0</v>
      </c>
      <c r="BE81" s="76">
        <f>Assumptions!BE97</f>
        <v>0</v>
      </c>
      <c r="BF81" s="76">
        <f>Assumptions!BF97</f>
        <v>0</v>
      </c>
      <c r="BG81" s="76">
        <f>Assumptions!BG97</f>
        <v>0</v>
      </c>
      <c r="BH81" s="76">
        <f>Assumptions!BH97</f>
        <v>0</v>
      </c>
      <c r="BI81" s="76">
        <f>Assumptions!BI97</f>
        <v>0</v>
      </c>
      <c r="BJ81" s="76">
        <f>Assumptions!BJ97</f>
        <v>0</v>
      </c>
      <c r="BK81" s="76">
        <f>Assumptions!BK97</f>
        <v>0</v>
      </c>
      <c r="BL81" s="76">
        <f>Assumptions!BL97</f>
        <v>0</v>
      </c>
      <c r="BM81" s="76">
        <f>Assumptions!BM97</f>
        <v>0</v>
      </c>
      <c r="BN81" s="76">
        <f>Assumptions!BN97</f>
        <v>0</v>
      </c>
    </row>
    <row r="82" spans="2:66" hidden="1" x14ac:dyDescent="0.2">
      <c r="B82" s="76" t="s">
        <v>43</v>
      </c>
      <c r="C82" s="76" t="s">
        <v>35</v>
      </c>
      <c r="J82" s="76">
        <f>Assumptions!J165</f>
        <v>30</v>
      </c>
      <c r="K82" s="76">
        <f>Assumptions!K165</f>
        <v>31</v>
      </c>
      <c r="L82" s="76">
        <f>Assumptions!L165</f>
        <v>30</v>
      </c>
      <c r="M82" s="76">
        <f>Assumptions!M165</f>
        <v>31</v>
      </c>
      <c r="N82" s="76">
        <f>Assumptions!N165</f>
        <v>30.571428571428573</v>
      </c>
      <c r="O82" s="76">
        <f>Assumptions!O165</f>
        <v>31</v>
      </c>
      <c r="P82" s="76">
        <f>Assumptions!P165</f>
        <v>28</v>
      </c>
      <c r="Q82" s="76">
        <f>Assumptions!Q165</f>
        <v>31</v>
      </c>
      <c r="R82" s="76">
        <f>Assumptions!R165</f>
        <v>30</v>
      </c>
      <c r="S82" s="76">
        <f>Assumptions!S165</f>
        <v>31</v>
      </c>
      <c r="T82" s="76">
        <f>Assumptions!T165</f>
        <v>30</v>
      </c>
      <c r="U82" s="76">
        <f>Assumptions!U165</f>
        <v>31</v>
      </c>
      <c r="V82" s="76">
        <f>Assumptions!V165</f>
        <v>31</v>
      </c>
      <c r="W82" s="76">
        <f>Assumptions!W165</f>
        <v>30</v>
      </c>
      <c r="X82" s="76">
        <f>Assumptions!X165</f>
        <v>31</v>
      </c>
      <c r="Y82" s="76">
        <f>Assumptions!Y165</f>
        <v>30</v>
      </c>
      <c r="Z82" s="76">
        <f>Assumptions!Z165</f>
        <v>31</v>
      </c>
      <c r="AA82" s="76">
        <f>Assumptions!AA165</f>
        <v>30.416666666666668</v>
      </c>
      <c r="AB82" s="76">
        <f>Assumptions!AB165</f>
        <v>31</v>
      </c>
      <c r="AC82" s="76">
        <f>Assumptions!AC165</f>
        <v>28</v>
      </c>
      <c r="AD82" s="76">
        <f>Assumptions!AD165</f>
        <v>31</v>
      </c>
      <c r="AE82" s="76">
        <f>Assumptions!AE165</f>
        <v>30</v>
      </c>
      <c r="AF82" s="76">
        <f>Assumptions!AF165</f>
        <v>31</v>
      </c>
      <c r="AG82" s="76">
        <f>Assumptions!AG165</f>
        <v>30</v>
      </c>
      <c r="AH82" s="76">
        <f>Assumptions!AH165</f>
        <v>31</v>
      </c>
      <c r="AI82" s="76">
        <f>Assumptions!AI165</f>
        <v>31</v>
      </c>
      <c r="AJ82" s="76">
        <f>Assumptions!AJ165</f>
        <v>30</v>
      </c>
      <c r="AK82" s="76">
        <f>Assumptions!AK165</f>
        <v>31</v>
      </c>
      <c r="AL82" s="76">
        <f>Assumptions!AL165</f>
        <v>30</v>
      </c>
      <c r="AM82" s="76">
        <f>Assumptions!AM165</f>
        <v>31</v>
      </c>
      <c r="AN82" s="76">
        <f>Assumptions!AN165</f>
        <v>30.416666666666668</v>
      </c>
      <c r="AO82" s="76">
        <f>Assumptions!AO165</f>
        <v>31</v>
      </c>
      <c r="AP82" s="76">
        <f>Assumptions!AP165</f>
        <v>29</v>
      </c>
      <c r="AQ82" s="76">
        <f>Assumptions!AQ165</f>
        <v>31</v>
      </c>
      <c r="AR82" s="76">
        <f>Assumptions!AR165</f>
        <v>30</v>
      </c>
      <c r="AS82" s="76">
        <f>Assumptions!AS165</f>
        <v>31</v>
      </c>
      <c r="AT82" s="76">
        <f>Assumptions!AT165</f>
        <v>30</v>
      </c>
      <c r="AU82" s="76">
        <f>Assumptions!AU165</f>
        <v>31</v>
      </c>
      <c r="AV82" s="76">
        <f>Assumptions!AV165</f>
        <v>31</v>
      </c>
      <c r="AW82" s="76">
        <f>Assumptions!AW165</f>
        <v>30</v>
      </c>
      <c r="AX82" s="76">
        <f>Assumptions!AX165</f>
        <v>31</v>
      </c>
      <c r="AY82" s="76">
        <f>Assumptions!AY165</f>
        <v>30</v>
      </c>
      <c r="AZ82" s="76">
        <f>Assumptions!AZ165</f>
        <v>31</v>
      </c>
      <c r="BA82" s="76">
        <f>Assumptions!BA165</f>
        <v>30.5</v>
      </c>
      <c r="BB82" s="76">
        <f>Assumptions!BB165</f>
        <v>31</v>
      </c>
      <c r="BC82" s="76">
        <f>Assumptions!BC165</f>
        <v>28</v>
      </c>
      <c r="BD82" s="76">
        <f>Assumptions!BD165</f>
        <v>31</v>
      </c>
      <c r="BE82" s="76">
        <f>Assumptions!BE165</f>
        <v>30</v>
      </c>
      <c r="BF82" s="76">
        <f>Assumptions!BF165</f>
        <v>31</v>
      </c>
      <c r="BG82" s="76">
        <f>Assumptions!BG165</f>
        <v>30</v>
      </c>
      <c r="BH82" s="76">
        <f>Assumptions!BH165</f>
        <v>31</v>
      </c>
      <c r="BI82" s="76">
        <f>Assumptions!BI165</f>
        <v>31</v>
      </c>
      <c r="BJ82" s="76">
        <f>Assumptions!BJ165</f>
        <v>30</v>
      </c>
      <c r="BK82" s="76">
        <f>Assumptions!BK165</f>
        <v>31</v>
      </c>
      <c r="BL82" s="76">
        <f>Assumptions!BL165</f>
        <v>30</v>
      </c>
      <c r="BM82" s="76">
        <f>Assumptions!BM165</f>
        <v>31</v>
      </c>
      <c r="BN82" s="76">
        <f>Assumptions!BN165</f>
        <v>30.416666666666668</v>
      </c>
    </row>
    <row r="83" spans="2:66" x14ac:dyDescent="0.2">
      <c r="B83" s="78" t="s">
        <v>81</v>
      </c>
      <c r="C83" s="334" t="s">
        <v>78</v>
      </c>
      <c r="D83" s="78"/>
      <c r="E83" s="78"/>
      <c r="F83" s="78"/>
      <c r="G83" s="78"/>
      <c r="H83" s="78"/>
      <c r="I83" s="78"/>
      <c r="J83" s="78">
        <f>Inventory!D45</f>
        <v>170.66666666666669</v>
      </c>
      <c r="K83" s="78">
        <f>Inventory!E45</f>
        <v>118.27200000000002</v>
      </c>
      <c r="L83" s="78">
        <f>Inventory!F45</f>
        <v>208.64000000000001</v>
      </c>
      <c r="M83" s="78">
        <f>Inventory!G45</f>
        <v>100.35200000000002</v>
      </c>
      <c r="N83" s="78">
        <f>Inventory!H45</f>
        <v>597.93066666666664</v>
      </c>
      <c r="O83" s="78">
        <f>Inventory!I45</f>
        <v>134.82666666666668</v>
      </c>
      <c r="P83" s="78">
        <f>Inventory!J45</f>
        <v>141.48266666666669</v>
      </c>
      <c r="Q83" s="78">
        <f>Inventory!K45</f>
        <v>290.81599017675933</v>
      </c>
      <c r="R83" s="78">
        <f>Inventory!L45</f>
        <v>269.48264702018537</v>
      </c>
      <c r="S83" s="78">
        <f>Inventory!M45</f>
        <v>418.81597053027809</v>
      </c>
      <c r="T83" s="78">
        <f>Inventory!N45</f>
        <v>397.48262737370413</v>
      </c>
      <c r="U83" s="78">
        <f>Inventory!O45</f>
        <v>376.14928421713012</v>
      </c>
      <c r="V83" s="78">
        <f>Inventory!P45</f>
        <v>354.81594106055616</v>
      </c>
      <c r="W83" s="78">
        <f>Inventory!Q45</f>
        <v>333.48259790398214</v>
      </c>
      <c r="X83" s="78">
        <f>Inventory!R45</f>
        <v>312.14925474740812</v>
      </c>
      <c r="Y83" s="78">
        <f>Inventory!S45</f>
        <v>290.81591159083416</v>
      </c>
      <c r="Z83" s="78">
        <f>Inventory!T45</f>
        <v>269.48256843426014</v>
      </c>
      <c r="AA83" s="78">
        <f>Inventory!U45</f>
        <v>3589.8021263884311</v>
      </c>
      <c r="AB83" s="78">
        <f>Inventory!V45</f>
        <v>282.65515051887741</v>
      </c>
      <c r="AC83" s="78">
        <f>Inventory!W45</f>
        <v>452.75373932968449</v>
      </c>
      <c r="AD83" s="78">
        <f>Inventory!X45</f>
        <v>428.45392814049154</v>
      </c>
      <c r="AE83" s="78">
        <f>Inventory!Y45</f>
        <v>392.68462254049149</v>
      </c>
      <c r="AF83" s="78">
        <f>Inventory!Z45</f>
        <v>345.4458113404915</v>
      </c>
      <c r="AG83" s="78">
        <f>Inventory!AA45</f>
        <v>481.03869534049153</v>
      </c>
      <c r="AH83" s="78">
        <f>Inventory!AB45</f>
        <v>410.76367374049153</v>
      </c>
      <c r="AI83" s="78">
        <f>Inventory!AC45</f>
        <v>329.01914654049153</v>
      </c>
      <c r="AJ83" s="78">
        <f>Inventory!AD45</f>
        <v>235.70791454049152</v>
      </c>
      <c r="AK83" s="78">
        <f>Inventory!AE45</f>
        <v>325.32557694049149</v>
      </c>
      <c r="AL83" s="78">
        <f>Inventory!AF45</f>
        <v>403.47373374049153</v>
      </c>
      <c r="AM83" s="78">
        <f>Inventory!AG45</f>
        <v>470.05518574049154</v>
      </c>
      <c r="AN83" s="78">
        <f>Inventory!AH45</f>
        <v>4557.3771784534765</v>
      </c>
      <c r="AO83" s="78">
        <f>Inventory!AI45</f>
        <v>337.38410678330138</v>
      </c>
      <c r="AP83" s="78">
        <f>Inventory!AJ45</f>
        <v>381.80025321530138</v>
      </c>
      <c r="AQ83" s="78">
        <f>Inventory!AK45</f>
        <v>414.51750393530136</v>
      </c>
      <c r="AR83" s="78">
        <f>Inventory!AL45</f>
        <v>435.53585894330138</v>
      </c>
      <c r="AS83" s="78">
        <f>Inventory!AM45</f>
        <v>444.75617505530141</v>
      </c>
      <c r="AT83" s="78">
        <f>Inventory!AN45</f>
        <v>442.27759545530137</v>
      </c>
      <c r="AU83" s="78">
        <f>Inventory!AO45</f>
        <v>428.10012014330141</v>
      </c>
      <c r="AV83" s="78">
        <f>Inventory!AP45</f>
        <v>402.12460593530136</v>
      </c>
      <c r="AW83" s="78">
        <f>Inventory!AQ45</f>
        <v>352.55299733460805</v>
      </c>
      <c r="AX83" s="78">
        <f>Inventory!AR45</f>
        <v>501.26775673391472</v>
      </c>
      <c r="AY83" s="78">
        <f>Inventory!AS45</f>
        <v>451.69614813322136</v>
      </c>
      <c r="AZ83" s="78">
        <f>Inventory!AT45</f>
        <v>402.12453953252799</v>
      </c>
      <c r="BA83" s="78">
        <f>Inventory!AU45</f>
        <v>4994.1376612006825</v>
      </c>
      <c r="BB83" s="78">
        <f t="shared" ref="BB83:BM83" si="37">(BB81*BB80*BB79)</f>
        <v>0</v>
      </c>
      <c r="BC83" s="78">
        <f t="shared" si="37"/>
        <v>0</v>
      </c>
      <c r="BD83" s="78">
        <f t="shared" si="37"/>
        <v>0</v>
      </c>
      <c r="BE83" s="78">
        <f t="shared" si="37"/>
        <v>0</v>
      </c>
      <c r="BF83" s="78">
        <f t="shared" si="37"/>
        <v>0</v>
      </c>
      <c r="BG83" s="78">
        <f t="shared" si="37"/>
        <v>0</v>
      </c>
      <c r="BH83" s="78">
        <f t="shared" si="37"/>
        <v>0</v>
      </c>
      <c r="BI83" s="78">
        <f t="shared" si="37"/>
        <v>0</v>
      </c>
      <c r="BJ83" s="78">
        <f t="shared" si="37"/>
        <v>0</v>
      </c>
      <c r="BK83" s="78">
        <f t="shared" si="37"/>
        <v>0</v>
      </c>
      <c r="BL83" s="78">
        <f t="shared" si="37"/>
        <v>0</v>
      </c>
      <c r="BM83" s="78">
        <f t="shared" si="37"/>
        <v>0</v>
      </c>
      <c r="BN83" s="78">
        <f>SUM(BB83:BM83)</f>
        <v>0</v>
      </c>
    </row>
    <row r="85" spans="2:66" x14ac:dyDescent="0.2">
      <c r="B85" s="80" t="s">
        <v>82</v>
      </c>
    </row>
    <row r="86" spans="2:66" x14ac:dyDescent="0.2">
      <c r="B86" s="76" t="s">
        <v>31</v>
      </c>
      <c r="C86" s="76" t="s">
        <v>50</v>
      </c>
      <c r="J86" s="76">
        <f>Assumptions!J101</f>
        <v>0.22857142857142859</v>
      </c>
      <c r="K86" s="76">
        <f>Assumptions!K101</f>
        <v>0.22857142857142859</v>
      </c>
      <c r="L86" s="76">
        <f>Assumptions!L101</f>
        <v>0.22857142857142859</v>
      </c>
      <c r="M86" s="76">
        <f>Assumptions!M101</f>
        <v>0.22857142857142859</v>
      </c>
      <c r="N86" s="76">
        <f>Assumptions!N101</f>
        <v>0.22857142857142859</v>
      </c>
      <c r="O86" s="76">
        <f>Assumptions!O101</f>
        <v>0.22857142857142859</v>
      </c>
      <c r="P86" s="76">
        <f>Assumptions!P101</f>
        <v>0.22857142857142859</v>
      </c>
      <c r="Q86" s="76">
        <f>Assumptions!Q101</f>
        <v>0.23337142857142856</v>
      </c>
      <c r="R86" s="76">
        <f>Assumptions!R101</f>
        <v>0.23337142857142856</v>
      </c>
      <c r="S86" s="76">
        <f>Assumptions!S101</f>
        <v>0.23337142857142856</v>
      </c>
      <c r="T86" s="76">
        <f>Assumptions!T101</f>
        <v>0.23337142857142856</v>
      </c>
      <c r="U86" s="76">
        <f>Assumptions!U101</f>
        <v>0.23337142857142856</v>
      </c>
      <c r="V86" s="76">
        <f>Assumptions!V101</f>
        <v>0.23337142857142856</v>
      </c>
      <c r="W86" s="76">
        <f>Assumptions!W101</f>
        <v>0.23337142857142856</v>
      </c>
      <c r="X86" s="76">
        <f>Assumptions!X101</f>
        <v>0.23337142857142856</v>
      </c>
      <c r="Y86" s="76">
        <f>Assumptions!Y101</f>
        <v>0.23337142857142856</v>
      </c>
      <c r="Z86" s="76">
        <f>Assumptions!Z101</f>
        <v>0.23337142857142856</v>
      </c>
      <c r="AA86" s="76">
        <f>Assumptions!AA101</f>
        <v>0.23337142857142856</v>
      </c>
      <c r="AB86" s="76">
        <f>Assumptions!AB101</f>
        <v>0.23803885714285714</v>
      </c>
      <c r="AC86" s="76">
        <f>Assumptions!AC101</f>
        <v>0.23803885714285714</v>
      </c>
      <c r="AD86" s="76">
        <f>Assumptions!AD101</f>
        <v>0.23803885714285714</v>
      </c>
      <c r="AE86" s="76">
        <f>Assumptions!AE101</f>
        <v>0.23803885714285714</v>
      </c>
      <c r="AF86" s="76">
        <f>Assumptions!AF101</f>
        <v>0.23803885714285714</v>
      </c>
      <c r="AG86" s="76">
        <f>Assumptions!AG101</f>
        <v>0.23803885714285714</v>
      </c>
      <c r="AH86" s="76">
        <f>Assumptions!AH101</f>
        <v>0.23803885714285714</v>
      </c>
      <c r="AI86" s="76">
        <f>Assumptions!AI101</f>
        <v>0.23803885714285714</v>
      </c>
      <c r="AJ86" s="76">
        <f>Assumptions!AJ101</f>
        <v>0.23803885714285714</v>
      </c>
      <c r="AK86" s="76">
        <f>Assumptions!AK101</f>
        <v>0.23803885714285714</v>
      </c>
      <c r="AL86" s="76">
        <f>Assumptions!AL101</f>
        <v>0.23803885714285714</v>
      </c>
      <c r="AM86" s="76">
        <f>Assumptions!AM101</f>
        <v>0.23803885714285714</v>
      </c>
      <c r="AN86" s="76">
        <f>Assumptions!AN101</f>
        <v>0.23803885714285714</v>
      </c>
      <c r="AO86" s="76">
        <f>Assumptions!AO101</f>
        <v>0.2427996342857143</v>
      </c>
      <c r="AP86" s="76">
        <f>Assumptions!AP101</f>
        <v>0.2427996342857143</v>
      </c>
      <c r="AQ86" s="76">
        <f>Assumptions!AQ101</f>
        <v>0.2427996342857143</v>
      </c>
      <c r="AR86" s="76">
        <f>Assumptions!AR101</f>
        <v>0.2427996342857143</v>
      </c>
      <c r="AS86" s="76">
        <f>Assumptions!AS101</f>
        <v>0.2427996342857143</v>
      </c>
      <c r="AT86" s="76">
        <f>Assumptions!AT101</f>
        <v>0.2427996342857143</v>
      </c>
      <c r="AU86" s="76">
        <f>Assumptions!AU101</f>
        <v>0.2427996342857143</v>
      </c>
      <c r="AV86" s="76">
        <f>Assumptions!AV101</f>
        <v>0.2427996342857143</v>
      </c>
      <c r="AW86" s="76">
        <f>Assumptions!AW101</f>
        <v>0.2427996342857143</v>
      </c>
      <c r="AX86" s="76">
        <f>Assumptions!AX101</f>
        <v>0.2427996342857143</v>
      </c>
      <c r="AY86" s="76">
        <f>Assumptions!AY101</f>
        <v>0.2427996342857143</v>
      </c>
      <c r="AZ86" s="76">
        <f>Assumptions!AZ101</f>
        <v>0.2427996342857143</v>
      </c>
      <c r="BA86" s="76">
        <f>Assumptions!BA101</f>
        <v>0.2427996342857143</v>
      </c>
      <c r="BB86" s="76">
        <f>Assumptions!BB101</f>
        <v>0.24765562697142857</v>
      </c>
      <c r="BC86" s="76">
        <f>Assumptions!BC101</f>
        <v>0.24765562697142857</v>
      </c>
      <c r="BD86" s="76">
        <f>Assumptions!BD101</f>
        <v>0.24765562697142857</v>
      </c>
      <c r="BE86" s="76">
        <f>Assumptions!BE101</f>
        <v>0.24765562697142857</v>
      </c>
      <c r="BF86" s="76">
        <f>Assumptions!BF101</f>
        <v>0.24765562697142857</v>
      </c>
      <c r="BG86" s="76">
        <f>Assumptions!BG101</f>
        <v>0.24765562697142857</v>
      </c>
      <c r="BH86" s="76">
        <f>Assumptions!BH101</f>
        <v>0.24765562697142857</v>
      </c>
      <c r="BI86" s="76">
        <f>Assumptions!BI101</f>
        <v>0.24765562697142857</v>
      </c>
      <c r="BJ86" s="76">
        <f>Assumptions!BJ101</f>
        <v>0.24765562697142857</v>
      </c>
      <c r="BK86" s="76">
        <f>Assumptions!BK101</f>
        <v>0.24765562697142857</v>
      </c>
      <c r="BL86" s="76">
        <f>Assumptions!BL101</f>
        <v>0.24765562697142857</v>
      </c>
      <c r="BM86" s="76">
        <f>Assumptions!BM101</f>
        <v>0.24765562697142857</v>
      </c>
      <c r="BN86" s="76">
        <f>Assumptions!BN101</f>
        <v>0.24765562697142857</v>
      </c>
    </row>
    <row r="87" spans="2:66" x14ac:dyDescent="0.2">
      <c r="B87" s="76" t="s">
        <v>23</v>
      </c>
      <c r="C87" s="76" t="s">
        <v>28</v>
      </c>
      <c r="J87" s="76">
        <f>Assumptions!J104</f>
        <v>10.906666666666666</v>
      </c>
      <c r="K87" s="76">
        <f>Assumptions!K104</f>
        <v>16.733333333333334</v>
      </c>
      <c r="L87" s="76">
        <f>Assumptions!L104</f>
        <v>22.546666666666667</v>
      </c>
      <c r="M87" s="76">
        <f>Assumptions!M104</f>
        <v>28.373333333333335</v>
      </c>
      <c r="N87" s="76">
        <f>Assumptions!N104</f>
        <v>78.56</v>
      </c>
      <c r="O87" s="76">
        <f>Assumptions!O104</f>
        <v>34.186666666666667</v>
      </c>
      <c r="P87" s="76">
        <f>Assumptions!P104</f>
        <v>40</v>
      </c>
      <c r="Q87" s="76">
        <f>Assumptions!Q104</f>
        <v>40</v>
      </c>
      <c r="R87" s="76">
        <f>Assumptions!R104</f>
        <v>40</v>
      </c>
      <c r="S87" s="76">
        <f>Assumptions!S104</f>
        <v>40</v>
      </c>
      <c r="T87" s="76">
        <f>Assumptions!T104</f>
        <v>40</v>
      </c>
      <c r="U87" s="76">
        <f>Assumptions!U104</f>
        <v>40</v>
      </c>
      <c r="V87" s="76">
        <f>Assumptions!V104</f>
        <v>40</v>
      </c>
      <c r="W87" s="76">
        <f>Assumptions!W104</f>
        <v>40</v>
      </c>
      <c r="X87" s="76">
        <f>Assumptions!X104</f>
        <v>40</v>
      </c>
      <c r="Y87" s="76">
        <f>Assumptions!Y104</f>
        <v>40</v>
      </c>
      <c r="Z87" s="76">
        <f>Assumptions!Z104</f>
        <v>40</v>
      </c>
      <c r="AA87" s="76">
        <f>Assumptions!AA104</f>
        <v>474.18666666666667</v>
      </c>
      <c r="AB87" s="76">
        <f>Assumptions!AB104</f>
        <v>40</v>
      </c>
      <c r="AC87" s="76">
        <f>Assumptions!AC104</f>
        <v>40</v>
      </c>
      <c r="AD87" s="76">
        <f>Assumptions!AD104</f>
        <v>42.106666666666669</v>
      </c>
      <c r="AE87" s="76">
        <f>Assumptions!AE104</f>
        <v>44.213333333333331</v>
      </c>
      <c r="AF87" s="76">
        <f>Assumptions!AF104</f>
        <v>46.32</v>
      </c>
      <c r="AG87" s="76">
        <f>Assumptions!AG104</f>
        <v>48.426666666666669</v>
      </c>
      <c r="AH87" s="76">
        <f>Assumptions!AH104</f>
        <v>50.533333333333331</v>
      </c>
      <c r="AI87" s="76">
        <f>Assumptions!AI104</f>
        <v>52.626666666666665</v>
      </c>
      <c r="AJ87" s="76">
        <f>Assumptions!AJ104</f>
        <v>54.733333333333334</v>
      </c>
      <c r="AK87" s="76">
        <f>Assumptions!AK104</f>
        <v>56.84</v>
      </c>
      <c r="AL87" s="76">
        <f>Assumptions!AL104</f>
        <v>58.93333333333333</v>
      </c>
      <c r="AM87" s="76">
        <f>Assumptions!AM104</f>
        <v>61.04</v>
      </c>
      <c r="AN87" s="76">
        <f>Assumptions!AN104</f>
        <v>595.77333333333331</v>
      </c>
      <c r="AO87" s="76">
        <f>Assumptions!AO104</f>
        <v>63.146666666666668</v>
      </c>
      <c r="AP87" s="76">
        <f>Assumptions!AP104</f>
        <v>65.25333333333333</v>
      </c>
      <c r="AQ87" s="76">
        <f>Assumptions!AQ104</f>
        <v>67.36</v>
      </c>
      <c r="AR87" s="76">
        <f>Assumptions!AR104</f>
        <v>69.466666666666669</v>
      </c>
      <c r="AS87" s="76">
        <f>Assumptions!AS104</f>
        <v>71.573333333333338</v>
      </c>
      <c r="AT87" s="76">
        <f>Assumptions!AT104</f>
        <v>73.680000000000007</v>
      </c>
      <c r="AU87" s="76">
        <f>Assumptions!AU104</f>
        <v>75.773333333333326</v>
      </c>
      <c r="AV87" s="76">
        <f>Assumptions!AV104</f>
        <v>79.999998883722668</v>
      </c>
      <c r="AW87" s="76">
        <f>Assumptions!AW104</f>
        <v>79.999998883722668</v>
      </c>
      <c r="AX87" s="76">
        <f>Assumptions!AX104</f>
        <v>79.999998883722668</v>
      </c>
      <c r="AY87" s="76">
        <f>Assumptions!AY104</f>
        <v>79.999998883722668</v>
      </c>
      <c r="AZ87" s="76">
        <f>Assumptions!AZ104</f>
        <v>79.999998883722668</v>
      </c>
      <c r="BA87" s="76">
        <f>Assumptions!BA104</f>
        <v>886.25332775194659</v>
      </c>
      <c r="BB87" s="76">
        <f>Assumptions!BB104</f>
        <v>73.854443979328892</v>
      </c>
      <c r="BC87" s="76">
        <f>Assumptions!BC104</f>
        <v>73.854443979328892</v>
      </c>
      <c r="BD87" s="76">
        <f>Assumptions!BD104</f>
        <v>73.854443979328892</v>
      </c>
      <c r="BE87" s="76">
        <f>Assumptions!BE104</f>
        <v>73.854443979328892</v>
      </c>
      <c r="BF87" s="76">
        <f>Assumptions!BF104</f>
        <v>73.854443979328892</v>
      </c>
      <c r="BG87" s="76">
        <f>Assumptions!BG104</f>
        <v>73.854443979328892</v>
      </c>
      <c r="BH87" s="76">
        <f>Assumptions!BH104</f>
        <v>73.854443979328892</v>
      </c>
      <c r="BI87" s="76">
        <f>Assumptions!BI104</f>
        <v>73.854443979328892</v>
      </c>
      <c r="BJ87" s="76">
        <f>Assumptions!BJ104</f>
        <v>73.854443979328892</v>
      </c>
      <c r="BK87" s="76">
        <f>Assumptions!BK104</f>
        <v>73.854443979328892</v>
      </c>
      <c r="BL87" s="76">
        <f>Assumptions!BL104</f>
        <v>73.854443979328892</v>
      </c>
      <c r="BM87" s="76">
        <f>Assumptions!BM104</f>
        <v>73.854443979328892</v>
      </c>
      <c r="BN87" s="76">
        <f>Assumptions!BN104</f>
        <v>886.25332775194659</v>
      </c>
    </row>
    <row r="88" spans="2:66" hidden="1" x14ac:dyDescent="0.2">
      <c r="B88" s="76" t="s">
        <v>42</v>
      </c>
      <c r="C88" s="76" t="s">
        <v>49</v>
      </c>
      <c r="J88" s="76">
        <f>Assumptions!J107</f>
        <v>0</v>
      </c>
      <c r="K88" s="76">
        <f>Assumptions!K107</f>
        <v>0</v>
      </c>
      <c r="L88" s="76">
        <f>Assumptions!L107</f>
        <v>0</v>
      </c>
      <c r="M88" s="76">
        <f>Assumptions!M107</f>
        <v>0</v>
      </c>
      <c r="N88" s="76">
        <f>Assumptions!N107</f>
        <v>0</v>
      </c>
      <c r="O88" s="76">
        <f>Assumptions!O107</f>
        <v>0</v>
      </c>
      <c r="P88" s="76">
        <f>Assumptions!P107</f>
        <v>0</v>
      </c>
      <c r="Q88" s="76">
        <f>Assumptions!Q107</f>
        <v>0</v>
      </c>
      <c r="R88" s="76">
        <f>Assumptions!R107</f>
        <v>0</v>
      </c>
      <c r="S88" s="76">
        <f>Assumptions!S107</f>
        <v>0</v>
      </c>
      <c r="T88" s="76">
        <f>Assumptions!T107</f>
        <v>0</v>
      </c>
      <c r="U88" s="76">
        <f>Assumptions!U107</f>
        <v>0</v>
      </c>
      <c r="V88" s="76">
        <f>Assumptions!V107</f>
        <v>0</v>
      </c>
      <c r="W88" s="76">
        <f>Assumptions!W107</f>
        <v>0</v>
      </c>
      <c r="X88" s="76">
        <f>Assumptions!X107</f>
        <v>0</v>
      </c>
      <c r="Y88" s="76">
        <f>Assumptions!Y107</f>
        <v>0</v>
      </c>
      <c r="Z88" s="76">
        <f>Assumptions!Z107</f>
        <v>0</v>
      </c>
      <c r="AA88" s="76">
        <f>Assumptions!AA107</f>
        <v>0</v>
      </c>
      <c r="AB88" s="76">
        <f>Assumptions!AB107</f>
        <v>0</v>
      </c>
      <c r="AC88" s="76">
        <f>Assumptions!AC107</f>
        <v>0</v>
      </c>
      <c r="AD88" s="76">
        <f>Assumptions!AD107</f>
        <v>0</v>
      </c>
      <c r="AE88" s="76">
        <f>Assumptions!AE107</f>
        <v>0</v>
      </c>
      <c r="AF88" s="76">
        <f>Assumptions!AF107</f>
        <v>0</v>
      </c>
      <c r="AG88" s="76">
        <f>Assumptions!AG107</f>
        <v>0</v>
      </c>
      <c r="AH88" s="76">
        <f>Assumptions!AH107</f>
        <v>0</v>
      </c>
      <c r="AI88" s="76">
        <f>Assumptions!AI107</f>
        <v>0</v>
      </c>
      <c r="AJ88" s="76">
        <f>Assumptions!AJ107</f>
        <v>0</v>
      </c>
      <c r="AK88" s="76">
        <f>Assumptions!AK107</f>
        <v>0</v>
      </c>
      <c r="AL88" s="76">
        <f>Assumptions!AL107</f>
        <v>0</v>
      </c>
      <c r="AM88" s="76">
        <f>Assumptions!AM107</f>
        <v>0</v>
      </c>
      <c r="AN88" s="76">
        <f>Assumptions!AN107</f>
        <v>0</v>
      </c>
      <c r="AO88" s="76">
        <f>Assumptions!AO107</f>
        <v>0</v>
      </c>
      <c r="AP88" s="76">
        <f>Assumptions!AP107</f>
        <v>0</v>
      </c>
      <c r="AQ88" s="76">
        <f>Assumptions!AQ107</f>
        <v>0</v>
      </c>
      <c r="AR88" s="76">
        <f>Assumptions!AR107</f>
        <v>0</v>
      </c>
      <c r="AS88" s="76">
        <f>Assumptions!AS107</f>
        <v>0</v>
      </c>
      <c r="AT88" s="76">
        <f>Assumptions!AT107</f>
        <v>0</v>
      </c>
      <c r="AU88" s="76">
        <f>Assumptions!AU107</f>
        <v>0</v>
      </c>
      <c r="AV88" s="76">
        <f>Assumptions!AV107</f>
        <v>0</v>
      </c>
      <c r="AW88" s="76">
        <f>Assumptions!AW107</f>
        <v>0</v>
      </c>
      <c r="AX88" s="76">
        <f>Assumptions!AX107</f>
        <v>0</v>
      </c>
      <c r="AY88" s="76">
        <f>Assumptions!AY107</f>
        <v>0</v>
      </c>
      <c r="AZ88" s="76">
        <f>Assumptions!AZ107</f>
        <v>0</v>
      </c>
      <c r="BA88" s="76">
        <f>Assumptions!BA107</f>
        <v>0</v>
      </c>
      <c r="BB88" s="76">
        <f>Assumptions!BB107</f>
        <v>0</v>
      </c>
      <c r="BC88" s="76">
        <f>Assumptions!BC107</f>
        <v>0</v>
      </c>
      <c r="BD88" s="76">
        <f>Assumptions!BD107</f>
        <v>0</v>
      </c>
      <c r="BE88" s="76">
        <f>Assumptions!BE107</f>
        <v>0</v>
      </c>
      <c r="BF88" s="76">
        <f>Assumptions!BF107</f>
        <v>0</v>
      </c>
      <c r="BG88" s="76">
        <f>Assumptions!BG107</f>
        <v>0</v>
      </c>
      <c r="BH88" s="76">
        <f>Assumptions!BH107</f>
        <v>0</v>
      </c>
      <c r="BI88" s="76">
        <f>Assumptions!BI107</f>
        <v>0</v>
      </c>
      <c r="BJ88" s="76">
        <f>Assumptions!BJ107</f>
        <v>0</v>
      </c>
      <c r="BK88" s="76">
        <f>Assumptions!BK107</f>
        <v>0</v>
      </c>
      <c r="BL88" s="76">
        <f>Assumptions!BL107</f>
        <v>0</v>
      </c>
      <c r="BM88" s="76">
        <f>Assumptions!BM107</f>
        <v>0</v>
      </c>
      <c r="BN88" s="76">
        <f>Assumptions!BN107</f>
        <v>0</v>
      </c>
    </row>
    <row r="89" spans="2:66" hidden="1" x14ac:dyDescent="0.2">
      <c r="B89" s="76" t="s">
        <v>43</v>
      </c>
      <c r="C89" s="76" t="s">
        <v>35</v>
      </c>
      <c r="J89" s="76">
        <f>Assumptions!J173</f>
        <v>30</v>
      </c>
      <c r="K89" s="76">
        <f>Assumptions!K173</f>
        <v>31</v>
      </c>
      <c r="L89" s="76">
        <f>Assumptions!L173</f>
        <v>30</v>
      </c>
      <c r="M89" s="76">
        <f>Assumptions!M173</f>
        <v>31</v>
      </c>
      <c r="N89" s="76">
        <f>Assumptions!N173</f>
        <v>30.571428571428573</v>
      </c>
      <c r="O89" s="76">
        <f>Assumptions!O173</f>
        <v>31</v>
      </c>
      <c r="P89" s="76">
        <f>Assumptions!P173</f>
        <v>28</v>
      </c>
      <c r="Q89" s="76">
        <f>Assumptions!Q173</f>
        <v>31</v>
      </c>
      <c r="R89" s="76">
        <f>Assumptions!R173</f>
        <v>30</v>
      </c>
      <c r="S89" s="76">
        <f>Assumptions!S173</f>
        <v>31</v>
      </c>
      <c r="T89" s="76">
        <f>Assumptions!T173</f>
        <v>30</v>
      </c>
      <c r="U89" s="76">
        <f>Assumptions!U173</f>
        <v>31</v>
      </c>
      <c r="V89" s="76">
        <f>Assumptions!V173</f>
        <v>31</v>
      </c>
      <c r="W89" s="76">
        <f>Assumptions!W173</f>
        <v>30</v>
      </c>
      <c r="X89" s="76">
        <f>Assumptions!X173</f>
        <v>31</v>
      </c>
      <c r="Y89" s="76">
        <f>Assumptions!Y173</f>
        <v>30</v>
      </c>
      <c r="Z89" s="76">
        <f>Assumptions!Z173</f>
        <v>31</v>
      </c>
      <c r="AA89" s="76">
        <f>Assumptions!AA173</f>
        <v>30.416666666666668</v>
      </c>
      <c r="AB89" s="76">
        <f>Assumptions!AB173</f>
        <v>31</v>
      </c>
      <c r="AC89" s="76">
        <f>Assumptions!AC173</f>
        <v>28</v>
      </c>
      <c r="AD89" s="76">
        <f>Assumptions!AD173</f>
        <v>31</v>
      </c>
      <c r="AE89" s="76">
        <f>Assumptions!AE173</f>
        <v>30</v>
      </c>
      <c r="AF89" s="76">
        <f>Assumptions!AF173</f>
        <v>31</v>
      </c>
      <c r="AG89" s="76">
        <f>Assumptions!AG173</f>
        <v>30</v>
      </c>
      <c r="AH89" s="76">
        <f>Assumptions!AH173</f>
        <v>31</v>
      </c>
      <c r="AI89" s="76">
        <f>Assumptions!AI173</f>
        <v>31</v>
      </c>
      <c r="AJ89" s="76">
        <f>Assumptions!AJ173</f>
        <v>30</v>
      </c>
      <c r="AK89" s="76">
        <f>Assumptions!AK173</f>
        <v>31</v>
      </c>
      <c r="AL89" s="76">
        <f>Assumptions!AL173</f>
        <v>30</v>
      </c>
      <c r="AM89" s="76">
        <f>Assumptions!AM173</f>
        <v>31</v>
      </c>
      <c r="AN89" s="76">
        <f>Assumptions!AN173</f>
        <v>30.416666666666668</v>
      </c>
      <c r="AO89" s="76">
        <f>Assumptions!AO173</f>
        <v>31</v>
      </c>
      <c r="AP89" s="76">
        <f>Assumptions!AP173</f>
        <v>29</v>
      </c>
      <c r="AQ89" s="76">
        <f>Assumptions!AQ173</f>
        <v>31</v>
      </c>
      <c r="AR89" s="76">
        <f>Assumptions!AR173</f>
        <v>30</v>
      </c>
      <c r="AS89" s="76">
        <f>Assumptions!AS173</f>
        <v>31</v>
      </c>
      <c r="AT89" s="76">
        <f>Assumptions!AT173</f>
        <v>30</v>
      </c>
      <c r="AU89" s="76">
        <f>Assumptions!AU173</f>
        <v>31</v>
      </c>
      <c r="AV89" s="76">
        <f>Assumptions!AV173</f>
        <v>31</v>
      </c>
      <c r="AW89" s="76">
        <f>Assumptions!AW173</f>
        <v>30</v>
      </c>
      <c r="AX89" s="76">
        <f>Assumptions!AX173</f>
        <v>31</v>
      </c>
      <c r="AY89" s="76">
        <f>Assumptions!AY173</f>
        <v>30</v>
      </c>
      <c r="AZ89" s="76">
        <f>Assumptions!AZ173</f>
        <v>31</v>
      </c>
      <c r="BA89" s="76">
        <f>Assumptions!BA173</f>
        <v>30.5</v>
      </c>
      <c r="BB89" s="76">
        <f>Assumptions!BB173</f>
        <v>31</v>
      </c>
      <c r="BC89" s="76">
        <f>Assumptions!BC173</f>
        <v>28</v>
      </c>
      <c r="BD89" s="76">
        <f>Assumptions!BD173</f>
        <v>31</v>
      </c>
      <c r="BE89" s="76">
        <f>Assumptions!BE173</f>
        <v>30</v>
      </c>
      <c r="BF89" s="76">
        <f>Assumptions!BF173</f>
        <v>31</v>
      </c>
      <c r="BG89" s="76">
        <f>Assumptions!BG173</f>
        <v>30</v>
      </c>
      <c r="BH89" s="76">
        <f>Assumptions!BH173</f>
        <v>31</v>
      </c>
      <c r="BI89" s="76">
        <f>Assumptions!BI173</f>
        <v>31</v>
      </c>
      <c r="BJ89" s="76">
        <f>Assumptions!BJ173</f>
        <v>30</v>
      </c>
      <c r="BK89" s="76">
        <f>Assumptions!BK173</f>
        <v>31</v>
      </c>
      <c r="BL89" s="76">
        <f>Assumptions!BL173</f>
        <v>30</v>
      </c>
      <c r="BM89" s="76">
        <f>Assumptions!BM173</f>
        <v>31</v>
      </c>
      <c r="BN89" s="76">
        <f>Assumptions!BN173</f>
        <v>30.416666666666668</v>
      </c>
    </row>
    <row r="90" spans="2:66" x14ac:dyDescent="0.2">
      <c r="B90" s="78" t="s">
        <v>81</v>
      </c>
      <c r="C90" s="334" t="s">
        <v>78</v>
      </c>
      <c r="D90" s="78"/>
      <c r="E90" s="78"/>
      <c r="F90" s="78"/>
      <c r="G90" s="78"/>
      <c r="H90" s="78"/>
      <c r="I90" s="78"/>
      <c r="J90" s="78">
        <f>Inventory!D46</f>
        <v>170.66666666666669</v>
      </c>
      <c r="K90" s="78">
        <f>Inventory!E46</f>
        <v>100.86400000000002</v>
      </c>
      <c r="L90" s="78">
        <f>Inventory!F46</f>
        <v>164.43733333333336</v>
      </c>
      <c r="M90" s="78">
        <f>Inventory!G46</f>
        <v>190.80533333333335</v>
      </c>
      <c r="N90" s="78">
        <f>Inventory!H46</f>
        <v>626.77333333333343</v>
      </c>
      <c r="O90" s="78">
        <f>Inventory!I46</f>
        <v>179.88266666666669</v>
      </c>
      <c r="P90" s="78">
        <f>Inventory!J46</f>
        <v>302.42133333333339</v>
      </c>
      <c r="Q90" s="78">
        <f>Inventory!K46</f>
        <v>387.75466666666671</v>
      </c>
      <c r="R90" s="78">
        <f>Inventory!L46</f>
        <v>302.42133333333339</v>
      </c>
      <c r="S90" s="78">
        <f>Inventory!M46</f>
        <v>387.75466666666671</v>
      </c>
      <c r="T90" s="78">
        <f>Inventory!N46</f>
        <v>302.42133333333339</v>
      </c>
      <c r="U90" s="78">
        <f>Inventory!O46</f>
        <v>387.75466666666671</v>
      </c>
      <c r="V90" s="78">
        <f>Inventory!P46</f>
        <v>302.42133333333339</v>
      </c>
      <c r="W90" s="78">
        <f>Inventory!Q46</f>
        <v>387.75466666666671</v>
      </c>
      <c r="X90" s="78">
        <f>Inventory!R46</f>
        <v>302.42133333333339</v>
      </c>
      <c r="Y90" s="78">
        <f>Inventory!S46</f>
        <v>387.75466666666671</v>
      </c>
      <c r="Z90" s="78">
        <f>Inventory!T46</f>
        <v>302.42133333333339</v>
      </c>
      <c r="AA90" s="78">
        <f>Inventory!U46</f>
        <v>3933.1840000000002</v>
      </c>
      <c r="AB90" s="78">
        <f>Inventory!V46</f>
        <v>441.6731648</v>
      </c>
      <c r="AC90" s="78">
        <f>Inventory!W46</f>
        <v>538.87236480000001</v>
      </c>
      <c r="AD90" s="78">
        <f>Inventory!X46</f>
        <v>441.6731648</v>
      </c>
      <c r="AE90" s="78">
        <f>Inventory!Y46</f>
        <v>523.51489119999997</v>
      </c>
      <c r="AF90" s="78">
        <f>Inventory!Z46</f>
        <v>395.60074400000002</v>
      </c>
      <c r="AG90" s="78">
        <f>Inventory!AA46</f>
        <v>252.3291232</v>
      </c>
      <c r="AH90" s="78">
        <f>Inventory!AB46</f>
        <v>288.09842880000002</v>
      </c>
      <c r="AI90" s="78">
        <f>Inventory!AC46</f>
        <v>308.51026080000003</v>
      </c>
      <c r="AJ90" s="78">
        <f>Inventory!AD46</f>
        <v>313.66181840000002</v>
      </c>
      <c r="AK90" s="78">
        <f>Inventory!AE46</f>
        <v>303.45590240000001</v>
      </c>
      <c r="AL90" s="78">
        <f>Inventory!AF46</f>
        <v>472.2909128</v>
      </c>
      <c r="AM90" s="78">
        <f>Inventory!AG46</f>
        <v>431.46724879999999</v>
      </c>
      <c r="AN90" s="78">
        <f>Inventory!AH46</f>
        <v>4711.1480247999998</v>
      </c>
      <c r="AO90" s="78">
        <f>Inventory!AI46</f>
        <v>581.0782014240001</v>
      </c>
      <c r="AP90" s="78">
        <f>Inventory!AJ46</f>
        <v>508.10881800000004</v>
      </c>
      <c r="AQ90" s="78">
        <f>Inventory!AK46</f>
        <v>617.7611795040001</v>
      </c>
      <c r="AR90" s="78">
        <f>Inventory!AL46</f>
        <v>711.74891793600011</v>
      </c>
      <c r="AS90" s="78">
        <f>Inventory!AM46</f>
        <v>591.78566529600005</v>
      </c>
      <c r="AT90" s="78">
        <f>Inventory!AN46</f>
        <v>654.4441575840001</v>
      </c>
      <c r="AU90" s="78">
        <f>Inventory!AO46</f>
        <v>503.15165880000006</v>
      </c>
      <c r="AV90" s="78">
        <f>Inventory!AP46</f>
        <v>534.58004812800004</v>
      </c>
      <c r="AW90" s="78">
        <f>Inventory!AQ46</f>
        <v>534.58005642834667</v>
      </c>
      <c r="AX90" s="78">
        <f>Inventory!AR46</f>
        <v>534.58006472869329</v>
      </c>
      <c r="AY90" s="78">
        <f>Inventory!AS46</f>
        <v>534.58007302903991</v>
      </c>
      <c r="AZ90" s="78">
        <f>Inventory!AT46</f>
        <v>534.58008132938642</v>
      </c>
      <c r="BA90" s="78">
        <f>Inventory!AU46</f>
        <v>6840.9789221874671</v>
      </c>
      <c r="BB90" s="78">
        <f t="shared" ref="BB90:BM90" si="38">(BB88*BB87*BB86)</f>
        <v>0</v>
      </c>
      <c r="BC90" s="78">
        <f t="shared" si="38"/>
        <v>0</v>
      </c>
      <c r="BD90" s="78">
        <f t="shared" si="38"/>
        <v>0</v>
      </c>
      <c r="BE90" s="78">
        <f t="shared" si="38"/>
        <v>0</v>
      </c>
      <c r="BF90" s="78">
        <f t="shared" si="38"/>
        <v>0</v>
      </c>
      <c r="BG90" s="78">
        <f t="shared" si="38"/>
        <v>0</v>
      </c>
      <c r="BH90" s="78">
        <f t="shared" si="38"/>
        <v>0</v>
      </c>
      <c r="BI90" s="78">
        <f t="shared" si="38"/>
        <v>0</v>
      </c>
      <c r="BJ90" s="78">
        <f t="shared" si="38"/>
        <v>0</v>
      </c>
      <c r="BK90" s="78">
        <f t="shared" si="38"/>
        <v>0</v>
      </c>
      <c r="BL90" s="78">
        <f t="shared" si="38"/>
        <v>0</v>
      </c>
      <c r="BM90" s="78">
        <f t="shared" si="38"/>
        <v>0</v>
      </c>
      <c r="BN90" s="78">
        <f>SUM(BB90:BM90)</f>
        <v>0</v>
      </c>
    </row>
    <row r="91" spans="2:66" x14ac:dyDescent="0.2">
      <c r="B91" s="80"/>
      <c r="C91" s="336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</row>
    <row r="92" spans="2:66" x14ac:dyDescent="0.2">
      <c r="B92" s="80" t="s">
        <v>83</v>
      </c>
    </row>
    <row r="93" spans="2:66" x14ac:dyDescent="0.2">
      <c r="B93" s="76" t="s">
        <v>31</v>
      </c>
      <c r="C93" s="76" t="s">
        <v>50</v>
      </c>
      <c r="J93" s="76">
        <f>Assumptions!J111</f>
        <v>0.22857142857142859</v>
      </c>
      <c r="K93" s="76">
        <f>Assumptions!K111</f>
        <v>0.22857142857142859</v>
      </c>
      <c r="L93" s="76">
        <f>Assumptions!L111</f>
        <v>0.22857142857142859</v>
      </c>
      <c r="M93" s="76">
        <f>Assumptions!M111</f>
        <v>0.22857142857142859</v>
      </c>
      <c r="N93" s="76">
        <f>Assumptions!N111</f>
        <v>0.22857142857142859</v>
      </c>
      <c r="O93" s="76">
        <f>Assumptions!O111</f>
        <v>0.22857142857142859</v>
      </c>
      <c r="P93" s="76">
        <f>Assumptions!P111</f>
        <v>0.22857142857142859</v>
      </c>
      <c r="Q93" s="76">
        <f>Assumptions!Q111</f>
        <v>0.23337142857142856</v>
      </c>
      <c r="R93" s="76">
        <f>Assumptions!R111</f>
        <v>0.23337142857142856</v>
      </c>
      <c r="S93" s="76">
        <f>Assumptions!S111</f>
        <v>0.23337142857142856</v>
      </c>
      <c r="T93" s="76">
        <f>Assumptions!T111</f>
        <v>0.23337142857142856</v>
      </c>
      <c r="U93" s="76">
        <f>Assumptions!U111</f>
        <v>0.23337142857142856</v>
      </c>
      <c r="V93" s="76">
        <f>Assumptions!V111</f>
        <v>0.23337142857142856</v>
      </c>
      <c r="W93" s="76">
        <f>Assumptions!W111</f>
        <v>0.23337142857142856</v>
      </c>
      <c r="X93" s="76">
        <f>Assumptions!X111</f>
        <v>0.23337142857142856</v>
      </c>
      <c r="Y93" s="76">
        <f>Assumptions!Y111</f>
        <v>0.23337142857142856</v>
      </c>
      <c r="Z93" s="76">
        <f>Assumptions!Z111</f>
        <v>0.23337142857142856</v>
      </c>
      <c r="AA93" s="76">
        <f>Assumptions!AA111</f>
        <v>0.23337142857142856</v>
      </c>
      <c r="AB93" s="76">
        <f>Assumptions!AB111</f>
        <v>0.23803885714285714</v>
      </c>
      <c r="AC93" s="76">
        <f>Assumptions!AC111</f>
        <v>0.23803885714285714</v>
      </c>
      <c r="AD93" s="76">
        <f>Assumptions!AD111</f>
        <v>0.23803885714285714</v>
      </c>
      <c r="AE93" s="76">
        <f>Assumptions!AE111</f>
        <v>0.23803885714285714</v>
      </c>
      <c r="AF93" s="76">
        <f>Assumptions!AF111</f>
        <v>0.23803885714285714</v>
      </c>
      <c r="AG93" s="76">
        <f>Assumptions!AG111</f>
        <v>0.23803885714285714</v>
      </c>
      <c r="AH93" s="76">
        <f>Assumptions!AH111</f>
        <v>0.23803885714285714</v>
      </c>
      <c r="AI93" s="76">
        <f>Assumptions!AI111</f>
        <v>0.23803885714285714</v>
      </c>
      <c r="AJ93" s="76">
        <f>Assumptions!AJ111</f>
        <v>0.23803885714285714</v>
      </c>
      <c r="AK93" s="76">
        <f>Assumptions!AK111</f>
        <v>0.23803885714285714</v>
      </c>
      <c r="AL93" s="76">
        <f>Assumptions!AL111</f>
        <v>0.23803885714285714</v>
      </c>
      <c r="AM93" s="76">
        <f>Assumptions!AM111</f>
        <v>0.23803885714285714</v>
      </c>
      <c r="AN93" s="76">
        <f>Assumptions!AN111</f>
        <v>0.23803885714285714</v>
      </c>
      <c r="AO93" s="76">
        <f>Assumptions!AO111</f>
        <v>0.2427996342857143</v>
      </c>
      <c r="AP93" s="76">
        <f>Assumptions!AP111</f>
        <v>0.2427996342857143</v>
      </c>
      <c r="AQ93" s="76">
        <f>Assumptions!AQ111</f>
        <v>0.2427996342857143</v>
      </c>
      <c r="AR93" s="76">
        <f>Assumptions!AR111</f>
        <v>0.2427996342857143</v>
      </c>
      <c r="AS93" s="76">
        <f>Assumptions!AS111</f>
        <v>0.2427996342857143</v>
      </c>
      <c r="AT93" s="76">
        <f>Assumptions!AT111</f>
        <v>0.2427996342857143</v>
      </c>
      <c r="AU93" s="76">
        <f>Assumptions!AU111</f>
        <v>0.2427996342857143</v>
      </c>
      <c r="AV93" s="76">
        <f>Assumptions!AV111</f>
        <v>0.2427996342857143</v>
      </c>
      <c r="AW93" s="76">
        <f>Assumptions!AW111</f>
        <v>0.2427996342857143</v>
      </c>
      <c r="AX93" s="76">
        <f>Assumptions!AX111</f>
        <v>0.2427996342857143</v>
      </c>
      <c r="AY93" s="76">
        <f>Assumptions!AY111</f>
        <v>0.2427996342857143</v>
      </c>
      <c r="AZ93" s="76">
        <f>Assumptions!AZ111</f>
        <v>0.2427996342857143</v>
      </c>
      <c r="BA93" s="76">
        <f>Assumptions!BA111</f>
        <v>0.2427996342857143</v>
      </c>
      <c r="BB93" s="76">
        <f>Assumptions!BB111</f>
        <v>0.24765562697142857</v>
      </c>
      <c r="BC93" s="76">
        <f>Assumptions!BC111</f>
        <v>0.24765562697142857</v>
      </c>
      <c r="BD93" s="76">
        <f>Assumptions!BD111</f>
        <v>0.24765562697142857</v>
      </c>
      <c r="BE93" s="76">
        <f>Assumptions!BE111</f>
        <v>0.24765562697142857</v>
      </c>
      <c r="BF93" s="76">
        <f>Assumptions!BF111</f>
        <v>0.24765562697142857</v>
      </c>
      <c r="BG93" s="76">
        <f>Assumptions!BG111</f>
        <v>0.24765562697142857</v>
      </c>
      <c r="BH93" s="76">
        <f>Assumptions!BH111</f>
        <v>0.24765562697142857</v>
      </c>
      <c r="BI93" s="76">
        <f>Assumptions!BI111</f>
        <v>0.24765562697142857</v>
      </c>
      <c r="BJ93" s="76">
        <f>Assumptions!BJ111</f>
        <v>0.24765562697142857</v>
      </c>
      <c r="BK93" s="76">
        <f>Assumptions!BK111</f>
        <v>0.24765562697142857</v>
      </c>
      <c r="BL93" s="76">
        <f>Assumptions!BL111</f>
        <v>0.24765562697142857</v>
      </c>
      <c r="BM93" s="76">
        <f>Assumptions!BM111</f>
        <v>0.24765562697142857</v>
      </c>
      <c r="BN93" s="76">
        <f>Assumptions!BN111</f>
        <v>0.24765562697142857</v>
      </c>
    </row>
    <row r="94" spans="2:66" x14ac:dyDescent="0.2">
      <c r="B94" s="76" t="s">
        <v>23</v>
      </c>
      <c r="C94" s="76" t="s">
        <v>28</v>
      </c>
      <c r="J94" s="76">
        <f>Assumptions!J114</f>
        <v>5.4533333333333331</v>
      </c>
      <c r="K94" s="76">
        <f>Assumptions!K114</f>
        <v>8.36</v>
      </c>
      <c r="L94" s="76">
        <f>Assumptions!L114</f>
        <v>11.266666666666667</v>
      </c>
      <c r="M94" s="76">
        <f>Assumptions!M114</f>
        <v>14.173333333333334</v>
      </c>
      <c r="N94" s="76">
        <f>Assumptions!N114</f>
        <v>39.25333333333333</v>
      </c>
      <c r="O94" s="76">
        <f>Assumptions!O114</f>
        <v>17.093333333333334</v>
      </c>
      <c r="P94" s="76">
        <f>Assumptions!P114</f>
        <v>20</v>
      </c>
      <c r="Q94" s="76">
        <f>Assumptions!Q114</f>
        <v>20</v>
      </c>
      <c r="R94" s="76">
        <f>Assumptions!R114</f>
        <v>20</v>
      </c>
      <c r="S94" s="76">
        <f>Assumptions!S114</f>
        <v>20</v>
      </c>
      <c r="T94" s="76">
        <f>Assumptions!T114</f>
        <v>20</v>
      </c>
      <c r="U94" s="76">
        <f>Assumptions!U114</f>
        <v>20</v>
      </c>
      <c r="V94" s="76">
        <f>Assumptions!V114</f>
        <v>20</v>
      </c>
      <c r="W94" s="76">
        <f>Assumptions!W114</f>
        <v>20</v>
      </c>
      <c r="X94" s="76">
        <f>Assumptions!X114</f>
        <v>20</v>
      </c>
      <c r="Y94" s="76">
        <f>Assumptions!Y114</f>
        <v>20</v>
      </c>
      <c r="Z94" s="76">
        <f>Assumptions!Z114</f>
        <v>20</v>
      </c>
      <c r="AA94" s="76">
        <f>Assumptions!AA114</f>
        <v>237.09333333333333</v>
      </c>
      <c r="AB94" s="76">
        <f>Assumptions!AB114</f>
        <v>20</v>
      </c>
      <c r="AC94" s="76">
        <f>Assumptions!AC114</f>
        <v>20</v>
      </c>
      <c r="AD94" s="76">
        <f>Assumptions!AD114</f>
        <v>21.053333333333335</v>
      </c>
      <c r="AE94" s="76">
        <f>Assumptions!AE114</f>
        <v>22.106666666666666</v>
      </c>
      <c r="AF94" s="76">
        <f>Assumptions!AF114</f>
        <v>23.16</v>
      </c>
      <c r="AG94" s="76">
        <f>Assumptions!AG114</f>
        <v>24.213333333333335</v>
      </c>
      <c r="AH94" s="76">
        <f>Assumptions!AH114</f>
        <v>25.266666666666666</v>
      </c>
      <c r="AI94" s="76">
        <f>Assumptions!AI114</f>
        <v>26.32</v>
      </c>
      <c r="AJ94" s="76">
        <f>Assumptions!AJ114</f>
        <v>27.373333333333335</v>
      </c>
      <c r="AK94" s="76">
        <f>Assumptions!AK114</f>
        <v>28.426666666666666</v>
      </c>
      <c r="AL94" s="76">
        <f>Assumptions!AL114</f>
        <v>29.466666666666665</v>
      </c>
      <c r="AM94" s="76">
        <f>Assumptions!AM114</f>
        <v>30.52</v>
      </c>
      <c r="AN94" s="76">
        <f>Assumptions!AN114</f>
        <v>297.90666666666669</v>
      </c>
      <c r="AO94" s="76">
        <f>Assumptions!AO114</f>
        <v>31.573333333333334</v>
      </c>
      <c r="AP94" s="76">
        <f>Assumptions!AP114</f>
        <v>32.626666666666665</v>
      </c>
      <c r="AQ94" s="76">
        <f>Assumptions!AQ114</f>
        <v>33.68</v>
      </c>
      <c r="AR94" s="76">
        <f>Assumptions!AR114</f>
        <v>34.72</v>
      </c>
      <c r="AS94" s="76">
        <f>Assumptions!AS114</f>
        <v>35.773333333333333</v>
      </c>
      <c r="AT94" s="76">
        <f>Assumptions!AT114</f>
        <v>36.826666666666668</v>
      </c>
      <c r="AU94" s="76">
        <f>Assumptions!AU114</f>
        <v>37.880000000000003</v>
      </c>
      <c r="AV94" s="76">
        <f>Assumptions!AV114</f>
        <v>39.999999441861334</v>
      </c>
      <c r="AW94" s="76">
        <f>Assumptions!AW114</f>
        <v>39.999999441861334</v>
      </c>
      <c r="AX94" s="76">
        <f>Assumptions!AX114</f>
        <v>39.999999441861334</v>
      </c>
      <c r="AY94" s="76">
        <f>Assumptions!AY114</f>
        <v>39.999999441861334</v>
      </c>
      <c r="AZ94" s="76">
        <f>Assumptions!AZ114</f>
        <v>39.999999441861334</v>
      </c>
      <c r="BA94" s="76">
        <f>Assumptions!BA114</f>
        <v>443.07999720930667</v>
      </c>
      <c r="BB94" s="76">
        <f>Assumptions!BB114</f>
        <v>36.923333100775558</v>
      </c>
      <c r="BC94" s="76">
        <f>Assumptions!BC114</f>
        <v>36.923333100775558</v>
      </c>
      <c r="BD94" s="76">
        <f>Assumptions!BD114</f>
        <v>36.923333100775558</v>
      </c>
      <c r="BE94" s="76">
        <f>Assumptions!BE114</f>
        <v>36.923333100775558</v>
      </c>
      <c r="BF94" s="76">
        <f>Assumptions!BF114</f>
        <v>36.923333100775558</v>
      </c>
      <c r="BG94" s="76">
        <f>Assumptions!BG114</f>
        <v>36.923333100775558</v>
      </c>
      <c r="BH94" s="76">
        <f>Assumptions!BH114</f>
        <v>36.923333100775558</v>
      </c>
      <c r="BI94" s="76">
        <f>Assumptions!BI114</f>
        <v>36.923333100775558</v>
      </c>
      <c r="BJ94" s="76">
        <f>Assumptions!BJ114</f>
        <v>36.923333100775558</v>
      </c>
      <c r="BK94" s="76">
        <f>Assumptions!BK114</f>
        <v>36.923333100775558</v>
      </c>
      <c r="BL94" s="76">
        <f>Assumptions!BL114</f>
        <v>36.923333100775558</v>
      </c>
      <c r="BM94" s="76">
        <f>Assumptions!BM114</f>
        <v>36.923333100775558</v>
      </c>
      <c r="BN94" s="76">
        <f>Assumptions!BN114</f>
        <v>443.07999720930667</v>
      </c>
    </row>
    <row r="95" spans="2:66" hidden="1" x14ac:dyDescent="0.2">
      <c r="B95" s="76" t="s">
        <v>42</v>
      </c>
      <c r="C95" s="76" t="s">
        <v>49</v>
      </c>
      <c r="J95" s="76">
        <f>Assumptions!J117</f>
        <v>0</v>
      </c>
      <c r="K95" s="76">
        <f>Assumptions!K117</f>
        <v>0</v>
      </c>
      <c r="L95" s="76">
        <f>Assumptions!L117</f>
        <v>0</v>
      </c>
      <c r="M95" s="76">
        <f>Assumptions!M117</f>
        <v>0</v>
      </c>
      <c r="N95" s="76">
        <f>Assumptions!N117</f>
        <v>0</v>
      </c>
      <c r="O95" s="76">
        <f>Assumptions!O117</f>
        <v>0</v>
      </c>
      <c r="P95" s="76">
        <f>Assumptions!P117</f>
        <v>0</v>
      </c>
      <c r="Q95" s="76">
        <f>Assumptions!Q117</f>
        <v>0</v>
      </c>
      <c r="R95" s="76">
        <f>Assumptions!R117</f>
        <v>0</v>
      </c>
      <c r="S95" s="76">
        <f>Assumptions!S117</f>
        <v>0</v>
      </c>
      <c r="T95" s="76">
        <f>Assumptions!T117</f>
        <v>0</v>
      </c>
      <c r="U95" s="76">
        <f>Assumptions!U117</f>
        <v>0</v>
      </c>
      <c r="V95" s="76">
        <f>Assumptions!V117</f>
        <v>0</v>
      </c>
      <c r="W95" s="76">
        <f>Assumptions!W117</f>
        <v>0</v>
      </c>
      <c r="X95" s="76">
        <f>Assumptions!X117</f>
        <v>0</v>
      </c>
      <c r="Y95" s="76">
        <f>Assumptions!Y117</f>
        <v>0</v>
      </c>
      <c r="Z95" s="76">
        <f>Assumptions!Z117</f>
        <v>0</v>
      </c>
      <c r="AA95" s="76">
        <f>Assumptions!AA117</f>
        <v>0</v>
      </c>
      <c r="AB95" s="76">
        <f>Assumptions!AB117</f>
        <v>0</v>
      </c>
      <c r="AC95" s="76">
        <f>Assumptions!AC117</f>
        <v>0</v>
      </c>
      <c r="AD95" s="76">
        <f>Assumptions!AD117</f>
        <v>0</v>
      </c>
      <c r="AE95" s="76">
        <f>Assumptions!AE117</f>
        <v>0</v>
      </c>
      <c r="AF95" s="76">
        <f>Assumptions!AF117</f>
        <v>0</v>
      </c>
      <c r="AG95" s="76">
        <f>Assumptions!AG117</f>
        <v>0</v>
      </c>
      <c r="AH95" s="76">
        <f>Assumptions!AH117</f>
        <v>0</v>
      </c>
      <c r="AI95" s="76">
        <f>Assumptions!AI117</f>
        <v>0</v>
      </c>
      <c r="AJ95" s="76">
        <f>Assumptions!AJ117</f>
        <v>0</v>
      </c>
      <c r="AK95" s="76">
        <f>Assumptions!AK117</f>
        <v>0</v>
      </c>
      <c r="AL95" s="76">
        <f>Assumptions!AL117</f>
        <v>0</v>
      </c>
      <c r="AM95" s="76">
        <f>Assumptions!AM117</f>
        <v>0</v>
      </c>
      <c r="AN95" s="76">
        <f>Assumptions!AN117</f>
        <v>0</v>
      </c>
      <c r="AO95" s="76">
        <f>Assumptions!AO117</f>
        <v>0</v>
      </c>
      <c r="AP95" s="76">
        <f>Assumptions!AP117</f>
        <v>0</v>
      </c>
      <c r="AQ95" s="76">
        <f>Assumptions!AQ117</f>
        <v>0</v>
      </c>
      <c r="AR95" s="76">
        <f>Assumptions!AR117</f>
        <v>0</v>
      </c>
      <c r="AS95" s="76">
        <f>Assumptions!AS117</f>
        <v>0</v>
      </c>
      <c r="AT95" s="76">
        <f>Assumptions!AT117</f>
        <v>0</v>
      </c>
      <c r="AU95" s="76">
        <f>Assumptions!AU117</f>
        <v>0</v>
      </c>
      <c r="AV95" s="76">
        <f>Assumptions!AV117</f>
        <v>0</v>
      </c>
      <c r="AW95" s="76">
        <f>Assumptions!AW117</f>
        <v>0</v>
      </c>
      <c r="AX95" s="76">
        <f>Assumptions!AX117</f>
        <v>0</v>
      </c>
      <c r="AY95" s="76">
        <f>Assumptions!AY117</f>
        <v>0</v>
      </c>
      <c r="AZ95" s="76">
        <f>Assumptions!AZ117</f>
        <v>0</v>
      </c>
      <c r="BA95" s="76">
        <f>Assumptions!BA117</f>
        <v>0</v>
      </c>
      <c r="BB95" s="76">
        <f>Assumptions!BB117</f>
        <v>0</v>
      </c>
      <c r="BC95" s="76">
        <f>Assumptions!BC117</f>
        <v>0</v>
      </c>
      <c r="BD95" s="76">
        <f>Assumptions!BD117</f>
        <v>0</v>
      </c>
      <c r="BE95" s="76">
        <f>Assumptions!BE117</f>
        <v>0</v>
      </c>
      <c r="BF95" s="76">
        <f>Assumptions!BF117</f>
        <v>0</v>
      </c>
      <c r="BG95" s="76">
        <f>Assumptions!BG117</f>
        <v>0</v>
      </c>
      <c r="BH95" s="76">
        <f>Assumptions!BH117</f>
        <v>0</v>
      </c>
      <c r="BI95" s="76">
        <f>Assumptions!BI117</f>
        <v>0</v>
      </c>
      <c r="BJ95" s="76">
        <f>Assumptions!BJ117</f>
        <v>0</v>
      </c>
      <c r="BK95" s="76">
        <f>Assumptions!BK117</f>
        <v>0</v>
      </c>
      <c r="BL95" s="76">
        <f>Assumptions!BL117</f>
        <v>0</v>
      </c>
      <c r="BM95" s="76">
        <f>Assumptions!BM117</f>
        <v>0</v>
      </c>
      <c r="BN95" s="76">
        <f>Assumptions!BN117</f>
        <v>0</v>
      </c>
    </row>
    <row r="96" spans="2:66" hidden="1" x14ac:dyDescent="0.2">
      <c r="B96" s="76" t="s">
        <v>43</v>
      </c>
      <c r="C96" s="76" t="s">
        <v>35</v>
      </c>
      <c r="J96" s="76">
        <f>Assumptions!J181</f>
        <v>30</v>
      </c>
      <c r="K96" s="76">
        <f>Assumptions!K181</f>
        <v>31</v>
      </c>
      <c r="L96" s="76">
        <f>Assumptions!L181</f>
        <v>30</v>
      </c>
      <c r="M96" s="76">
        <f>Assumptions!M181</f>
        <v>31</v>
      </c>
      <c r="N96" s="76">
        <f>Assumptions!N181</f>
        <v>30.571428571428573</v>
      </c>
      <c r="O96" s="76">
        <f>Assumptions!O181</f>
        <v>31</v>
      </c>
      <c r="P96" s="76">
        <f>Assumptions!P181</f>
        <v>28</v>
      </c>
      <c r="Q96" s="76">
        <f>Assumptions!Q181</f>
        <v>31</v>
      </c>
      <c r="R96" s="76">
        <f>Assumptions!R181</f>
        <v>30</v>
      </c>
      <c r="S96" s="76">
        <f>Assumptions!S181</f>
        <v>31</v>
      </c>
      <c r="T96" s="76">
        <f>Assumptions!T181</f>
        <v>30</v>
      </c>
      <c r="U96" s="76">
        <f>Assumptions!U181</f>
        <v>31</v>
      </c>
      <c r="V96" s="76">
        <f>Assumptions!V181</f>
        <v>31</v>
      </c>
      <c r="W96" s="76">
        <f>Assumptions!W181</f>
        <v>30</v>
      </c>
      <c r="X96" s="76">
        <f>Assumptions!X181</f>
        <v>31</v>
      </c>
      <c r="Y96" s="76">
        <f>Assumptions!Y181</f>
        <v>30</v>
      </c>
      <c r="Z96" s="76">
        <f>Assumptions!Z181</f>
        <v>31</v>
      </c>
      <c r="AA96" s="76">
        <f>Assumptions!AA181</f>
        <v>30.416666666666668</v>
      </c>
      <c r="AB96" s="76">
        <f>Assumptions!AB181</f>
        <v>31</v>
      </c>
      <c r="AC96" s="76">
        <f>Assumptions!AC181</f>
        <v>28</v>
      </c>
      <c r="AD96" s="76">
        <f>Assumptions!AD181</f>
        <v>31</v>
      </c>
      <c r="AE96" s="76">
        <f>Assumptions!AE181</f>
        <v>30</v>
      </c>
      <c r="AF96" s="76">
        <f>Assumptions!AF181</f>
        <v>31</v>
      </c>
      <c r="AG96" s="76">
        <f>Assumptions!AG181</f>
        <v>30</v>
      </c>
      <c r="AH96" s="76">
        <f>Assumptions!AH181</f>
        <v>31</v>
      </c>
      <c r="AI96" s="76">
        <f>Assumptions!AI181</f>
        <v>31</v>
      </c>
      <c r="AJ96" s="76">
        <f>Assumptions!AJ181</f>
        <v>30</v>
      </c>
      <c r="AK96" s="76">
        <f>Assumptions!AK181</f>
        <v>31</v>
      </c>
      <c r="AL96" s="76">
        <f>Assumptions!AL181</f>
        <v>30</v>
      </c>
      <c r="AM96" s="76">
        <f>Assumptions!AM181</f>
        <v>31</v>
      </c>
      <c r="AN96" s="76">
        <f>Assumptions!AN181</f>
        <v>30.416666666666668</v>
      </c>
      <c r="AO96" s="76">
        <f>Assumptions!AO181</f>
        <v>31</v>
      </c>
      <c r="AP96" s="76">
        <f>Assumptions!AP181</f>
        <v>29</v>
      </c>
      <c r="AQ96" s="76">
        <f>Assumptions!AQ181</f>
        <v>31</v>
      </c>
      <c r="AR96" s="76">
        <f>Assumptions!AR181</f>
        <v>30</v>
      </c>
      <c r="AS96" s="76">
        <f>Assumptions!AS181</f>
        <v>31</v>
      </c>
      <c r="AT96" s="76">
        <f>Assumptions!AT181</f>
        <v>30</v>
      </c>
      <c r="AU96" s="76">
        <f>Assumptions!AU181</f>
        <v>31</v>
      </c>
      <c r="AV96" s="76">
        <f>Assumptions!AV181</f>
        <v>31</v>
      </c>
      <c r="AW96" s="76">
        <f>Assumptions!AW181</f>
        <v>30</v>
      </c>
      <c r="AX96" s="76">
        <f>Assumptions!AX181</f>
        <v>31</v>
      </c>
      <c r="AY96" s="76">
        <f>Assumptions!AY181</f>
        <v>30</v>
      </c>
      <c r="AZ96" s="76">
        <f>Assumptions!AZ181</f>
        <v>31</v>
      </c>
      <c r="BA96" s="76">
        <f>Assumptions!BA181</f>
        <v>30.5</v>
      </c>
      <c r="BB96" s="76">
        <f>Assumptions!BB181</f>
        <v>31</v>
      </c>
      <c r="BC96" s="76">
        <f>Assumptions!BC181</f>
        <v>28</v>
      </c>
      <c r="BD96" s="76">
        <f>Assumptions!BD181</f>
        <v>31</v>
      </c>
      <c r="BE96" s="76">
        <f>Assumptions!BE181</f>
        <v>30</v>
      </c>
      <c r="BF96" s="76">
        <f>Assumptions!BF181</f>
        <v>31</v>
      </c>
      <c r="BG96" s="76">
        <f>Assumptions!BG181</f>
        <v>30</v>
      </c>
      <c r="BH96" s="76">
        <f>Assumptions!BH181</f>
        <v>31</v>
      </c>
      <c r="BI96" s="76">
        <f>Assumptions!BI181</f>
        <v>31</v>
      </c>
      <c r="BJ96" s="76">
        <f>Assumptions!BJ181</f>
        <v>30</v>
      </c>
      <c r="BK96" s="76">
        <f>Assumptions!BK181</f>
        <v>31</v>
      </c>
      <c r="BL96" s="76">
        <f>Assumptions!BL181</f>
        <v>30</v>
      </c>
      <c r="BM96" s="76">
        <f>Assumptions!BM181</f>
        <v>31</v>
      </c>
      <c r="BN96" s="76">
        <f>Assumptions!BN181</f>
        <v>30.416666666666668</v>
      </c>
    </row>
    <row r="97" spans="2:66" x14ac:dyDescent="0.2">
      <c r="B97" s="78" t="s">
        <v>81</v>
      </c>
      <c r="C97" s="334" t="s">
        <v>78</v>
      </c>
      <c r="D97" s="78"/>
      <c r="E97" s="78"/>
      <c r="F97" s="78"/>
      <c r="G97" s="78"/>
      <c r="H97" s="78"/>
      <c r="I97" s="78"/>
      <c r="J97" s="78">
        <f>Inventory!D47</f>
        <v>170.66666666666669</v>
      </c>
      <c r="K97" s="78">
        <f>Inventory!E47</f>
        <v>135.76533333333336</v>
      </c>
      <c r="L97" s="78">
        <f>Inventory!F47</f>
        <v>252.92800000000003</v>
      </c>
      <c r="M97" s="78">
        <f>Inventory!G47</f>
        <v>180.82133333333337</v>
      </c>
      <c r="N97" s="78">
        <f>Inventory!H47</f>
        <v>740.18133333333344</v>
      </c>
      <c r="O97" s="78">
        <f>Inventory!I47</f>
        <v>260.77866666666671</v>
      </c>
      <c r="P97" s="78">
        <f>Inventory!J47</f>
        <v>322.04800000000006</v>
      </c>
      <c r="Q97" s="78">
        <f>Inventory!K47</f>
        <v>194.04800000000003</v>
      </c>
      <c r="R97" s="78">
        <f>Inventory!L47</f>
        <v>236.71466666666669</v>
      </c>
      <c r="S97" s="78">
        <f>Inventory!M47</f>
        <v>108.71466666666669</v>
      </c>
      <c r="T97" s="78">
        <f>Inventory!N47</f>
        <v>151.38133333333334</v>
      </c>
      <c r="U97" s="78">
        <f>Inventory!O47</f>
        <v>194.04800000000003</v>
      </c>
      <c r="V97" s="78">
        <f>Inventory!P47</f>
        <v>236.71466666666669</v>
      </c>
      <c r="W97" s="78">
        <f>Inventory!Q47</f>
        <v>279.38133333333337</v>
      </c>
      <c r="X97" s="78">
        <f>Inventory!R47</f>
        <v>322.04800000000006</v>
      </c>
      <c r="Y97" s="78">
        <f>Inventory!S47</f>
        <v>194.04800000000003</v>
      </c>
      <c r="Z97" s="78">
        <f>Inventory!T47</f>
        <v>236.71466666666669</v>
      </c>
      <c r="AA97" s="78">
        <f>Inventory!U47</f>
        <v>2736.6400000000008</v>
      </c>
      <c r="AB97" s="78">
        <f>Inventory!V47</f>
        <v>318.23018079999997</v>
      </c>
      <c r="AC97" s="78">
        <f>Inventory!W47</f>
        <v>366.82978079999998</v>
      </c>
      <c r="AD97" s="78">
        <f>Inventory!X47</f>
        <v>221.03098080000001</v>
      </c>
      <c r="AE97" s="78">
        <f>Inventory!Y47</f>
        <v>261.95184399999999</v>
      </c>
      <c r="AF97" s="78">
        <f>Inventory!Z47</f>
        <v>295.19397040000001</v>
      </c>
      <c r="AG97" s="78">
        <f>Inventory!AA47</f>
        <v>320.75736000000001</v>
      </c>
      <c r="AH97" s="78">
        <f>Inventory!AB47</f>
        <v>338.64201279999997</v>
      </c>
      <c r="AI97" s="78">
        <f>Inventory!AC47</f>
        <v>348.84792879999998</v>
      </c>
      <c r="AJ97" s="78">
        <f>Inventory!AD47</f>
        <v>351.37510800000001</v>
      </c>
      <c r="AK97" s="78">
        <f>Inventory!AE47</f>
        <v>346.22355040000002</v>
      </c>
      <c r="AL97" s="78">
        <f>Inventory!AF47</f>
        <v>333.39325600000001</v>
      </c>
      <c r="AM97" s="78">
        <f>Inventory!AG47</f>
        <v>312.981424</v>
      </c>
      <c r="AN97" s="78">
        <f>Inventory!AH47</f>
        <v>3815.4573968</v>
      </c>
      <c r="AO97" s="78">
        <f>Inventory!AI47</f>
        <v>290.588672304</v>
      </c>
      <c r="AP97" s="78">
        <f>Inventory!AJ47</f>
        <v>254.10398059200003</v>
      </c>
      <c r="AQ97" s="78">
        <f>Inventory!AK47</f>
        <v>209.78697734400001</v>
      </c>
      <c r="AR97" s="78">
        <f>Inventory!AL47</f>
        <v>355.92403056000001</v>
      </c>
      <c r="AS97" s="78">
        <f>Inventory!AM47</f>
        <v>296.04154742400004</v>
      </c>
      <c r="AT97" s="78">
        <f>Inventory!AN47</f>
        <v>228.32675275200003</v>
      </c>
      <c r="AU97" s="78">
        <f>Inventory!AO47</f>
        <v>351.06601454400004</v>
      </c>
      <c r="AV97" s="78">
        <f>Inventory!AP47</f>
        <v>465.97296480000006</v>
      </c>
      <c r="AW97" s="78">
        <f>Inventory!AQ47</f>
        <v>366.82978495017335</v>
      </c>
      <c r="AX97" s="78">
        <f>Inventory!AR47</f>
        <v>465.97297310034662</v>
      </c>
      <c r="AY97" s="78">
        <f>Inventory!AS47</f>
        <v>366.82979325051997</v>
      </c>
      <c r="AZ97" s="78">
        <f>Inventory!AT47</f>
        <v>465.97298140069319</v>
      </c>
      <c r="BA97" s="78">
        <f>Inventory!AU47</f>
        <v>4117.4164730217335</v>
      </c>
      <c r="BB97" s="78">
        <f t="shared" ref="BB97:BM97" si="39">(BB95*BB94*BB93)</f>
        <v>0</v>
      </c>
      <c r="BC97" s="78">
        <f t="shared" si="39"/>
        <v>0</v>
      </c>
      <c r="BD97" s="78">
        <f t="shared" si="39"/>
        <v>0</v>
      </c>
      <c r="BE97" s="78">
        <f t="shared" si="39"/>
        <v>0</v>
      </c>
      <c r="BF97" s="78">
        <f t="shared" si="39"/>
        <v>0</v>
      </c>
      <c r="BG97" s="78">
        <f t="shared" si="39"/>
        <v>0</v>
      </c>
      <c r="BH97" s="78">
        <f t="shared" si="39"/>
        <v>0</v>
      </c>
      <c r="BI97" s="78">
        <f t="shared" si="39"/>
        <v>0</v>
      </c>
      <c r="BJ97" s="78">
        <f t="shared" si="39"/>
        <v>0</v>
      </c>
      <c r="BK97" s="78">
        <f t="shared" si="39"/>
        <v>0</v>
      </c>
      <c r="BL97" s="78">
        <f t="shared" si="39"/>
        <v>0</v>
      </c>
      <c r="BM97" s="78">
        <f t="shared" si="39"/>
        <v>0</v>
      </c>
      <c r="BN97" s="78">
        <f>SUM(BB97:BM97)</f>
        <v>0</v>
      </c>
    </row>
    <row r="98" spans="2:66" x14ac:dyDescent="0.2">
      <c r="B98" s="80"/>
      <c r="C98" s="336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</row>
    <row r="99" spans="2:66" x14ac:dyDescent="0.2">
      <c r="B99" s="80" t="s">
        <v>84</v>
      </c>
    </row>
    <row r="100" spans="2:66" x14ac:dyDescent="0.2">
      <c r="B100" s="76" t="s">
        <v>31</v>
      </c>
      <c r="C100" s="76" t="s">
        <v>50</v>
      </c>
      <c r="J100" s="76">
        <f>Assumptions!J121</f>
        <v>0.22857142857142859</v>
      </c>
      <c r="K100" s="76">
        <f>Assumptions!K121</f>
        <v>0.22857142857142859</v>
      </c>
      <c r="L100" s="76">
        <f>Assumptions!L121</f>
        <v>0.22857142857142859</v>
      </c>
      <c r="M100" s="76">
        <f>Assumptions!M121</f>
        <v>0.22857142857142859</v>
      </c>
      <c r="N100" s="76">
        <f>Assumptions!N121</f>
        <v>0.22857142857142859</v>
      </c>
      <c r="O100" s="76">
        <f>Assumptions!O121</f>
        <v>0.22857142857142859</v>
      </c>
      <c r="P100" s="76">
        <f>Assumptions!P121</f>
        <v>0.22857142857142859</v>
      </c>
      <c r="Q100" s="76">
        <f>Assumptions!Q121</f>
        <v>0.23337142857142856</v>
      </c>
      <c r="R100" s="76">
        <f>Assumptions!R121</f>
        <v>0.23337142857142856</v>
      </c>
      <c r="S100" s="76">
        <f>Assumptions!S121</f>
        <v>0.23337142857142856</v>
      </c>
      <c r="T100" s="76">
        <f>Assumptions!T121</f>
        <v>0.23337142857142856</v>
      </c>
      <c r="U100" s="76">
        <f>Assumptions!U121</f>
        <v>0.23337142857142856</v>
      </c>
      <c r="V100" s="76">
        <f>Assumptions!V121</f>
        <v>0.23337142857142856</v>
      </c>
      <c r="W100" s="76">
        <f>Assumptions!W121</f>
        <v>0.23337142857142856</v>
      </c>
      <c r="X100" s="76">
        <f>Assumptions!X121</f>
        <v>0.23337142857142856</v>
      </c>
      <c r="Y100" s="76">
        <f>Assumptions!Y121</f>
        <v>0.23337142857142856</v>
      </c>
      <c r="Z100" s="76">
        <f>Assumptions!Z121</f>
        <v>0.23337142857142856</v>
      </c>
      <c r="AA100" s="76">
        <f>Assumptions!AA121</f>
        <v>0.23337142857142856</v>
      </c>
      <c r="AB100" s="76">
        <f>Assumptions!AB121</f>
        <v>0.23803885714285714</v>
      </c>
      <c r="AC100" s="76">
        <f>Assumptions!AC121</f>
        <v>0.23803885714285714</v>
      </c>
      <c r="AD100" s="76">
        <f>Assumptions!AD121</f>
        <v>0.23803885714285714</v>
      </c>
      <c r="AE100" s="76">
        <f>Assumptions!AE121</f>
        <v>0.23803885714285714</v>
      </c>
      <c r="AF100" s="76">
        <f>Assumptions!AF121</f>
        <v>0.23803885714285714</v>
      </c>
      <c r="AG100" s="76">
        <f>Assumptions!AG121</f>
        <v>0.23803885714285714</v>
      </c>
      <c r="AH100" s="76">
        <f>Assumptions!AH121</f>
        <v>0.23803885714285714</v>
      </c>
      <c r="AI100" s="76">
        <f>Assumptions!AI121</f>
        <v>0.23803885714285714</v>
      </c>
      <c r="AJ100" s="76">
        <f>Assumptions!AJ121</f>
        <v>0.23803885714285714</v>
      </c>
      <c r="AK100" s="76">
        <f>Assumptions!AK121</f>
        <v>0.23803885714285714</v>
      </c>
      <c r="AL100" s="76">
        <f>Assumptions!AL121</f>
        <v>0.23803885714285714</v>
      </c>
      <c r="AM100" s="76">
        <f>Assumptions!AM121</f>
        <v>0.23803885714285714</v>
      </c>
      <c r="AN100" s="76">
        <f>Assumptions!AN121</f>
        <v>0.23803885714285714</v>
      </c>
      <c r="AO100" s="76">
        <f>Assumptions!AO121</f>
        <v>0.2427996342857143</v>
      </c>
      <c r="AP100" s="76">
        <f>Assumptions!AP121</f>
        <v>0.2427996342857143</v>
      </c>
      <c r="AQ100" s="76">
        <f>Assumptions!AQ121</f>
        <v>0.2427996342857143</v>
      </c>
      <c r="AR100" s="76">
        <f>Assumptions!AR121</f>
        <v>0.2427996342857143</v>
      </c>
      <c r="AS100" s="76">
        <f>Assumptions!AS121</f>
        <v>0.2427996342857143</v>
      </c>
      <c r="AT100" s="76">
        <f>Assumptions!AT121</f>
        <v>0.2427996342857143</v>
      </c>
      <c r="AU100" s="76">
        <f>Assumptions!AU121</f>
        <v>0.2427996342857143</v>
      </c>
      <c r="AV100" s="76">
        <f>Assumptions!AV121</f>
        <v>0.2427996342857143</v>
      </c>
      <c r="AW100" s="76">
        <f>Assumptions!AW121</f>
        <v>0.2427996342857143</v>
      </c>
      <c r="AX100" s="76">
        <f>Assumptions!AX121</f>
        <v>0.2427996342857143</v>
      </c>
      <c r="AY100" s="76">
        <f>Assumptions!AY121</f>
        <v>0.2427996342857143</v>
      </c>
      <c r="AZ100" s="76">
        <f>Assumptions!AZ121</f>
        <v>0.2427996342857143</v>
      </c>
      <c r="BA100" s="76">
        <f>Assumptions!BA121</f>
        <v>0.2427996342857143</v>
      </c>
      <c r="BB100" s="76">
        <f>Assumptions!BB121</f>
        <v>0.24765562697142857</v>
      </c>
      <c r="BC100" s="76">
        <f>Assumptions!BC121</f>
        <v>0.24765562697142857</v>
      </c>
      <c r="BD100" s="76">
        <f>Assumptions!BD121</f>
        <v>0.24765562697142857</v>
      </c>
      <c r="BE100" s="76">
        <f>Assumptions!BE121</f>
        <v>0.24765562697142857</v>
      </c>
      <c r="BF100" s="76">
        <f>Assumptions!BF121</f>
        <v>0.24765562697142857</v>
      </c>
      <c r="BG100" s="76">
        <f>Assumptions!BG121</f>
        <v>0.24765562697142857</v>
      </c>
      <c r="BH100" s="76">
        <f>Assumptions!BH121</f>
        <v>0.24765562697142857</v>
      </c>
      <c r="BI100" s="76">
        <f>Assumptions!BI121</f>
        <v>0.24765562697142857</v>
      </c>
      <c r="BJ100" s="76">
        <f>Assumptions!BJ121</f>
        <v>0.24765562697142857</v>
      </c>
      <c r="BK100" s="76">
        <f>Assumptions!BK121</f>
        <v>0.24765562697142857</v>
      </c>
      <c r="BL100" s="76">
        <f>Assumptions!BL121</f>
        <v>0.24765562697142857</v>
      </c>
      <c r="BM100" s="76">
        <f>Assumptions!BM121</f>
        <v>0.24765562697142857</v>
      </c>
      <c r="BN100" s="76">
        <f>Assumptions!BN121</f>
        <v>0.24765562697142857</v>
      </c>
    </row>
    <row r="101" spans="2:66" x14ac:dyDescent="0.2">
      <c r="B101" s="76" t="s">
        <v>23</v>
      </c>
      <c r="C101" s="76" t="s">
        <v>28</v>
      </c>
      <c r="J101" s="76">
        <f>Assumptions!J124</f>
        <v>5.4533333333333331</v>
      </c>
      <c r="K101" s="76">
        <f>Assumptions!K124</f>
        <v>8.36</v>
      </c>
      <c r="L101" s="76">
        <f>Assumptions!L124</f>
        <v>11.266666666666667</v>
      </c>
      <c r="M101" s="76">
        <f>Assumptions!M124</f>
        <v>14.173333333333334</v>
      </c>
      <c r="N101" s="76">
        <f>Assumptions!N124</f>
        <v>39.25333333333333</v>
      </c>
      <c r="O101" s="76">
        <f>Assumptions!O124</f>
        <v>17.093333333333334</v>
      </c>
      <c r="P101" s="76">
        <f>Assumptions!P124</f>
        <v>20</v>
      </c>
      <c r="Q101" s="76">
        <f>Assumptions!Q124</f>
        <v>20</v>
      </c>
      <c r="R101" s="76">
        <f>Assumptions!R124</f>
        <v>20</v>
      </c>
      <c r="S101" s="76">
        <f>Assumptions!S124</f>
        <v>20</v>
      </c>
      <c r="T101" s="76">
        <f>Assumptions!T124</f>
        <v>20</v>
      </c>
      <c r="U101" s="76">
        <f>Assumptions!U124</f>
        <v>20</v>
      </c>
      <c r="V101" s="76">
        <f>Assumptions!V124</f>
        <v>20</v>
      </c>
      <c r="W101" s="76">
        <f>Assumptions!W124</f>
        <v>20</v>
      </c>
      <c r="X101" s="76">
        <f>Assumptions!X124</f>
        <v>20</v>
      </c>
      <c r="Y101" s="76">
        <f>Assumptions!Y124</f>
        <v>20</v>
      </c>
      <c r="Z101" s="76">
        <f>Assumptions!Z124</f>
        <v>20</v>
      </c>
      <c r="AA101" s="76">
        <f>Assumptions!AA124</f>
        <v>237.09333333333333</v>
      </c>
      <c r="AB101" s="76">
        <f>Assumptions!AB124</f>
        <v>20</v>
      </c>
      <c r="AC101" s="76">
        <f>Assumptions!AC124</f>
        <v>20</v>
      </c>
      <c r="AD101" s="76">
        <f>Assumptions!AD124</f>
        <v>21.053333333333335</v>
      </c>
      <c r="AE101" s="76">
        <f>Assumptions!AE124</f>
        <v>22.106666666666666</v>
      </c>
      <c r="AF101" s="76">
        <f>Assumptions!AF124</f>
        <v>23.146666666666668</v>
      </c>
      <c r="AG101" s="76">
        <f>Assumptions!AG124</f>
        <v>24.2</v>
      </c>
      <c r="AH101" s="76">
        <f>Assumptions!AH124</f>
        <v>25.253333333333334</v>
      </c>
      <c r="AI101" s="76">
        <f>Assumptions!AI124</f>
        <v>26.306666666666668</v>
      </c>
      <c r="AJ101" s="76">
        <f>Assumptions!AJ124</f>
        <v>27.36</v>
      </c>
      <c r="AK101" s="76">
        <f>Assumptions!AK124</f>
        <v>28.413333333333334</v>
      </c>
      <c r="AL101" s="76">
        <f>Assumptions!AL124</f>
        <v>29.48</v>
      </c>
      <c r="AM101" s="76">
        <f>Assumptions!AM124</f>
        <v>30.533333333333335</v>
      </c>
      <c r="AN101" s="76">
        <f>Assumptions!AN124</f>
        <v>297.85333333333335</v>
      </c>
      <c r="AO101" s="76">
        <f>Assumptions!AO124</f>
        <v>31.573333333333334</v>
      </c>
      <c r="AP101" s="76">
        <f>Assumptions!AP124</f>
        <v>32.626666666666665</v>
      </c>
      <c r="AQ101" s="76">
        <f>Assumptions!AQ124</f>
        <v>33.68</v>
      </c>
      <c r="AR101" s="76">
        <f>Assumptions!AR124</f>
        <v>34.733333333333334</v>
      </c>
      <c r="AS101" s="76">
        <f>Assumptions!AS124</f>
        <v>35.786666666666669</v>
      </c>
      <c r="AT101" s="76">
        <f>Assumptions!AT124</f>
        <v>36.840000000000003</v>
      </c>
      <c r="AU101" s="76">
        <f>Assumptions!AU124</f>
        <v>37.893333333333331</v>
      </c>
      <c r="AV101" s="76">
        <f>Assumptions!AV124</f>
        <v>39.999999441861334</v>
      </c>
      <c r="AW101" s="76">
        <f>Assumptions!AW124</f>
        <v>39.999999441861334</v>
      </c>
      <c r="AX101" s="76">
        <f>Assumptions!AX124</f>
        <v>39.999999441861334</v>
      </c>
      <c r="AY101" s="76">
        <f>Assumptions!AY124</f>
        <v>39.999999441861334</v>
      </c>
      <c r="AZ101" s="76">
        <f>Assumptions!AZ124</f>
        <v>39.999999441861334</v>
      </c>
      <c r="BA101" s="76">
        <f>Assumptions!BA124</f>
        <v>443.13333054264001</v>
      </c>
      <c r="BB101" s="76">
        <f>Assumptions!BB124</f>
        <v>36.927777545219996</v>
      </c>
      <c r="BC101" s="76">
        <f>Assumptions!BC124</f>
        <v>36.927777545219996</v>
      </c>
      <c r="BD101" s="76">
        <f>Assumptions!BD124</f>
        <v>36.927777545219996</v>
      </c>
      <c r="BE101" s="76">
        <f>Assumptions!BE124</f>
        <v>36.927777545219996</v>
      </c>
      <c r="BF101" s="76">
        <f>Assumptions!BF124</f>
        <v>36.927777545219996</v>
      </c>
      <c r="BG101" s="76">
        <f>Assumptions!BG124</f>
        <v>36.927777545219996</v>
      </c>
      <c r="BH101" s="76">
        <f>Assumptions!BH124</f>
        <v>36.927777545219996</v>
      </c>
      <c r="BI101" s="76">
        <f>Assumptions!BI124</f>
        <v>36.927777545219996</v>
      </c>
      <c r="BJ101" s="76">
        <f>Assumptions!BJ124</f>
        <v>36.927777545219996</v>
      </c>
      <c r="BK101" s="76">
        <f>Assumptions!BK124</f>
        <v>36.927777545219996</v>
      </c>
      <c r="BL101" s="76">
        <f>Assumptions!BL124</f>
        <v>36.927777545219996</v>
      </c>
      <c r="BM101" s="76">
        <f>Assumptions!BM124</f>
        <v>36.927777545219996</v>
      </c>
      <c r="BN101" s="76">
        <f>Assumptions!BN124</f>
        <v>443.13333054264001</v>
      </c>
    </row>
    <row r="102" spans="2:66" hidden="1" x14ac:dyDescent="0.2">
      <c r="B102" s="76" t="s">
        <v>42</v>
      </c>
      <c r="C102" s="76" t="s">
        <v>49</v>
      </c>
      <c r="J102" s="76">
        <f>Assumptions!J127</f>
        <v>0</v>
      </c>
      <c r="K102" s="76">
        <f>Assumptions!K127</f>
        <v>0</v>
      </c>
      <c r="L102" s="76">
        <f>Assumptions!L127</f>
        <v>0</v>
      </c>
      <c r="M102" s="76">
        <f>Assumptions!M127</f>
        <v>0</v>
      </c>
      <c r="N102" s="76">
        <f>Assumptions!N127</f>
        <v>0</v>
      </c>
      <c r="O102" s="76">
        <f>Assumptions!O127</f>
        <v>0</v>
      </c>
      <c r="P102" s="76">
        <f>Assumptions!P127</f>
        <v>0</v>
      </c>
      <c r="Q102" s="76">
        <f>Assumptions!Q127</f>
        <v>0</v>
      </c>
      <c r="R102" s="76">
        <f>Assumptions!R127</f>
        <v>0</v>
      </c>
      <c r="S102" s="76">
        <f>Assumptions!S127</f>
        <v>0</v>
      </c>
      <c r="T102" s="76">
        <f>Assumptions!T127</f>
        <v>0</v>
      </c>
      <c r="U102" s="76">
        <f>Assumptions!U127</f>
        <v>0</v>
      </c>
      <c r="V102" s="76">
        <f>Assumptions!V127</f>
        <v>0</v>
      </c>
      <c r="W102" s="76">
        <f>Assumptions!W127</f>
        <v>0</v>
      </c>
      <c r="X102" s="76">
        <f>Assumptions!X127</f>
        <v>0</v>
      </c>
      <c r="Y102" s="76">
        <f>Assumptions!Y127</f>
        <v>0</v>
      </c>
      <c r="Z102" s="76">
        <f>Assumptions!Z127</f>
        <v>0</v>
      </c>
      <c r="AA102" s="76">
        <f>Assumptions!AA127</f>
        <v>0</v>
      </c>
      <c r="AB102" s="76">
        <f>Assumptions!AB127</f>
        <v>0</v>
      </c>
      <c r="AC102" s="76">
        <f>Assumptions!AC127</f>
        <v>0</v>
      </c>
      <c r="AD102" s="76">
        <f>Assumptions!AD127</f>
        <v>0</v>
      </c>
      <c r="AE102" s="76">
        <f>Assumptions!AE127</f>
        <v>0</v>
      </c>
      <c r="AF102" s="76">
        <f>Assumptions!AF127</f>
        <v>0</v>
      </c>
      <c r="AG102" s="76">
        <f>Assumptions!AG127</f>
        <v>0</v>
      </c>
      <c r="AH102" s="76">
        <f>Assumptions!AH127</f>
        <v>0</v>
      </c>
      <c r="AI102" s="76">
        <f>Assumptions!AI127</f>
        <v>0</v>
      </c>
      <c r="AJ102" s="76">
        <f>Assumptions!AJ127</f>
        <v>0</v>
      </c>
      <c r="AK102" s="76">
        <f>Assumptions!AK127</f>
        <v>0</v>
      </c>
      <c r="AL102" s="76">
        <f>Assumptions!AL127</f>
        <v>0</v>
      </c>
      <c r="AM102" s="76">
        <f>Assumptions!AM127</f>
        <v>0</v>
      </c>
      <c r="AN102" s="76">
        <f>Assumptions!AN127</f>
        <v>0</v>
      </c>
      <c r="AO102" s="76">
        <f>Assumptions!AO127</f>
        <v>0</v>
      </c>
      <c r="AP102" s="76">
        <f>Assumptions!AP127</f>
        <v>0</v>
      </c>
      <c r="AQ102" s="76">
        <f>Assumptions!AQ127</f>
        <v>0</v>
      </c>
      <c r="AR102" s="76">
        <f>Assumptions!AR127</f>
        <v>0</v>
      </c>
      <c r="AS102" s="76">
        <f>Assumptions!AS127</f>
        <v>0</v>
      </c>
      <c r="AT102" s="76">
        <f>Assumptions!AT127</f>
        <v>0</v>
      </c>
      <c r="AU102" s="76">
        <f>Assumptions!AU127</f>
        <v>0</v>
      </c>
      <c r="AV102" s="76">
        <f>Assumptions!AV127</f>
        <v>0</v>
      </c>
      <c r="AW102" s="76">
        <f>Assumptions!AW127</f>
        <v>0</v>
      </c>
      <c r="AX102" s="76">
        <f>Assumptions!AX127</f>
        <v>0</v>
      </c>
      <c r="AY102" s="76">
        <f>Assumptions!AY127</f>
        <v>0</v>
      </c>
      <c r="AZ102" s="76">
        <f>Assumptions!AZ127</f>
        <v>0</v>
      </c>
      <c r="BA102" s="76">
        <f>Assumptions!BA127</f>
        <v>0</v>
      </c>
      <c r="BB102" s="76">
        <f>Assumptions!BB127</f>
        <v>0</v>
      </c>
      <c r="BC102" s="76">
        <f>Assumptions!BC127</f>
        <v>0</v>
      </c>
      <c r="BD102" s="76">
        <f>Assumptions!BD127</f>
        <v>0</v>
      </c>
      <c r="BE102" s="76">
        <f>Assumptions!BE127</f>
        <v>0</v>
      </c>
      <c r="BF102" s="76">
        <f>Assumptions!BF127</f>
        <v>0</v>
      </c>
      <c r="BG102" s="76">
        <f>Assumptions!BG127</f>
        <v>0</v>
      </c>
      <c r="BH102" s="76">
        <f>Assumptions!BH127</f>
        <v>0</v>
      </c>
      <c r="BI102" s="76">
        <f>Assumptions!BI127</f>
        <v>0</v>
      </c>
      <c r="BJ102" s="76">
        <f>Assumptions!BJ127</f>
        <v>0</v>
      </c>
      <c r="BK102" s="76">
        <f>Assumptions!BK127</f>
        <v>0</v>
      </c>
      <c r="BL102" s="76">
        <f>Assumptions!BL127</f>
        <v>0</v>
      </c>
      <c r="BM102" s="76">
        <f>Assumptions!BM127</f>
        <v>0</v>
      </c>
      <c r="BN102" s="76">
        <f>Assumptions!BN127</f>
        <v>0</v>
      </c>
    </row>
    <row r="103" spans="2:66" hidden="1" x14ac:dyDescent="0.2">
      <c r="B103" s="76" t="s">
        <v>43</v>
      </c>
      <c r="C103" s="76" t="s">
        <v>35</v>
      </c>
      <c r="J103" s="76">
        <f t="shared" ref="J103:BN103" si="40">J96</f>
        <v>30</v>
      </c>
      <c r="K103" s="76">
        <f t="shared" si="40"/>
        <v>31</v>
      </c>
      <c r="L103" s="76">
        <f t="shared" si="40"/>
        <v>30</v>
      </c>
      <c r="M103" s="76">
        <f t="shared" si="40"/>
        <v>31</v>
      </c>
      <c r="N103" s="76">
        <f t="shared" si="40"/>
        <v>30.571428571428573</v>
      </c>
      <c r="O103" s="76">
        <f t="shared" si="40"/>
        <v>31</v>
      </c>
      <c r="P103" s="76">
        <f t="shared" si="40"/>
        <v>28</v>
      </c>
      <c r="Q103" s="76">
        <f t="shared" si="40"/>
        <v>31</v>
      </c>
      <c r="R103" s="76">
        <f t="shared" si="40"/>
        <v>30</v>
      </c>
      <c r="S103" s="76">
        <f t="shared" si="40"/>
        <v>31</v>
      </c>
      <c r="T103" s="76">
        <f t="shared" si="40"/>
        <v>30</v>
      </c>
      <c r="U103" s="76">
        <f t="shared" si="40"/>
        <v>31</v>
      </c>
      <c r="V103" s="76">
        <f t="shared" si="40"/>
        <v>31</v>
      </c>
      <c r="W103" s="76">
        <f t="shared" si="40"/>
        <v>30</v>
      </c>
      <c r="X103" s="76">
        <f t="shared" si="40"/>
        <v>31</v>
      </c>
      <c r="Y103" s="76">
        <f t="shared" si="40"/>
        <v>30</v>
      </c>
      <c r="Z103" s="76">
        <f t="shared" si="40"/>
        <v>31</v>
      </c>
      <c r="AA103" s="76">
        <f t="shared" si="40"/>
        <v>30.416666666666668</v>
      </c>
      <c r="AB103" s="76">
        <f t="shared" si="40"/>
        <v>31</v>
      </c>
      <c r="AC103" s="76">
        <f t="shared" si="40"/>
        <v>28</v>
      </c>
      <c r="AD103" s="76">
        <f t="shared" si="40"/>
        <v>31</v>
      </c>
      <c r="AE103" s="76">
        <f t="shared" si="40"/>
        <v>30</v>
      </c>
      <c r="AF103" s="76">
        <f t="shared" si="40"/>
        <v>31</v>
      </c>
      <c r="AG103" s="76">
        <f t="shared" si="40"/>
        <v>30</v>
      </c>
      <c r="AH103" s="76">
        <f t="shared" si="40"/>
        <v>31</v>
      </c>
      <c r="AI103" s="76">
        <f t="shared" si="40"/>
        <v>31</v>
      </c>
      <c r="AJ103" s="76">
        <f t="shared" si="40"/>
        <v>30</v>
      </c>
      <c r="AK103" s="76">
        <f t="shared" si="40"/>
        <v>31</v>
      </c>
      <c r="AL103" s="76">
        <f t="shared" si="40"/>
        <v>30</v>
      </c>
      <c r="AM103" s="76">
        <f t="shared" si="40"/>
        <v>31</v>
      </c>
      <c r="AN103" s="76">
        <f t="shared" si="40"/>
        <v>30.416666666666668</v>
      </c>
      <c r="AO103" s="76">
        <f t="shared" si="40"/>
        <v>31</v>
      </c>
      <c r="AP103" s="76">
        <f t="shared" si="40"/>
        <v>29</v>
      </c>
      <c r="AQ103" s="76">
        <f t="shared" si="40"/>
        <v>31</v>
      </c>
      <c r="AR103" s="76">
        <f t="shared" si="40"/>
        <v>30</v>
      </c>
      <c r="AS103" s="76">
        <f t="shared" si="40"/>
        <v>31</v>
      </c>
      <c r="AT103" s="76">
        <f t="shared" si="40"/>
        <v>30</v>
      </c>
      <c r="AU103" s="76">
        <f t="shared" si="40"/>
        <v>31</v>
      </c>
      <c r="AV103" s="76">
        <f t="shared" si="40"/>
        <v>31</v>
      </c>
      <c r="AW103" s="76">
        <f t="shared" si="40"/>
        <v>30</v>
      </c>
      <c r="AX103" s="76">
        <f t="shared" si="40"/>
        <v>31</v>
      </c>
      <c r="AY103" s="76">
        <f t="shared" si="40"/>
        <v>30</v>
      </c>
      <c r="AZ103" s="76">
        <f t="shared" si="40"/>
        <v>31</v>
      </c>
      <c r="BA103" s="76">
        <f t="shared" si="40"/>
        <v>30.5</v>
      </c>
      <c r="BB103" s="76">
        <f t="shared" si="40"/>
        <v>31</v>
      </c>
      <c r="BC103" s="76">
        <f t="shared" si="40"/>
        <v>28</v>
      </c>
      <c r="BD103" s="76">
        <f t="shared" si="40"/>
        <v>31</v>
      </c>
      <c r="BE103" s="76">
        <f t="shared" si="40"/>
        <v>30</v>
      </c>
      <c r="BF103" s="76">
        <f t="shared" si="40"/>
        <v>31</v>
      </c>
      <c r="BG103" s="76">
        <f t="shared" si="40"/>
        <v>30</v>
      </c>
      <c r="BH103" s="76">
        <f t="shared" si="40"/>
        <v>31</v>
      </c>
      <c r="BI103" s="76">
        <f t="shared" si="40"/>
        <v>31</v>
      </c>
      <c r="BJ103" s="76">
        <f t="shared" si="40"/>
        <v>30</v>
      </c>
      <c r="BK103" s="76">
        <f t="shared" si="40"/>
        <v>31</v>
      </c>
      <c r="BL103" s="76">
        <f t="shared" si="40"/>
        <v>30</v>
      </c>
      <c r="BM103" s="76">
        <f t="shared" si="40"/>
        <v>31</v>
      </c>
      <c r="BN103" s="76">
        <f t="shared" si="40"/>
        <v>30.416666666666668</v>
      </c>
    </row>
    <row r="104" spans="2:66" x14ac:dyDescent="0.2">
      <c r="B104" s="78" t="s">
        <v>81</v>
      </c>
      <c r="C104" s="334" t="s">
        <v>78</v>
      </c>
      <c r="D104" s="78"/>
      <c r="E104" s="78"/>
      <c r="F104" s="78"/>
      <c r="G104" s="78"/>
      <c r="H104" s="78"/>
      <c r="I104" s="78"/>
      <c r="J104" s="78">
        <f>Inventory!D48</f>
        <v>256.00000000000006</v>
      </c>
      <c r="K104" s="78">
        <f>Inventory!E48</f>
        <v>221.0986666666667</v>
      </c>
      <c r="L104" s="78">
        <f>Inventory!F48</f>
        <v>167.59466666666668</v>
      </c>
      <c r="M104" s="78">
        <f>Inventory!G48</f>
        <v>95.488000000000014</v>
      </c>
      <c r="N104" s="78">
        <f>Inventory!H48</f>
        <v>740.18133333333344</v>
      </c>
      <c r="O104" s="78">
        <f>Inventory!I48</f>
        <v>260.77866666666671</v>
      </c>
      <c r="P104" s="78">
        <f>Inventory!J48</f>
        <v>151.38133333333334</v>
      </c>
      <c r="Q104" s="78">
        <f>Inventory!K48</f>
        <v>279.38133333333337</v>
      </c>
      <c r="R104" s="78">
        <f>Inventory!L48</f>
        <v>151.38133333333334</v>
      </c>
      <c r="S104" s="78">
        <f>Inventory!M48</f>
        <v>279.38133333333337</v>
      </c>
      <c r="T104" s="78">
        <f>Inventory!N48</f>
        <v>151.38133333333334</v>
      </c>
      <c r="U104" s="78">
        <f>Inventory!O48</f>
        <v>23.381333333333338</v>
      </c>
      <c r="V104" s="78">
        <f>Inventory!P48</f>
        <v>151.38133333333334</v>
      </c>
      <c r="W104" s="78">
        <f>Inventory!Q48</f>
        <v>23.381333333333338</v>
      </c>
      <c r="X104" s="78">
        <f>Inventory!R48</f>
        <v>151.38133333333334</v>
      </c>
      <c r="Y104" s="78">
        <f>Inventory!S48</f>
        <v>279.38133333333337</v>
      </c>
      <c r="Z104" s="78">
        <f>Inventory!T48</f>
        <v>151.38133333333334</v>
      </c>
      <c r="AA104" s="78">
        <f>Inventory!U48</f>
        <v>2053.9733333333329</v>
      </c>
      <c r="AB104" s="78">
        <f>Inventory!V48</f>
        <v>318.23018079999997</v>
      </c>
      <c r="AC104" s="78">
        <f>Inventory!W48</f>
        <v>172.4313808</v>
      </c>
      <c r="AD104" s="78">
        <f>Inventory!X48</f>
        <v>318.23018079999997</v>
      </c>
      <c r="AE104" s="78">
        <f>Inventory!Y48</f>
        <v>164.752644</v>
      </c>
      <c r="AF104" s="78">
        <f>Inventory!Z48</f>
        <v>295.19397040000001</v>
      </c>
      <c r="AG104" s="78">
        <f>Inventory!AA48</f>
        <v>126.4561592</v>
      </c>
      <c r="AH104" s="78">
        <f>Inventory!AB48</f>
        <v>241.6372112</v>
      </c>
      <c r="AI104" s="78">
        <f>Inventory!AC48</f>
        <v>349.13952640000002</v>
      </c>
      <c r="AJ104" s="78">
        <f>Inventory!AD48</f>
        <v>157.3655048</v>
      </c>
      <c r="AK104" s="78">
        <f>Inventory!AE48</f>
        <v>249.5103464</v>
      </c>
      <c r="AL104" s="78">
        <f>Inventory!AF48</f>
        <v>333.97645119999999</v>
      </c>
      <c r="AM104" s="78">
        <f>Inventory!AG48</f>
        <v>119.06901999999999</v>
      </c>
      <c r="AN104" s="78">
        <f>Inventory!AH48</f>
        <v>2845.9925759999996</v>
      </c>
      <c r="AO104" s="78">
        <f>Inventory!AI48</f>
        <v>489.27161304000003</v>
      </c>
      <c r="AP104" s="78">
        <f>Inventory!AJ48</f>
        <v>551.93010532800008</v>
      </c>
      <c r="AQ104" s="78">
        <f>Inventory!AK48</f>
        <v>309.32673408000005</v>
      </c>
      <c r="AR104" s="78">
        <f>Inventory!AL48</f>
        <v>356.32060329600006</v>
      </c>
      <c r="AS104" s="78">
        <f>Inventory!AM48</f>
        <v>395.48216097600005</v>
      </c>
      <c r="AT104" s="78">
        <f>Inventory!AN48</f>
        <v>426.81140712000001</v>
      </c>
      <c r="AU104" s="78">
        <f>Inventory!AO48</f>
        <v>450.30834172800002</v>
      </c>
      <c r="AV104" s="78">
        <f>Inventory!AP48</f>
        <v>465.97296480000006</v>
      </c>
      <c r="AW104" s="78">
        <f>Inventory!AQ48</f>
        <v>465.97296895017331</v>
      </c>
      <c r="AX104" s="78">
        <f>Inventory!AR48</f>
        <v>465.97297310034662</v>
      </c>
      <c r="AY104" s="78">
        <f>Inventory!AS48</f>
        <v>465.97297725051993</v>
      </c>
      <c r="AZ104" s="78">
        <f>Inventory!AT48</f>
        <v>465.97298140069319</v>
      </c>
      <c r="BA104" s="78">
        <f>Inventory!AU48</f>
        <v>5309.3158310697327</v>
      </c>
      <c r="BB104" s="78">
        <f t="shared" ref="BB104:BM104" si="41">(BB102*BB101*BB100)</f>
        <v>0</v>
      </c>
      <c r="BC104" s="78">
        <f t="shared" si="41"/>
        <v>0</v>
      </c>
      <c r="BD104" s="78">
        <f t="shared" si="41"/>
        <v>0</v>
      </c>
      <c r="BE104" s="78">
        <f t="shared" si="41"/>
        <v>0</v>
      </c>
      <c r="BF104" s="78">
        <f t="shared" si="41"/>
        <v>0</v>
      </c>
      <c r="BG104" s="78">
        <f t="shared" si="41"/>
        <v>0</v>
      </c>
      <c r="BH104" s="78">
        <f t="shared" si="41"/>
        <v>0</v>
      </c>
      <c r="BI104" s="78">
        <f t="shared" si="41"/>
        <v>0</v>
      </c>
      <c r="BJ104" s="78">
        <f t="shared" si="41"/>
        <v>0</v>
      </c>
      <c r="BK104" s="78">
        <f t="shared" si="41"/>
        <v>0</v>
      </c>
      <c r="BL104" s="78">
        <f t="shared" si="41"/>
        <v>0</v>
      </c>
      <c r="BM104" s="78">
        <f t="shared" si="41"/>
        <v>0</v>
      </c>
      <c r="BN104" s="78">
        <f>SUM(BB104:BM104)</f>
        <v>0</v>
      </c>
    </row>
    <row r="105" spans="2:66" x14ac:dyDescent="0.2">
      <c r="B105" s="80"/>
      <c r="C105" s="336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</row>
    <row r="106" spans="2:66" x14ac:dyDescent="0.2">
      <c r="B106" s="78" t="s">
        <v>85</v>
      </c>
      <c r="C106" s="334" t="s">
        <v>78</v>
      </c>
      <c r="D106" s="78"/>
      <c r="E106" s="78"/>
      <c r="F106" s="78"/>
      <c r="G106" s="78"/>
      <c r="H106" s="78"/>
      <c r="I106" s="78"/>
      <c r="J106" s="78">
        <f t="shared" ref="J106:BN106" si="42">J104+J97+J90+J83</f>
        <v>768.00000000000023</v>
      </c>
      <c r="K106" s="78">
        <f t="shared" si="42"/>
        <v>576.00000000000011</v>
      </c>
      <c r="L106" s="78">
        <f t="shared" si="42"/>
        <v>793.6</v>
      </c>
      <c r="M106" s="78">
        <f t="shared" si="42"/>
        <v>567.4666666666667</v>
      </c>
      <c r="N106" s="78">
        <f t="shared" si="42"/>
        <v>2705.0666666666671</v>
      </c>
      <c r="O106" s="78">
        <f t="shared" si="42"/>
        <v>836.26666666666677</v>
      </c>
      <c r="P106" s="78">
        <f>P104+P97+P90+P83</f>
        <v>917.33333333333337</v>
      </c>
      <c r="Q106" s="78">
        <f t="shared" si="42"/>
        <v>1151.9999901767594</v>
      </c>
      <c r="R106" s="78">
        <f t="shared" si="42"/>
        <v>959.99998035351882</v>
      </c>
      <c r="S106" s="78">
        <f t="shared" si="42"/>
        <v>1194.6666371969447</v>
      </c>
      <c r="T106" s="78">
        <f t="shared" si="42"/>
        <v>1002.6666273737042</v>
      </c>
      <c r="U106" s="78">
        <f t="shared" si="42"/>
        <v>981.3332842171302</v>
      </c>
      <c r="V106" s="78">
        <f t="shared" si="42"/>
        <v>1045.3332743938895</v>
      </c>
      <c r="W106" s="78">
        <f t="shared" si="42"/>
        <v>1023.9999312373156</v>
      </c>
      <c r="X106" s="78">
        <f t="shared" si="42"/>
        <v>1087.9999214140748</v>
      </c>
      <c r="Y106" s="78">
        <f t="shared" si="42"/>
        <v>1151.9999115908342</v>
      </c>
      <c r="Z106" s="78">
        <f t="shared" si="42"/>
        <v>959.99990176759366</v>
      </c>
      <c r="AA106" s="78">
        <f t="shared" si="42"/>
        <v>12313.599459721765</v>
      </c>
      <c r="AB106" s="78">
        <f t="shared" si="42"/>
        <v>1360.7886769188774</v>
      </c>
      <c r="AC106" s="78">
        <f t="shared" si="42"/>
        <v>1530.8872657296845</v>
      </c>
      <c r="AD106" s="78">
        <f t="shared" si="42"/>
        <v>1409.3882545404915</v>
      </c>
      <c r="AE106" s="78">
        <f t="shared" si="42"/>
        <v>1342.9040017404914</v>
      </c>
      <c r="AF106" s="78">
        <f t="shared" si="42"/>
        <v>1331.4344961404915</v>
      </c>
      <c r="AG106" s="78">
        <f t="shared" si="42"/>
        <v>1180.5813377404916</v>
      </c>
      <c r="AH106" s="78">
        <f t="shared" si="42"/>
        <v>1279.1413265404917</v>
      </c>
      <c r="AI106" s="78">
        <f t="shared" si="42"/>
        <v>1335.5168625404917</v>
      </c>
      <c r="AJ106" s="78">
        <f t="shared" si="42"/>
        <v>1058.1103457404915</v>
      </c>
      <c r="AK106" s="78">
        <f t="shared" si="42"/>
        <v>1224.5153761404915</v>
      </c>
      <c r="AL106" s="78">
        <f t="shared" si="42"/>
        <v>1543.1343537404916</v>
      </c>
      <c r="AM106" s="78">
        <f t="shared" si="42"/>
        <v>1333.5728785404915</v>
      </c>
      <c r="AN106" s="78">
        <f t="shared" si="42"/>
        <v>15929.975176053475</v>
      </c>
      <c r="AO106" s="78">
        <f t="shared" si="42"/>
        <v>1698.3225935513015</v>
      </c>
      <c r="AP106" s="78">
        <f t="shared" si="42"/>
        <v>1695.9431571353016</v>
      </c>
      <c r="AQ106" s="78">
        <f t="shared" si="42"/>
        <v>1551.3923948633017</v>
      </c>
      <c r="AR106" s="78">
        <f t="shared" si="42"/>
        <v>1859.5294107353016</v>
      </c>
      <c r="AS106" s="78">
        <f t="shared" si="42"/>
        <v>1728.0655487513013</v>
      </c>
      <c r="AT106" s="78">
        <f t="shared" si="42"/>
        <v>1751.8599129113013</v>
      </c>
      <c r="AU106" s="78">
        <f t="shared" si="42"/>
        <v>1732.6261352153015</v>
      </c>
      <c r="AV106" s="78">
        <f t="shared" si="42"/>
        <v>1868.6505836633016</v>
      </c>
      <c r="AW106" s="78">
        <f t="shared" si="42"/>
        <v>1719.9358076633014</v>
      </c>
      <c r="AX106" s="78">
        <f t="shared" si="42"/>
        <v>1967.7937676633012</v>
      </c>
      <c r="AY106" s="78">
        <f t="shared" si="42"/>
        <v>1819.0789916633012</v>
      </c>
      <c r="AZ106" s="78">
        <f t="shared" si="42"/>
        <v>1868.6505836633007</v>
      </c>
      <c r="BA106" s="78">
        <f t="shared" si="42"/>
        <v>21261.848887479617</v>
      </c>
      <c r="BB106" s="78">
        <f t="shared" si="42"/>
        <v>0</v>
      </c>
      <c r="BC106" s="78">
        <f t="shared" si="42"/>
        <v>0</v>
      </c>
      <c r="BD106" s="78">
        <f t="shared" si="42"/>
        <v>0</v>
      </c>
      <c r="BE106" s="78">
        <f t="shared" si="42"/>
        <v>0</v>
      </c>
      <c r="BF106" s="78">
        <f t="shared" si="42"/>
        <v>0</v>
      </c>
      <c r="BG106" s="78">
        <f t="shared" si="42"/>
        <v>0</v>
      </c>
      <c r="BH106" s="78">
        <f t="shared" si="42"/>
        <v>0</v>
      </c>
      <c r="BI106" s="78">
        <f t="shared" si="42"/>
        <v>0</v>
      </c>
      <c r="BJ106" s="78">
        <f t="shared" si="42"/>
        <v>0</v>
      </c>
      <c r="BK106" s="78">
        <f t="shared" si="42"/>
        <v>0</v>
      </c>
      <c r="BL106" s="78">
        <f t="shared" si="42"/>
        <v>0</v>
      </c>
      <c r="BM106" s="78">
        <f t="shared" si="42"/>
        <v>0</v>
      </c>
      <c r="BN106" s="78">
        <f t="shared" si="42"/>
        <v>0</v>
      </c>
    </row>
    <row r="107" spans="2:66" x14ac:dyDescent="0.2">
      <c r="B107" s="80"/>
      <c r="C107" s="336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</row>
    <row r="108" spans="2:66" x14ac:dyDescent="0.2">
      <c r="B108" s="80" t="s">
        <v>60</v>
      </c>
    </row>
    <row r="109" spans="2:66" x14ac:dyDescent="0.2">
      <c r="B109" s="80"/>
    </row>
    <row r="110" spans="2:66" x14ac:dyDescent="0.2">
      <c r="B110" s="80" t="s">
        <v>61</v>
      </c>
    </row>
    <row r="111" spans="2:66" x14ac:dyDescent="0.2">
      <c r="B111" s="76" t="s">
        <v>31</v>
      </c>
      <c r="C111" s="76" t="s">
        <v>32</v>
      </c>
      <c r="J111" s="76">
        <f>Assumptions!J161</f>
        <v>61.3</v>
      </c>
      <c r="K111" s="76">
        <f>Assumptions!K161</f>
        <v>61.3</v>
      </c>
      <c r="L111" s="76">
        <f>Assumptions!L161</f>
        <v>61.3</v>
      </c>
      <c r="M111" s="76">
        <f>Assumptions!M161</f>
        <v>61.3</v>
      </c>
      <c r="N111" s="76">
        <f>Assumptions!N161</f>
        <v>61.3</v>
      </c>
      <c r="O111" s="76">
        <f>Assumptions!O161</f>
        <v>61.3</v>
      </c>
      <c r="P111" s="76">
        <f>Assumptions!P161</f>
        <v>61.3</v>
      </c>
      <c r="Q111" s="76">
        <f>Assumptions!Q161</f>
        <v>61.3</v>
      </c>
      <c r="R111" s="76">
        <f>Assumptions!R161</f>
        <v>61.3</v>
      </c>
      <c r="S111" s="76">
        <f>Assumptions!S161</f>
        <v>61.3</v>
      </c>
      <c r="T111" s="76">
        <f>Assumptions!T161</f>
        <v>61.3</v>
      </c>
      <c r="U111" s="76">
        <f>Assumptions!U161</f>
        <v>61.3</v>
      </c>
      <c r="V111" s="76">
        <f>Assumptions!V161</f>
        <v>61.3</v>
      </c>
      <c r="W111" s="76">
        <f>Assumptions!W161</f>
        <v>61.3</v>
      </c>
      <c r="X111" s="76">
        <f>Assumptions!X161</f>
        <v>61.3</v>
      </c>
      <c r="Y111" s="76">
        <f>Assumptions!Y161</f>
        <v>61.3</v>
      </c>
      <c r="Z111" s="76">
        <f>Assumptions!Z161</f>
        <v>61.3</v>
      </c>
      <c r="AA111" s="76">
        <f>Assumptions!AA161</f>
        <v>61.3</v>
      </c>
      <c r="AB111" s="76">
        <f>Assumptions!AB161</f>
        <v>61.3</v>
      </c>
      <c r="AC111" s="76">
        <f>Assumptions!AC161</f>
        <v>61.3</v>
      </c>
      <c r="AD111" s="76">
        <f>Assumptions!AD161</f>
        <v>61.3</v>
      </c>
      <c r="AE111" s="76">
        <f>Assumptions!AE161</f>
        <v>61.3</v>
      </c>
      <c r="AF111" s="76">
        <f>Assumptions!AF161</f>
        <v>61.3</v>
      </c>
      <c r="AG111" s="76">
        <f>Assumptions!AG161</f>
        <v>61.3</v>
      </c>
      <c r="AH111" s="76">
        <f>Assumptions!AH161</f>
        <v>61.3</v>
      </c>
      <c r="AI111" s="76">
        <f>Assumptions!AI161</f>
        <v>61.3</v>
      </c>
      <c r="AJ111" s="76">
        <f>Assumptions!AJ161</f>
        <v>61.3</v>
      </c>
      <c r="AK111" s="76">
        <f>Assumptions!AK161</f>
        <v>61.3</v>
      </c>
      <c r="AL111" s="76">
        <f>Assumptions!AL161</f>
        <v>61.3</v>
      </c>
      <c r="AM111" s="76">
        <f>Assumptions!AM161</f>
        <v>61.3</v>
      </c>
      <c r="AN111" s="76">
        <f>Assumptions!AN161</f>
        <v>61.3</v>
      </c>
      <c r="AO111" s="76">
        <f>Assumptions!AO161</f>
        <v>61.3</v>
      </c>
      <c r="AP111" s="76">
        <f>Assumptions!AP161</f>
        <v>61.3</v>
      </c>
      <c r="AQ111" s="76">
        <f>Assumptions!AQ161</f>
        <v>61.3</v>
      </c>
      <c r="AR111" s="76">
        <f>Assumptions!AR161</f>
        <v>61.3</v>
      </c>
      <c r="AS111" s="76">
        <f>Assumptions!AS161</f>
        <v>61.3</v>
      </c>
      <c r="AT111" s="76">
        <f>Assumptions!AT161</f>
        <v>61.3</v>
      </c>
      <c r="AU111" s="76">
        <f>Assumptions!AU161</f>
        <v>61.3</v>
      </c>
      <c r="AV111" s="76">
        <f>Assumptions!AV161</f>
        <v>61.3</v>
      </c>
      <c r="AW111" s="76">
        <f>Assumptions!AW161</f>
        <v>61.3</v>
      </c>
      <c r="AX111" s="76">
        <f>Assumptions!AX161</f>
        <v>61.3</v>
      </c>
      <c r="AY111" s="76">
        <f>Assumptions!AY161</f>
        <v>61.3</v>
      </c>
      <c r="AZ111" s="76">
        <f>Assumptions!AZ161</f>
        <v>61.3</v>
      </c>
      <c r="BA111" s="76">
        <f>Assumptions!BA161</f>
        <v>61.3</v>
      </c>
      <c r="BB111" s="76">
        <f>Assumptions!BB161</f>
        <v>62.525999999999996</v>
      </c>
      <c r="BC111" s="76">
        <f>Assumptions!BC161</f>
        <v>62.525999999999996</v>
      </c>
      <c r="BD111" s="76">
        <f>Assumptions!BD161</f>
        <v>62.525999999999996</v>
      </c>
      <c r="BE111" s="76">
        <f>Assumptions!BE161</f>
        <v>62.525999999999996</v>
      </c>
      <c r="BF111" s="76">
        <f>Assumptions!BF161</f>
        <v>62.525999999999996</v>
      </c>
      <c r="BG111" s="76">
        <f>Assumptions!BG161</f>
        <v>62.525999999999996</v>
      </c>
      <c r="BH111" s="76">
        <f>Assumptions!BH161</f>
        <v>62.525999999999996</v>
      </c>
      <c r="BI111" s="76">
        <f>Assumptions!BI161</f>
        <v>62.525999999999996</v>
      </c>
      <c r="BJ111" s="76">
        <f>Assumptions!BJ161</f>
        <v>62.525999999999996</v>
      </c>
      <c r="BK111" s="76">
        <f>Assumptions!BK161</f>
        <v>62.525999999999996</v>
      </c>
      <c r="BL111" s="76">
        <f>Assumptions!BL161</f>
        <v>62.525999999999996</v>
      </c>
      <c r="BM111" s="76">
        <f>Assumptions!BM161</f>
        <v>62.525999999999996</v>
      </c>
      <c r="BN111" s="76">
        <f>Assumptions!BN161</f>
        <v>62.525999999999996</v>
      </c>
    </row>
    <row r="112" spans="2:66" x14ac:dyDescent="0.2">
      <c r="B112" s="76" t="s">
        <v>23</v>
      </c>
      <c r="C112" s="76" t="s">
        <v>28</v>
      </c>
      <c r="J112" s="76">
        <f>Assumptions!J164</f>
        <v>8.1866666666666674</v>
      </c>
      <c r="K112" s="76">
        <f>Assumptions!K164</f>
        <v>12.546666666666667</v>
      </c>
      <c r="L112" s="76">
        <f>Assumptions!L164</f>
        <v>16.920000000000002</v>
      </c>
      <c r="M112" s="76">
        <f>Assumptions!M164</f>
        <v>21.28</v>
      </c>
      <c r="N112" s="76">
        <f>Assumptions!N164</f>
        <v>58.93333333333333</v>
      </c>
      <c r="O112" s="76">
        <f>Assumptions!O164</f>
        <v>25.626666666666665</v>
      </c>
      <c r="P112" s="76">
        <f>Assumptions!P164</f>
        <v>30.000001534881356</v>
      </c>
      <c r="Q112" s="76">
        <f>Assumptions!Q164</f>
        <v>30.000001534881356</v>
      </c>
      <c r="R112" s="76">
        <f>Assumptions!R164</f>
        <v>30.000001534881356</v>
      </c>
      <c r="S112" s="76">
        <f>Assumptions!S164</f>
        <v>30.000001534881356</v>
      </c>
      <c r="T112" s="76">
        <f>Assumptions!T164</f>
        <v>30.000001534881356</v>
      </c>
      <c r="U112" s="76">
        <f>Assumptions!U164</f>
        <v>30.000001534881356</v>
      </c>
      <c r="V112" s="76">
        <f>Assumptions!V164</f>
        <v>30.000001534881356</v>
      </c>
      <c r="W112" s="76">
        <f>Assumptions!W164</f>
        <v>30.000001534881356</v>
      </c>
      <c r="X112" s="76">
        <f>Assumptions!X164</f>
        <v>30.000001534881356</v>
      </c>
      <c r="Y112" s="76">
        <f>Assumptions!Y164</f>
        <v>30.000001534881356</v>
      </c>
      <c r="Z112" s="76">
        <f>Assumptions!Z164</f>
        <v>30.000001534881356</v>
      </c>
      <c r="AA112" s="76">
        <f>Assumptions!AA164</f>
        <v>355.62668355036152</v>
      </c>
      <c r="AB112" s="76">
        <f>Assumptions!AB164</f>
        <v>30.000001534881356</v>
      </c>
      <c r="AC112" s="76">
        <f>Assumptions!AC164</f>
        <v>30.000001534881356</v>
      </c>
      <c r="AD112" s="76">
        <f>Assumptions!AD164</f>
        <v>31.573333333333334</v>
      </c>
      <c r="AE112" s="76">
        <f>Assumptions!AE164</f>
        <v>33.146666666666668</v>
      </c>
      <c r="AF112" s="76">
        <f>Assumptions!AF164</f>
        <v>34.733333333333334</v>
      </c>
      <c r="AG112" s="76">
        <f>Assumptions!AG164</f>
        <v>36.306666666666665</v>
      </c>
      <c r="AH112" s="76">
        <f>Assumptions!AH164</f>
        <v>37.880000000000003</v>
      </c>
      <c r="AI112" s="76">
        <f>Assumptions!AI164</f>
        <v>39.466666666666669</v>
      </c>
      <c r="AJ112" s="76">
        <f>Assumptions!AJ164</f>
        <v>41.04</v>
      </c>
      <c r="AK112" s="76">
        <f>Assumptions!AK164</f>
        <v>42.613333333333337</v>
      </c>
      <c r="AL112" s="76">
        <f>Assumptions!AL164</f>
        <v>44.2</v>
      </c>
      <c r="AM112" s="76">
        <f>Assumptions!AM164</f>
        <v>45.773333333333333</v>
      </c>
      <c r="AN112" s="76">
        <f>Assumptions!AN164</f>
        <v>446.73333640309602</v>
      </c>
      <c r="AO112" s="76">
        <f>Assumptions!AO164</f>
        <v>47.36</v>
      </c>
      <c r="AP112" s="76">
        <f>Assumptions!AP164</f>
        <v>48.93333333333333</v>
      </c>
      <c r="AQ112" s="76">
        <f>Assumptions!AQ164</f>
        <v>50.506666666666668</v>
      </c>
      <c r="AR112" s="76">
        <f>Assumptions!AR164</f>
        <v>52.093333333333334</v>
      </c>
      <c r="AS112" s="76">
        <f>Assumptions!AS164</f>
        <v>53.666666666666664</v>
      </c>
      <c r="AT112" s="76">
        <f>Assumptions!AT164</f>
        <v>55.24</v>
      </c>
      <c r="AU112" s="76">
        <f>Assumptions!AU164</f>
        <v>56.826666666666668</v>
      </c>
      <c r="AV112" s="76">
        <f>Assumptions!AV164</f>
        <v>60.000002232554664</v>
      </c>
      <c r="AW112" s="76">
        <f>Assumptions!AW164</f>
        <v>60.000002232554664</v>
      </c>
      <c r="AX112" s="76">
        <f>Assumptions!AX164</f>
        <v>60.000002232554664</v>
      </c>
      <c r="AY112" s="76">
        <f>Assumptions!AY164</f>
        <v>60.000002232554664</v>
      </c>
      <c r="AZ112" s="76">
        <f>Assumptions!AZ164</f>
        <v>60.000002232554664</v>
      </c>
      <c r="BA112" s="76">
        <f>Assumptions!BA164</f>
        <v>664.62667782943981</v>
      </c>
      <c r="BB112" s="76">
        <f>Assumptions!BB164</f>
        <v>55.385556485786658</v>
      </c>
      <c r="BC112" s="76">
        <f>Assumptions!BC164</f>
        <v>55.385556485786658</v>
      </c>
      <c r="BD112" s="76">
        <f>Assumptions!BD164</f>
        <v>55.385556485786658</v>
      </c>
      <c r="BE112" s="76">
        <f>Assumptions!BE164</f>
        <v>55.385556485786658</v>
      </c>
      <c r="BF112" s="76">
        <f>Assumptions!BF164</f>
        <v>55.385556485786658</v>
      </c>
      <c r="BG112" s="76">
        <f>Assumptions!BG164</f>
        <v>55.385556485786658</v>
      </c>
      <c r="BH112" s="76">
        <f>Assumptions!BH164</f>
        <v>55.385556485786658</v>
      </c>
      <c r="BI112" s="76">
        <f>Assumptions!BI164</f>
        <v>55.385556485786658</v>
      </c>
      <c r="BJ112" s="76">
        <f>Assumptions!BJ164</f>
        <v>55.385556485786658</v>
      </c>
      <c r="BK112" s="76">
        <f>Assumptions!BK164</f>
        <v>55.385556485786658</v>
      </c>
      <c r="BL112" s="76">
        <f>Assumptions!BL164</f>
        <v>55.385556485786658</v>
      </c>
      <c r="BM112" s="76">
        <f>Assumptions!BM164</f>
        <v>55.385556485786658</v>
      </c>
      <c r="BN112" s="76">
        <f>Assumptions!BN164</f>
        <v>664.62667782943981</v>
      </c>
    </row>
    <row r="113" spans="2:66" hidden="1" x14ac:dyDescent="0.2">
      <c r="B113" s="76" t="s">
        <v>42</v>
      </c>
      <c r="C113" s="76" t="s">
        <v>49</v>
      </c>
      <c r="J113" s="76">
        <f>Assumptions!J166</f>
        <v>0</v>
      </c>
      <c r="K113" s="76">
        <f>Assumptions!K166</f>
        <v>0</v>
      </c>
      <c r="L113" s="76">
        <f>Assumptions!L166</f>
        <v>0</v>
      </c>
      <c r="M113" s="76">
        <f>Assumptions!M166</f>
        <v>0</v>
      </c>
      <c r="N113" s="76">
        <f>Assumptions!N166</f>
        <v>0</v>
      </c>
      <c r="O113" s="76">
        <f>Assumptions!O166</f>
        <v>0</v>
      </c>
      <c r="P113" s="76">
        <f>Assumptions!P166</f>
        <v>0</v>
      </c>
      <c r="Q113" s="76">
        <f>Assumptions!Q166</f>
        <v>0</v>
      </c>
      <c r="R113" s="76">
        <f>Assumptions!R166</f>
        <v>0</v>
      </c>
      <c r="S113" s="76">
        <f>Assumptions!S166</f>
        <v>0</v>
      </c>
      <c r="T113" s="76">
        <f>Assumptions!T166</f>
        <v>0</v>
      </c>
      <c r="U113" s="76">
        <f>Assumptions!U166</f>
        <v>0</v>
      </c>
      <c r="V113" s="76">
        <f>Assumptions!V166</f>
        <v>0</v>
      </c>
      <c r="W113" s="76">
        <f>Assumptions!W166</f>
        <v>0</v>
      </c>
      <c r="X113" s="76">
        <f>Assumptions!X166</f>
        <v>0</v>
      </c>
      <c r="Y113" s="76">
        <f>Assumptions!Y166</f>
        <v>0</v>
      </c>
      <c r="Z113" s="76">
        <f>Assumptions!Z166</f>
        <v>0</v>
      </c>
      <c r="AA113" s="76">
        <f>Assumptions!AA166</f>
        <v>0</v>
      </c>
      <c r="AB113" s="76">
        <f>Assumptions!AB166</f>
        <v>0</v>
      </c>
      <c r="AC113" s="76">
        <f>Assumptions!AC166</f>
        <v>0</v>
      </c>
      <c r="AD113" s="76">
        <f>Assumptions!AD166</f>
        <v>0</v>
      </c>
      <c r="AE113" s="76">
        <f>Assumptions!AE166</f>
        <v>0</v>
      </c>
      <c r="AF113" s="76">
        <f>Assumptions!AF166</f>
        <v>0</v>
      </c>
      <c r="AG113" s="76">
        <f>Assumptions!AG166</f>
        <v>0</v>
      </c>
      <c r="AH113" s="76">
        <f>Assumptions!AH166</f>
        <v>0</v>
      </c>
      <c r="AI113" s="76">
        <f>Assumptions!AI166</f>
        <v>0</v>
      </c>
      <c r="AJ113" s="76">
        <f>Assumptions!AJ166</f>
        <v>0</v>
      </c>
      <c r="AK113" s="76">
        <f>Assumptions!AK166</f>
        <v>0</v>
      </c>
      <c r="AL113" s="76">
        <f>Assumptions!AL166</f>
        <v>0</v>
      </c>
      <c r="AM113" s="76">
        <f>Assumptions!AM166</f>
        <v>0</v>
      </c>
      <c r="AN113" s="76">
        <f>Assumptions!AN166</f>
        <v>0</v>
      </c>
      <c r="AO113" s="76">
        <f>Assumptions!AO166</f>
        <v>0</v>
      </c>
      <c r="AP113" s="76">
        <f>Assumptions!AP166</f>
        <v>0</v>
      </c>
      <c r="AQ113" s="76">
        <f>Assumptions!AQ166</f>
        <v>0</v>
      </c>
      <c r="AR113" s="76">
        <f>Assumptions!AR166</f>
        <v>0</v>
      </c>
      <c r="AS113" s="76">
        <f>Assumptions!AS166</f>
        <v>0</v>
      </c>
      <c r="AT113" s="76">
        <f>Assumptions!AT166</f>
        <v>0</v>
      </c>
      <c r="AU113" s="76">
        <f>Assumptions!AU166</f>
        <v>0</v>
      </c>
      <c r="AV113" s="76">
        <f>Assumptions!AV166</f>
        <v>0</v>
      </c>
      <c r="AW113" s="76">
        <f>Assumptions!AW166</f>
        <v>0</v>
      </c>
      <c r="AX113" s="76">
        <f>Assumptions!AX166</f>
        <v>0</v>
      </c>
      <c r="AY113" s="76">
        <f>Assumptions!AY166</f>
        <v>0</v>
      </c>
      <c r="AZ113" s="76">
        <f>Assumptions!AZ166</f>
        <v>0</v>
      </c>
      <c r="BA113" s="76">
        <f>Assumptions!BA166</f>
        <v>0</v>
      </c>
      <c r="BB113" s="76">
        <f>Assumptions!BB166</f>
        <v>0</v>
      </c>
      <c r="BC113" s="76">
        <f>Assumptions!BC166</f>
        <v>0</v>
      </c>
      <c r="BD113" s="76">
        <f>Assumptions!BD166</f>
        <v>0</v>
      </c>
      <c r="BE113" s="76">
        <f>Assumptions!BE166</f>
        <v>0</v>
      </c>
      <c r="BF113" s="76">
        <f>Assumptions!BF166</f>
        <v>0</v>
      </c>
      <c r="BG113" s="76">
        <f>Assumptions!BG166</f>
        <v>0</v>
      </c>
      <c r="BH113" s="76">
        <f>Assumptions!BH166</f>
        <v>0</v>
      </c>
      <c r="BI113" s="76">
        <f>Assumptions!BI166</f>
        <v>0</v>
      </c>
      <c r="BJ113" s="76">
        <f>Assumptions!BJ166</f>
        <v>0</v>
      </c>
      <c r="BK113" s="76">
        <f>Assumptions!BK166</f>
        <v>0</v>
      </c>
      <c r="BL113" s="76">
        <f>Assumptions!BL166</f>
        <v>0</v>
      </c>
      <c r="BM113" s="76">
        <f>Assumptions!BM166</f>
        <v>0</v>
      </c>
      <c r="BN113" s="76">
        <f>Assumptions!BN166</f>
        <v>0</v>
      </c>
    </row>
    <row r="114" spans="2:66" hidden="1" x14ac:dyDescent="0.2">
      <c r="B114" s="76" t="s">
        <v>43</v>
      </c>
      <c r="C114" s="76" t="s">
        <v>35</v>
      </c>
      <c r="J114" s="76">
        <f t="shared" ref="J114:BN114" si="43">J103</f>
        <v>30</v>
      </c>
      <c r="K114" s="76">
        <f t="shared" si="43"/>
        <v>31</v>
      </c>
      <c r="L114" s="76">
        <f t="shared" si="43"/>
        <v>30</v>
      </c>
      <c r="M114" s="76">
        <f t="shared" si="43"/>
        <v>31</v>
      </c>
      <c r="N114" s="76">
        <f t="shared" si="43"/>
        <v>30.571428571428573</v>
      </c>
      <c r="O114" s="76">
        <f t="shared" si="43"/>
        <v>31</v>
      </c>
      <c r="P114" s="76">
        <f t="shared" si="43"/>
        <v>28</v>
      </c>
      <c r="Q114" s="76">
        <f t="shared" si="43"/>
        <v>31</v>
      </c>
      <c r="R114" s="76">
        <f t="shared" si="43"/>
        <v>30</v>
      </c>
      <c r="S114" s="76">
        <f t="shared" si="43"/>
        <v>31</v>
      </c>
      <c r="T114" s="76">
        <f t="shared" si="43"/>
        <v>30</v>
      </c>
      <c r="U114" s="76">
        <f t="shared" si="43"/>
        <v>31</v>
      </c>
      <c r="V114" s="76">
        <f t="shared" si="43"/>
        <v>31</v>
      </c>
      <c r="W114" s="76">
        <f t="shared" si="43"/>
        <v>30</v>
      </c>
      <c r="X114" s="76">
        <f t="shared" si="43"/>
        <v>31</v>
      </c>
      <c r="Y114" s="76">
        <f t="shared" si="43"/>
        <v>30</v>
      </c>
      <c r="Z114" s="76">
        <f t="shared" si="43"/>
        <v>31</v>
      </c>
      <c r="AA114" s="76">
        <f t="shared" si="43"/>
        <v>30.416666666666668</v>
      </c>
      <c r="AB114" s="76">
        <f t="shared" si="43"/>
        <v>31</v>
      </c>
      <c r="AC114" s="76">
        <f t="shared" si="43"/>
        <v>28</v>
      </c>
      <c r="AD114" s="76">
        <f t="shared" si="43"/>
        <v>31</v>
      </c>
      <c r="AE114" s="76">
        <f t="shared" si="43"/>
        <v>30</v>
      </c>
      <c r="AF114" s="76">
        <f t="shared" si="43"/>
        <v>31</v>
      </c>
      <c r="AG114" s="76">
        <f t="shared" si="43"/>
        <v>30</v>
      </c>
      <c r="AH114" s="76">
        <f t="shared" si="43"/>
        <v>31</v>
      </c>
      <c r="AI114" s="76">
        <f t="shared" si="43"/>
        <v>31</v>
      </c>
      <c r="AJ114" s="76">
        <f t="shared" si="43"/>
        <v>30</v>
      </c>
      <c r="AK114" s="76">
        <f t="shared" si="43"/>
        <v>31</v>
      </c>
      <c r="AL114" s="76">
        <f t="shared" si="43"/>
        <v>30</v>
      </c>
      <c r="AM114" s="76">
        <f t="shared" si="43"/>
        <v>31</v>
      </c>
      <c r="AN114" s="76">
        <f t="shared" si="43"/>
        <v>30.416666666666668</v>
      </c>
      <c r="AO114" s="76">
        <f t="shared" si="43"/>
        <v>31</v>
      </c>
      <c r="AP114" s="76">
        <f t="shared" si="43"/>
        <v>29</v>
      </c>
      <c r="AQ114" s="76">
        <f t="shared" si="43"/>
        <v>31</v>
      </c>
      <c r="AR114" s="76">
        <f t="shared" si="43"/>
        <v>30</v>
      </c>
      <c r="AS114" s="76">
        <f t="shared" si="43"/>
        <v>31</v>
      </c>
      <c r="AT114" s="76">
        <f t="shared" si="43"/>
        <v>30</v>
      </c>
      <c r="AU114" s="76">
        <f t="shared" si="43"/>
        <v>31</v>
      </c>
      <c r="AV114" s="76">
        <f t="shared" si="43"/>
        <v>31</v>
      </c>
      <c r="AW114" s="76">
        <f t="shared" si="43"/>
        <v>30</v>
      </c>
      <c r="AX114" s="76">
        <f t="shared" si="43"/>
        <v>31</v>
      </c>
      <c r="AY114" s="76">
        <f t="shared" si="43"/>
        <v>30</v>
      </c>
      <c r="AZ114" s="76">
        <f t="shared" si="43"/>
        <v>31</v>
      </c>
      <c r="BA114" s="76">
        <f t="shared" si="43"/>
        <v>30.5</v>
      </c>
      <c r="BB114" s="76">
        <f t="shared" si="43"/>
        <v>31</v>
      </c>
      <c r="BC114" s="76">
        <f t="shared" si="43"/>
        <v>28</v>
      </c>
      <c r="BD114" s="76">
        <f t="shared" si="43"/>
        <v>31</v>
      </c>
      <c r="BE114" s="76">
        <f t="shared" si="43"/>
        <v>30</v>
      </c>
      <c r="BF114" s="76">
        <f t="shared" si="43"/>
        <v>31</v>
      </c>
      <c r="BG114" s="76">
        <f t="shared" si="43"/>
        <v>30</v>
      </c>
      <c r="BH114" s="76">
        <f t="shared" si="43"/>
        <v>31</v>
      </c>
      <c r="BI114" s="76">
        <f t="shared" si="43"/>
        <v>31</v>
      </c>
      <c r="BJ114" s="76">
        <f t="shared" si="43"/>
        <v>30</v>
      </c>
      <c r="BK114" s="76">
        <f t="shared" si="43"/>
        <v>31</v>
      </c>
      <c r="BL114" s="76">
        <f t="shared" si="43"/>
        <v>30</v>
      </c>
      <c r="BM114" s="76">
        <f t="shared" si="43"/>
        <v>31</v>
      </c>
      <c r="BN114" s="76">
        <f t="shared" si="43"/>
        <v>30.416666666666668</v>
      </c>
    </row>
    <row r="115" spans="2:66" x14ac:dyDescent="0.2">
      <c r="B115" s="78" t="s">
        <v>163</v>
      </c>
      <c r="C115" s="334" t="s">
        <v>78</v>
      </c>
      <c r="D115" s="78"/>
      <c r="E115" s="78"/>
      <c r="F115" s="78"/>
      <c r="G115" s="78"/>
      <c r="H115" s="78"/>
      <c r="I115" s="78"/>
      <c r="J115" s="78">
        <f>J112*J111</f>
        <v>501.84266666666667</v>
      </c>
      <c r="K115" s="78">
        <f>K112*K111</f>
        <v>769.11066666666659</v>
      </c>
      <c r="L115" s="78">
        <f t="shared" ref="L115:BA115" si="44">L112*L111</f>
        <v>1037.1960000000001</v>
      </c>
      <c r="M115" s="78">
        <f t="shared" si="44"/>
        <v>1304.4639999999999</v>
      </c>
      <c r="N115" s="78">
        <f t="shared" si="44"/>
        <v>3612.6133333333328</v>
      </c>
      <c r="O115" s="78">
        <f t="shared" si="44"/>
        <v>1570.9146666666666</v>
      </c>
      <c r="P115" s="78">
        <f>P112*P111</f>
        <v>1839.0000940882271</v>
      </c>
      <c r="Q115" s="78">
        <f t="shared" si="44"/>
        <v>1839.0000940882271</v>
      </c>
      <c r="R115" s="78">
        <f t="shared" si="44"/>
        <v>1839.0000940882271</v>
      </c>
      <c r="S115" s="78">
        <f t="shared" si="44"/>
        <v>1839.0000940882271</v>
      </c>
      <c r="T115" s="78">
        <f t="shared" si="44"/>
        <v>1839.0000940882271</v>
      </c>
      <c r="U115" s="78">
        <f t="shared" si="44"/>
        <v>1839.0000940882271</v>
      </c>
      <c r="V115" s="78">
        <f t="shared" si="44"/>
        <v>1839.0000940882271</v>
      </c>
      <c r="W115" s="78">
        <f t="shared" si="44"/>
        <v>1839.0000940882271</v>
      </c>
      <c r="X115" s="78">
        <f t="shared" si="44"/>
        <v>1839.0000940882271</v>
      </c>
      <c r="Y115" s="78">
        <f t="shared" si="44"/>
        <v>1839.0000940882271</v>
      </c>
      <c r="Z115" s="78">
        <f t="shared" si="44"/>
        <v>1839.0000940882271</v>
      </c>
      <c r="AA115" s="78">
        <f t="shared" si="44"/>
        <v>21799.915701637161</v>
      </c>
      <c r="AB115" s="78">
        <f t="shared" si="44"/>
        <v>1839.0000940882271</v>
      </c>
      <c r="AC115" s="78">
        <f t="shared" si="44"/>
        <v>1839.0000940882271</v>
      </c>
      <c r="AD115" s="78">
        <f t="shared" si="44"/>
        <v>1935.4453333333333</v>
      </c>
      <c r="AE115" s="78">
        <f t="shared" si="44"/>
        <v>2031.8906666666667</v>
      </c>
      <c r="AF115" s="78">
        <f t="shared" si="44"/>
        <v>2129.1533333333332</v>
      </c>
      <c r="AG115" s="78">
        <f t="shared" si="44"/>
        <v>2225.5986666666663</v>
      </c>
      <c r="AH115" s="78">
        <f t="shared" si="44"/>
        <v>2322.0439999999999</v>
      </c>
      <c r="AI115" s="78">
        <f t="shared" si="44"/>
        <v>2419.3066666666668</v>
      </c>
      <c r="AJ115" s="78">
        <f t="shared" si="44"/>
        <v>2515.752</v>
      </c>
      <c r="AK115" s="78">
        <f t="shared" si="44"/>
        <v>2612.1973333333335</v>
      </c>
      <c r="AL115" s="78">
        <f t="shared" si="44"/>
        <v>2709.46</v>
      </c>
      <c r="AM115" s="78">
        <f t="shared" si="44"/>
        <v>2805.9053333333331</v>
      </c>
      <c r="AN115" s="78">
        <f t="shared" si="44"/>
        <v>27384.753521509785</v>
      </c>
      <c r="AO115" s="78">
        <f t="shared" si="44"/>
        <v>2903.1679999999997</v>
      </c>
      <c r="AP115" s="78">
        <f t="shared" si="44"/>
        <v>2999.6133333333328</v>
      </c>
      <c r="AQ115" s="78">
        <f t="shared" si="44"/>
        <v>3096.0586666666668</v>
      </c>
      <c r="AR115" s="78">
        <f t="shared" si="44"/>
        <v>3193.3213333333333</v>
      </c>
      <c r="AS115" s="78">
        <f t="shared" si="44"/>
        <v>3289.7666666666664</v>
      </c>
      <c r="AT115" s="78">
        <f t="shared" si="44"/>
        <v>3386.212</v>
      </c>
      <c r="AU115" s="78">
        <f t="shared" si="44"/>
        <v>3483.4746666666665</v>
      </c>
      <c r="AV115" s="78">
        <f t="shared" si="44"/>
        <v>3678.0001368556009</v>
      </c>
      <c r="AW115" s="78">
        <f t="shared" si="44"/>
        <v>3678.0001368556009</v>
      </c>
      <c r="AX115" s="78">
        <f t="shared" si="44"/>
        <v>3678.0001368556009</v>
      </c>
      <c r="AY115" s="78">
        <f t="shared" si="44"/>
        <v>3678.0001368556009</v>
      </c>
      <c r="AZ115" s="78">
        <f t="shared" si="44"/>
        <v>3678.0001368556009</v>
      </c>
      <c r="BA115" s="78">
        <f t="shared" si="44"/>
        <v>40741.615350944659</v>
      </c>
      <c r="BB115" s="78">
        <f>IF(SUM($G$114:BB114)&lt;BB113,0,BB112*BB111)</f>
        <v>3463.0373048302963</v>
      </c>
      <c r="BC115" s="78">
        <f>IF(SUM($G$114:BC114)&lt;BC113,0,BC112*BC111)</f>
        <v>3463.0373048302963</v>
      </c>
      <c r="BD115" s="78">
        <f>IF(SUM($G$114:BD114)&lt;BD113,0,BD112*BD111)</f>
        <v>3463.0373048302963</v>
      </c>
      <c r="BE115" s="78">
        <f>IF(SUM($G$114:BE114)&lt;BE113,0,BE112*BE111)</f>
        <v>3463.0373048302963</v>
      </c>
      <c r="BF115" s="78">
        <f>IF(SUM($G$114:BF114)&lt;BF113,0,BF112*BF111)</f>
        <v>3463.0373048302963</v>
      </c>
      <c r="BG115" s="78">
        <f>IF(SUM($G$114:BG114)&lt;BG113,0,BG112*BG111)</f>
        <v>3463.0373048302963</v>
      </c>
      <c r="BH115" s="78">
        <f>IF(SUM($G$114:BH114)&lt;BH113,0,BH112*BH111)</f>
        <v>3463.0373048302963</v>
      </c>
      <c r="BI115" s="78">
        <f>IF(SUM($G$114:BI114)&lt;BI113,0,BI112*BI111)</f>
        <v>3463.0373048302963</v>
      </c>
      <c r="BJ115" s="78">
        <f>IF(SUM($G$114:BJ114)&lt;BJ113,0,BJ112*BJ111)</f>
        <v>3463.0373048302963</v>
      </c>
      <c r="BK115" s="78">
        <f>IF(SUM($G$114:BK114)&lt;BK113,0,BK112*BK111)</f>
        <v>3463.0373048302963</v>
      </c>
      <c r="BL115" s="78">
        <f>IF(SUM($G$114:BL114)&lt;BL113,0,BL112*BL111)</f>
        <v>3463.0373048302963</v>
      </c>
      <c r="BM115" s="78">
        <f>IF(SUM($G$114:BM114)&lt;BM113,0,BM112*BM111)</f>
        <v>3463.0373048302963</v>
      </c>
      <c r="BN115" s="78">
        <f>SUM(BB115:BM115)</f>
        <v>41556.447657963552</v>
      </c>
    </row>
    <row r="116" spans="2:66" ht="7.5" customHeight="1" x14ac:dyDescent="0.2">
      <c r="B116" s="80"/>
      <c r="C116" s="336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</row>
    <row r="117" spans="2:66" x14ac:dyDescent="0.2">
      <c r="B117" s="78" t="s">
        <v>164</v>
      </c>
      <c r="C117" s="334" t="s">
        <v>78</v>
      </c>
      <c r="D117" s="78"/>
      <c r="E117" s="78"/>
      <c r="F117" s="78"/>
      <c r="G117" s="78"/>
      <c r="H117" s="78"/>
      <c r="I117" s="78"/>
      <c r="J117" s="78">
        <f>J115*(1+Assumptions!J167)</f>
        <v>504.35187999999994</v>
      </c>
      <c r="K117" s="78">
        <f>K115*(1+Assumptions!K167)</f>
        <v>772.9562199999998</v>
      </c>
      <c r="L117" s="78">
        <f>L115*(1+Assumptions!L167)</f>
        <v>1042.3819800000001</v>
      </c>
      <c r="M117" s="78">
        <f>M115*(1+Assumptions!M167)</f>
        <v>1310.9863199999998</v>
      </c>
      <c r="N117" s="78">
        <f>N115*(1+Assumptions!N167)</f>
        <v>3630.6763999999989</v>
      </c>
      <c r="O117" s="78">
        <f>O115*(1+Assumptions!O167)</f>
        <v>1578.7692399999996</v>
      </c>
      <c r="P117" s="78">
        <f>P115*(1+Assumptions!P167)</f>
        <v>1848.195094558668</v>
      </c>
      <c r="Q117" s="78">
        <f>Q115*(1+Assumptions!Q167)</f>
        <v>1848.195094558668</v>
      </c>
      <c r="R117" s="78">
        <f>R115*(1+Assumptions!R167)</f>
        <v>1848.195094558668</v>
      </c>
      <c r="S117" s="78">
        <f>S115*(1+Assumptions!S167)</f>
        <v>1848.195094558668</v>
      </c>
      <c r="T117" s="78">
        <f>T115*(1+Assumptions!T167)</f>
        <v>1848.195094558668</v>
      </c>
      <c r="U117" s="78">
        <f>U115*(1+Assumptions!U167)</f>
        <v>1848.195094558668</v>
      </c>
      <c r="V117" s="78">
        <f>V115*(1+Assumptions!V167)</f>
        <v>1848.195094558668</v>
      </c>
      <c r="W117" s="78">
        <f>W115*(1+Assumptions!W167)</f>
        <v>1848.195094558668</v>
      </c>
      <c r="X117" s="78">
        <f>X115*(1+Assumptions!X167)</f>
        <v>1848.195094558668</v>
      </c>
      <c r="Y117" s="78">
        <f>Y115*(1+Assumptions!Y167)</f>
        <v>1848.195094558668</v>
      </c>
      <c r="Z117" s="78">
        <f>Z115*(1+Assumptions!Z167)</f>
        <v>1848.195094558668</v>
      </c>
      <c r="AA117" s="78">
        <f>AA115*(1+Assumptions!AA167)</f>
        <v>21908.915280145346</v>
      </c>
      <c r="AB117" s="78">
        <f>AB115*(1+Assumptions!AB167)</f>
        <v>1848.195094558668</v>
      </c>
      <c r="AC117" s="78">
        <f>AC115*(1+Assumptions!AC167)</f>
        <v>1848.195094558668</v>
      </c>
      <c r="AD117" s="78">
        <f>AD115*(1+Assumptions!AD167)</f>
        <v>1945.1225599999998</v>
      </c>
      <c r="AE117" s="78">
        <f>AE115*(1+Assumptions!AE167)</f>
        <v>2042.0501199999999</v>
      </c>
      <c r="AF117" s="78">
        <f>AF115*(1+Assumptions!AF167)</f>
        <v>2139.7990999999997</v>
      </c>
      <c r="AG117" s="78">
        <f>AG115*(1+Assumptions!AG167)</f>
        <v>2236.7266599999994</v>
      </c>
      <c r="AH117" s="78">
        <f>AH115*(1+Assumptions!AH167)</f>
        <v>2333.6542199999994</v>
      </c>
      <c r="AI117" s="78">
        <f>AI115*(1+Assumptions!AI167)</f>
        <v>2431.4031999999997</v>
      </c>
      <c r="AJ117" s="78">
        <f>AJ115*(1+Assumptions!AJ167)</f>
        <v>2528.3307599999998</v>
      </c>
      <c r="AK117" s="78">
        <f>AK115*(1+Assumptions!AK167)</f>
        <v>2625.2583199999999</v>
      </c>
      <c r="AL117" s="78">
        <f>AL115*(1+Assumptions!AL167)</f>
        <v>2723.0072999999998</v>
      </c>
      <c r="AM117" s="78">
        <f>AM115*(1+Assumptions!AM167)</f>
        <v>2819.9348599999994</v>
      </c>
      <c r="AN117" s="78">
        <f>AN115*(1+Assumptions!AN167)</f>
        <v>27521.677289117331</v>
      </c>
      <c r="AO117" s="78">
        <f>AO115*(1+Assumptions!AO167)</f>
        <v>2917.6838399999992</v>
      </c>
      <c r="AP117" s="78">
        <f>AP115*(1+Assumptions!AP167)</f>
        <v>3014.6113999999993</v>
      </c>
      <c r="AQ117" s="78">
        <f>AQ115*(1+Assumptions!AQ167)</f>
        <v>3111.5389599999999</v>
      </c>
      <c r="AR117" s="78">
        <f>AR115*(1+Assumptions!AR167)</f>
        <v>3209.2879399999997</v>
      </c>
      <c r="AS117" s="78">
        <f>AS115*(1+Assumptions!AS167)</f>
        <v>3306.2154999999993</v>
      </c>
      <c r="AT117" s="78">
        <f>AT115*(1+Assumptions!AT167)</f>
        <v>3403.1430599999994</v>
      </c>
      <c r="AU117" s="78">
        <f>AU115*(1+Assumptions!AU167)</f>
        <v>3500.8920399999993</v>
      </c>
      <c r="AV117" s="78">
        <f>AV115*(1+Assumptions!AV167)</f>
        <v>3696.3901375398787</v>
      </c>
      <c r="AW117" s="78">
        <f>AW115*(1+Assumptions!AW167)</f>
        <v>3696.3901375398787</v>
      </c>
      <c r="AX117" s="78">
        <f>AX115*(1+Assumptions!AX167)</f>
        <v>3696.3901375398787</v>
      </c>
      <c r="AY117" s="78">
        <f>AY115*(1+Assumptions!AY167)</f>
        <v>3696.3901375398787</v>
      </c>
      <c r="AZ117" s="78">
        <f>AZ115*(1+Assumptions!AZ167)</f>
        <v>3696.3901375398787</v>
      </c>
      <c r="BA117" s="78">
        <f>BA115*(1+Assumptions!BA167)</f>
        <v>40945.323427699375</v>
      </c>
      <c r="BB117" s="78">
        <f>BB115*(1+Assumptions!BB167)</f>
        <v>3480.3524913544475</v>
      </c>
      <c r="BC117" s="78">
        <f>BC115*(1+Assumptions!BC167)</f>
        <v>3480.3524913544475</v>
      </c>
      <c r="BD117" s="78">
        <f>BD115*(1+Assumptions!BD167)</f>
        <v>3480.3524913544475</v>
      </c>
      <c r="BE117" s="78">
        <f>BE115*(1+Assumptions!BE167)</f>
        <v>3480.3524913544475</v>
      </c>
      <c r="BF117" s="78">
        <f>BF115*(1+Assumptions!BF167)</f>
        <v>3480.3524913544475</v>
      </c>
      <c r="BG117" s="78">
        <f>BG115*(1+Assumptions!BG167)</f>
        <v>3480.3524913544475</v>
      </c>
      <c r="BH117" s="78">
        <f>BH115*(1+Assumptions!BH167)</f>
        <v>3480.3524913544475</v>
      </c>
      <c r="BI117" s="78">
        <f>BI115*(1+Assumptions!BI167)</f>
        <v>3480.3524913544475</v>
      </c>
      <c r="BJ117" s="78">
        <f>BJ115*(1+Assumptions!BJ167)</f>
        <v>3480.3524913544475</v>
      </c>
      <c r="BK117" s="78">
        <f>BK115*(1+Assumptions!BK167)</f>
        <v>3480.3524913544475</v>
      </c>
      <c r="BL117" s="78">
        <f>BL115*(1+Assumptions!BL167)</f>
        <v>3480.3524913544475</v>
      </c>
      <c r="BM117" s="78">
        <f>BM115*(1+Assumptions!BM167)</f>
        <v>3480.3524913544475</v>
      </c>
      <c r="BN117" s="78">
        <f>BN115*(1+Assumptions!BN167)</f>
        <v>41764.229896253368</v>
      </c>
    </row>
    <row r="119" spans="2:66" x14ac:dyDescent="0.2">
      <c r="B119" s="80" t="s">
        <v>74</v>
      </c>
    </row>
    <row r="120" spans="2:66" x14ac:dyDescent="0.2">
      <c r="B120" s="76" t="s">
        <v>31</v>
      </c>
      <c r="C120" s="76" t="s">
        <v>32</v>
      </c>
      <c r="J120" s="76">
        <f>Assumptions!J170</f>
        <v>61.3</v>
      </c>
      <c r="K120" s="76">
        <f>Assumptions!K170</f>
        <v>61.3</v>
      </c>
      <c r="L120" s="76">
        <f>Assumptions!L170</f>
        <v>61.3</v>
      </c>
      <c r="M120" s="76">
        <f>Assumptions!M170</f>
        <v>61.3</v>
      </c>
      <c r="N120" s="76">
        <f>Assumptions!N170</f>
        <v>61.3</v>
      </c>
      <c r="O120" s="76">
        <f>Assumptions!O170</f>
        <v>61.3</v>
      </c>
      <c r="P120" s="76">
        <f>Assumptions!P170</f>
        <v>61.3</v>
      </c>
      <c r="Q120" s="76">
        <f>Assumptions!Q170</f>
        <v>61.3</v>
      </c>
      <c r="R120" s="76">
        <f>Assumptions!R170</f>
        <v>61.3</v>
      </c>
      <c r="S120" s="76">
        <f>Assumptions!S170</f>
        <v>61.3</v>
      </c>
      <c r="T120" s="76">
        <f>Assumptions!T170</f>
        <v>61.3</v>
      </c>
      <c r="U120" s="76">
        <f>Assumptions!U170</f>
        <v>61.3</v>
      </c>
      <c r="V120" s="76">
        <f>Assumptions!V170</f>
        <v>61.3</v>
      </c>
      <c r="W120" s="76">
        <f>Assumptions!W170</f>
        <v>61.3</v>
      </c>
      <c r="X120" s="76">
        <f>Assumptions!X170</f>
        <v>61.3</v>
      </c>
      <c r="Y120" s="76">
        <f>Assumptions!Y170</f>
        <v>61.3</v>
      </c>
      <c r="Z120" s="76">
        <f>Assumptions!Z170</f>
        <v>61.3</v>
      </c>
      <c r="AA120" s="76">
        <f>Assumptions!AA170</f>
        <v>61.3</v>
      </c>
      <c r="AB120" s="76">
        <f>Assumptions!AB170</f>
        <v>61.3</v>
      </c>
      <c r="AC120" s="76">
        <f>Assumptions!AC170</f>
        <v>61.3</v>
      </c>
      <c r="AD120" s="76">
        <f>Assumptions!AD170</f>
        <v>61.3</v>
      </c>
      <c r="AE120" s="76">
        <f>Assumptions!AE170</f>
        <v>61.3</v>
      </c>
      <c r="AF120" s="76">
        <f>Assumptions!AF170</f>
        <v>61.3</v>
      </c>
      <c r="AG120" s="76">
        <f>Assumptions!AG170</f>
        <v>61.3</v>
      </c>
      <c r="AH120" s="76">
        <f>Assumptions!AH170</f>
        <v>61.3</v>
      </c>
      <c r="AI120" s="76">
        <f>Assumptions!AI170</f>
        <v>61.3</v>
      </c>
      <c r="AJ120" s="76">
        <f>Assumptions!AJ170</f>
        <v>61.3</v>
      </c>
      <c r="AK120" s="76">
        <f>Assumptions!AK170</f>
        <v>61.3</v>
      </c>
      <c r="AL120" s="76">
        <f>Assumptions!AL170</f>
        <v>61.3</v>
      </c>
      <c r="AM120" s="76">
        <f>Assumptions!AM170</f>
        <v>61.3</v>
      </c>
      <c r="AN120" s="76">
        <f>Assumptions!AN170</f>
        <v>61.3</v>
      </c>
      <c r="AO120" s="76">
        <f>Assumptions!AO170</f>
        <v>61.3</v>
      </c>
      <c r="AP120" s="76">
        <f>Assumptions!AP170</f>
        <v>61.3</v>
      </c>
      <c r="AQ120" s="76">
        <f>Assumptions!AQ170</f>
        <v>61.3</v>
      </c>
      <c r="AR120" s="76">
        <f>Assumptions!AR170</f>
        <v>61.3</v>
      </c>
      <c r="AS120" s="76">
        <f>Assumptions!AS170</f>
        <v>61.3</v>
      </c>
      <c r="AT120" s="76">
        <f>Assumptions!AT170</f>
        <v>61.3</v>
      </c>
      <c r="AU120" s="76">
        <f>Assumptions!AU170</f>
        <v>61.3</v>
      </c>
      <c r="AV120" s="76">
        <f>Assumptions!AV170</f>
        <v>61.3</v>
      </c>
      <c r="AW120" s="76">
        <f>Assumptions!AW170</f>
        <v>61.3</v>
      </c>
      <c r="AX120" s="76">
        <f>Assumptions!AX170</f>
        <v>61.3</v>
      </c>
      <c r="AY120" s="76">
        <f>Assumptions!AY170</f>
        <v>61.3</v>
      </c>
      <c r="AZ120" s="76">
        <f>Assumptions!AZ170</f>
        <v>61.3</v>
      </c>
      <c r="BA120" s="76">
        <f>Assumptions!BA170</f>
        <v>61.3</v>
      </c>
      <c r="BB120" s="76">
        <f>Assumptions!BB170</f>
        <v>62.525999999999996</v>
      </c>
      <c r="BC120" s="76">
        <f>Assumptions!BC170</f>
        <v>62.525999999999996</v>
      </c>
      <c r="BD120" s="76">
        <f>Assumptions!BD170</f>
        <v>62.525999999999996</v>
      </c>
      <c r="BE120" s="76">
        <f>Assumptions!BE170</f>
        <v>62.525999999999996</v>
      </c>
      <c r="BF120" s="76">
        <f>Assumptions!BF170</f>
        <v>62.525999999999996</v>
      </c>
      <c r="BG120" s="76">
        <f>Assumptions!BG170</f>
        <v>62.525999999999996</v>
      </c>
      <c r="BH120" s="76">
        <f>Assumptions!BH170</f>
        <v>62.525999999999996</v>
      </c>
      <c r="BI120" s="76">
        <f>Assumptions!BI170</f>
        <v>62.525999999999996</v>
      </c>
      <c r="BJ120" s="76">
        <f>Assumptions!BJ170</f>
        <v>62.525999999999996</v>
      </c>
      <c r="BK120" s="76">
        <f>Assumptions!BK170</f>
        <v>62.525999999999996</v>
      </c>
      <c r="BL120" s="76">
        <f>Assumptions!BL170</f>
        <v>62.525999999999996</v>
      </c>
      <c r="BM120" s="76">
        <f>Assumptions!BM170</f>
        <v>62.525999999999996</v>
      </c>
      <c r="BN120" s="76">
        <f>Assumptions!BN170</f>
        <v>62.525999999999996</v>
      </c>
    </row>
    <row r="121" spans="2:66" x14ac:dyDescent="0.2">
      <c r="B121" s="76" t="s">
        <v>23</v>
      </c>
      <c r="C121" s="76" t="s">
        <v>28</v>
      </c>
      <c r="J121" s="76">
        <f>Assumptions!J172</f>
        <v>10.906666666666666</v>
      </c>
      <c r="K121" s="76">
        <f>Assumptions!K172</f>
        <v>16.733333333333334</v>
      </c>
      <c r="L121" s="76">
        <f>Assumptions!L172</f>
        <v>22.546666666666667</v>
      </c>
      <c r="M121" s="76">
        <f>Assumptions!M172</f>
        <v>28.373333333333335</v>
      </c>
      <c r="N121" s="76">
        <f>Assumptions!N172</f>
        <v>78.56</v>
      </c>
      <c r="O121" s="76">
        <f>Assumptions!O172</f>
        <v>34.186666666666667</v>
      </c>
      <c r="P121" s="76">
        <f>Assumptions!P172</f>
        <v>40</v>
      </c>
      <c r="Q121" s="76">
        <f>Assumptions!Q172</f>
        <v>40</v>
      </c>
      <c r="R121" s="76">
        <f>Assumptions!R172</f>
        <v>40</v>
      </c>
      <c r="S121" s="76">
        <f>Assumptions!S172</f>
        <v>40</v>
      </c>
      <c r="T121" s="76">
        <f>Assumptions!T172</f>
        <v>40</v>
      </c>
      <c r="U121" s="76">
        <f>Assumptions!U172</f>
        <v>40</v>
      </c>
      <c r="V121" s="76">
        <f>Assumptions!V172</f>
        <v>40</v>
      </c>
      <c r="W121" s="76">
        <f>Assumptions!W172</f>
        <v>40</v>
      </c>
      <c r="X121" s="76">
        <f>Assumptions!X172</f>
        <v>40</v>
      </c>
      <c r="Y121" s="76">
        <f>Assumptions!Y172</f>
        <v>40</v>
      </c>
      <c r="Z121" s="76">
        <f>Assumptions!Z172</f>
        <v>40</v>
      </c>
      <c r="AA121" s="76">
        <f>Assumptions!AA172</f>
        <v>474.18666666666667</v>
      </c>
      <c r="AB121" s="76">
        <f>Assumptions!AB172</f>
        <v>40</v>
      </c>
      <c r="AC121" s="76">
        <f>Assumptions!AC172</f>
        <v>40</v>
      </c>
      <c r="AD121" s="76">
        <f>Assumptions!AD172</f>
        <v>42.106666666666669</v>
      </c>
      <c r="AE121" s="76">
        <f>Assumptions!AE172</f>
        <v>44.213333333333331</v>
      </c>
      <c r="AF121" s="76">
        <f>Assumptions!AF172</f>
        <v>46.32</v>
      </c>
      <c r="AG121" s="76">
        <f>Assumptions!AG172</f>
        <v>48.426666666666669</v>
      </c>
      <c r="AH121" s="76">
        <f>Assumptions!AH172</f>
        <v>50.533333333333331</v>
      </c>
      <c r="AI121" s="76">
        <f>Assumptions!AI172</f>
        <v>52.626666666666665</v>
      </c>
      <c r="AJ121" s="76">
        <f>Assumptions!AJ172</f>
        <v>54.733333333333334</v>
      </c>
      <c r="AK121" s="76">
        <f>Assumptions!AK172</f>
        <v>56.84</v>
      </c>
      <c r="AL121" s="76">
        <f>Assumptions!AL172</f>
        <v>58.93333333333333</v>
      </c>
      <c r="AM121" s="76">
        <f>Assumptions!AM172</f>
        <v>61.04</v>
      </c>
      <c r="AN121" s="76">
        <f>Assumptions!AN172</f>
        <v>595.77333333333331</v>
      </c>
      <c r="AO121" s="76">
        <f>Assumptions!AO172</f>
        <v>63.146666666666668</v>
      </c>
      <c r="AP121" s="76">
        <f>Assumptions!AP172</f>
        <v>65.25333333333333</v>
      </c>
      <c r="AQ121" s="76">
        <f>Assumptions!AQ172</f>
        <v>67.36</v>
      </c>
      <c r="AR121" s="76">
        <f>Assumptions!AR172</f>
        <v>69.466666666666669</v>
      </c>
      <c r="AS121" s="76">
        <f>Assumptions!AS172</f>
        <v>71.573333333333338</v>
      </c>
      <c r="AT121" s="76">
        <f>Assumptions!AT172</f>
        <v>73.680000000000007</v>
      </c>
      <c r="AU121" s="76">
        <f>Assumptions!AU172</f>
        <v>75.773333333333326</v>
      </c>
      <c r="AV121" s="76">
        <f>Assumptions!AV172</f>
        <v>79.999998883722668</v>
      </c>
      <c r="AW121" s="76">
        <f>Assumptions!AW172</f>
        <v>79.999998883722668</v>
      </c>
      <c r="AX121" s="76">
        <f>Assumptions!AX172</f>
        <v>79.999998883722668</v>
      </c>
      <c r="AY121" s="76">
        <f>Assumptions!AY172</f>
        <v>79.999998883722668</v>
      </c>
      <c r="AZ121" s="76">
        <f>Assumptions!AZ172</f>
        <v>79.999998883722668</v>
      </c>
      <c r="BA121" s="76">
        <f>Assumptions!BA172</f>
        <v>886.25332775194659</v>
      </c>
      <c r="BB121" s="76">
        <f>Assumptions!BB172</f>
        <v>73.854443979328892</v>
      </c>
      <c r="BC121" s="76">
        <f>Assumptions!BC172</f>
        <v>73.854443979328892</v>
      </c>
      <c r="BD121" s="76">
        <f>Assumptions!BD172</f>
        <v>73.854443979328892</v>
      </c>
      <c r="BE121" s="76">
        <f>Assumptions!BE172</f>
        <v>73.854443979328892</v>
      </c>
      <c r="BF121" s="76">
        <f>Assumptions!BF172</f>
        <v>73.854443979328892</v>
      </c>
      <c r="BG121" s="76">
        <f>Assumptions!BG172</f>
        <v>73.854443979328892</v>
      </c>
      <c r="BH121" s="76">
        <f>Assumptions!BH172</f>
        <v>73.854443979328892</v>
      </c>
      <c r="BI121" s="76">
        <f>Assumptions!BI172</f>
        <v>73.854443979328892</v>
      </c>
      <c r="BJ121" s="76">
        <f>Assumptions!BJ172</f>
        <v>73.854443979328892</v>
      </c>
      <c r="BK121" s="76">
        <f>Assumptions!BK172</f>
        <v>73.854443979328892</v>
      </c>
      <c r="BL121" s="76">
        <f>Assumptions!BL172</f>
        <v>73.854443979328892</v>
      </c>
      <c r="BM121" s="76">
        <f>Assumptions!BM172</f>
        <v>73.854443979328892</v>
      </c>
      <c r="BN121" s="76">
        <f>Assumptions!BN172</f>
        <v>886.25332775194659</v>
      </c>
    </row>
    <row r="122" spans="2:66" hidden="1" x14ac:dyDescent="0.2">
      <c r="B122" s="76" t="s">
        <v>42</v>
      </c>
      <c r="C122" s="76" t="s">
        <v>49</v>
      </c>
      <c r="J122" s="76">
        <f>Assumptions!J174</f>
        <v>0</v>
      </c>
      <c r="K122" s="76">
        <f>Assumptions!K174</f>
        <v>0</v>
      </c>
      <c r="L122" s="76">
        <f>Assumptions!L174</f>
        <v>0</v>
      </c>
      <c r="M122" s="76">
        <f>Assumptions!M174</f>
        <v>0</v>
      </c>
      <c r="N122" s="76">
        <f>Assumptions!N174</f>
        <v>0</v>
      </c>
      <c r="O122" s="76">
        <f>Assumptions!O174</f>
        <v>0</v>
      </c>
      <c r="P122" s="76">
        <f>Assumptions!P174</f>
        <v>0</v>
      </c>
      <c r="Q122" s="76">
        <f>Assumptions!Q174</f>
        <v>0</v>
      </c>
      <c r="R122" s="76">
        <f>Assumptions!R174</f>
        <v>0</v>
      </c>
      <c r="S122" s="76">
        <f>Assumptions!S174</f>
        <v>0</v>
      </c>
      <c r="T122" s="76">
        <f>Assumptions!T174</f>
        <v>0</v>
      </c>
      <c r="U122" s="76">
        <f>Assumptions!U174</f>
        <v>0</v>
      </c>
      <c r="V122" s="76">
        <f>Assumptions!V174</f>
        <v>0</v>
      </c>
      <c r="W122" s="76">
        <f>Assumptions!W174</f>
        <v>0</v>
      </c>
      <c r="X122" s="76">
        <f>Assumptions!X174</f>
        <v>0</v>
      </c>
      <c r="Y122" s="76">
        <f>Assumptions!Y174</f>
        <v>0</v>
      </c>
      <c r="Z122" s="76">
        <f>Assumptions!Z174</f>
        <v>0</v>
      </c>
      <c r="AA122" s="76">
        <f>Assumptions!AA174</f>
        <v>0</v>
      </c>
      <c r="AB122" s="76">
        <f>Assumptions!AB174</f>
        <v>0</v>
      </c>
      <c r="AC122" s="76">
        <f>Assumptions!AC174</f>
        <v>0</v>
      </c>
      <c r="AD122" s="76">
        <f>Assumptions!AD174</f>
        <v>0</v>
      </c>
      <c r="AE122" s="76">
        <f>Assumptions!AE174</f>
        <v>0</v>
      </c>
      <c r="AF122" s="76">
        <f>Assumptions!AF174</f>
        <v>0</v>
      </c>
      <c r="AG122" s="76">
        <f>Assumptions!AG174</f>
        <v>0</v>
      </c>
      <c r="AH122" s="76">
        <f>Assumptions!AH174</f>
        <v>0</v>
      </c>
      <c r="AI122" s="76">
        <f>Assumptions!AI174</f>
        <v>0</v>
      </c>
      <c r="AJ122" s="76">
        <f>Assumptions!AJ174</f>
        <v>0</v>
      </c>
      <c r="AK122" s="76">
        <f>Assumptions!AK174</f>
        <v>0</v>
      </c>
      <c r="AL122" s="76">
        <f>Assumptions!AL174</f>
        <v>0</v>
      </c>
      <c r="AM122" s="76">
        <f>Assumptions!AM174</f>
        <v>0</v>
      </c>
      <c r="AN122" s="76">
        <f>Assumptions!AN174</f>
        <v>0</v>
      </c>
      <c r="AO122" s="76">
        <f>Assumptions!AO174</f>
        <v>0</v>
      </c>
      <c r="AP122" s="76">
        <f>Assumptions!AP174</f>
        <v>0</v>
      </c>
      <c r="AQ122" s="76">
        <f>Assumptions!AQ174</f>
        <v>0</v>
      </c>
      <c r="AR122" s="76">
        <f>Assumptions!AR174</f>
        <v>0</v>
      </c>
      <c r="AS122" s="76">
        <f>Assumptions!AS174</f>
        <v>0</v>
      </c>
      <c r="AT122" s="76">
        <f>Assumptions!AT174</f>
        <v>0</v>
      </c>
      <c r="AU122" s="76">
        <f>Assumptions!AU174</f>
        <v>0</v>
      </c>
      <c r="AV122" s="76">
        <f>Assumptions!AV174</f>
        <v>0</v>
      </c>
      <c r="AW122" s="76">
        <f>Assumptions!AW174</f>
        <v>0</v>
      </c>
      <c r="AX122" s="76">
        <f>Assumptions!AX174</f>
        <v>0</v>
      </c>
      <c r="AY122" s="76">
        <f>Assumptions!AY174</f>
        <v>0</v>
      </c>
      <c r="AZ122" s="76">
        <f>Assumptions!AZ174</f>
        <v>0</v>
      </c>
      <c r="BA122" s="76">
        <f>Assumptions!BA174</f>
        <v>0</v>
      </c>
      <c r="BB122" s="76">
        <f>Assumptions!BB174</f>
        <v>0</v>
      </c>
      <c r="BC122" s="76">
        <f>Assumptions!BC174</f>
        <v>0</v>
      </c>
      <c r="BD122" s="76">
        <f>Assumptions!BD174</f>
        <v>0</v>
      </c>
      <c r="BE122" s="76">
        <f>Assumptions!BE174</f>
        <v>0</v>
      </c>
      <c r="BF122" s="76">
        <f>Assumptions!BF174</f>
        <v>0</v>
      </c>
      <c r="BG122" s="76">
        <f>Assumptions!BG174</f>
        <v>0</v>
      </c>
      <c r="BH122" s="76">
        <f>Assumptions!BH174</f>
        <v>0</v>
      </c>
      <c r="BI122" s="76">
        <f>Assumptions!BI174</f>
        <v>0</v>
      </c>
      <c r="BJ122" s="76">
        <f>Assumptions!BJ174</f>
        <v>0</v>
      </c>
      <c r="BK122" s="76">
        <f>Assumptions!BK174</f>
        <v>0</v>
      </c>
      <c r="BL122" s="76">
        <f>Assumptions!BL174</f>
        <v>0</v>
      </c>
      <c r="BM122" s="76">
        <f>Assumptions!BM174</f>
        <v>0</v>
      </c>
      <c r="BN122" s="76">
        <f>Assumptions!BN174</f>
        <v>0</v>
      </c>
    </row>
    <row r="123" spans="2:66" hidden="1" x14ac:dyDescent="0.2">
      <c r="B123" s="76" t="s">
        <v>43</v>
      </c>
      <c r="C123" s="76" t="s">
        <v>35</v>
      </c>
      <c r="J123" s="76">
        <f t="shared" ref="J123:BN123" si="45">J114</f>
        <v>30</v>
      </c>
      <c r="K123" s="76">
        <f t="shared" si="45"/>
        <v>31</v>
      </c>
      <c r="L123" s="76">
        <f t="shared" si="45"/>
        <v>30</v>
      </c>
      <c r="M123" s="76">
        <f t="shared" si="45"/>
        <v>31</v>
      </c>
      <c r="N123" s="76">
        <f t="shared" si="45"/>
        <v>30.571428571428573</v>
      </c>
      <c r="O123" s="76">
        <f t="shared" si="45"/>
        <v>31</v>
      </c>
      <c r="P123" s="76">
        <f t="shared" si="45"/>
        <v>28</v>
      </c>
      <c r="Q123" s="76">
        <f t="shared" si="45"/>
        <v>31</v>
      </c>
      <c r="R123" s="76">
        <f t="shared" si="45"/>
        <v>30</v>
      </c>
      <c r="S123" s="76">
        <f t="shared" si="45"/>
        <v>31</v>
      </c>
      <c r="T123" s="76">
        <f t="shared" si="45"/>
        <v>30</v>
      </c>
      <c r="U123" s="76">
        <f t="shared" si="45"/>
        <v>31</v>
      </c>
      <c r="V123" s="76">
        <f t="shared" si="45"/>
        <v>31</v>
      </c>
      <c r="W123" s="76">
        <f t="shared" si="45"/>
        <v>30</v>
      </c>
      <c r="X123" s="76">
        <f t="shared" si="45"/>
        <v>31</v>
      </c>
      <c r="Y123" s="76">
        <f t="shared" si="45"/>
        <v>30</v>
      </c>
      <c r="Z123" s="76">
        <f t="shared" si="45"/>
        <v>31</v>
      </c>
      <c r="AA123" s="76">
        <f t="shared" si="45"/>
        <v>30.416666666666668</v>
      </c>
      <c r="AB123" s="76">
        <f t="shared" si="45"/>
        <v>31</v>
      </c>
      <c r="AC123" s="76">
        <f t="shared" si="45"/>
        <v>28</v>
      </c>
      <c r="AD123" s="76">
        <f t="shared" si="45"/>
        <v>31</v>
      </c>
      <c r="AE123" s="76">
        <f t="shared" si="45"/>
        <v>30</v>
      </c>
      <c r="AF123" s="76">
        <f t="shared" si="45"/>
        <v>31</v>
      </c>
      <c r="AG123" s="76">
        <f t="shared" si="45"/>
        <v>30</v>
      </c>
      <c r="AH123" s="76">
        <f t="shared" si="45"/>
        <v>31</v>
      </c>
      <c r="AI123" s="76">
        <f t="shared" si="45"/>
        <v>31</v>
      </c>
      <c r="AJ123" s="76">
        <f t="shared" si="45"/>
        <v>30</v>
      </c>
      <c r="AK123" s="76">
        <f t="shared" si="45"/>
        <v>31</v>
      </c>
      <c r="AL123" s="76">
        <f t="shared" si="45"/>
        <v>30</v>
      </c>
      <c r="AM123" s="76">
        <f t="shared" si="45"/>
        <v>31</v>
      </c>
      <c r="AN123" s="76">
        <f t="shared" si="45"/>
        <v>30.416666666666668</v>
      </c>
      <c r="AO123" s="76">
        <f t="shared" si="45"/>
        <v>31</v>
      </c>
      <c r="AP123" s="76">
        <f t="shared" si="45"/>
        <v>29</v>
      </c>
      <c r="AQ123" s="76">
        <f t="shared" si="45"/>
        <v>31</v>
      </c>
      <c r="AR123" s="76">
        <f t="shared" si="45"/>
        <v>30</v>
      </c>
      <c r="AS123" s="76">
        <f t="shared" si="45"/>
        <v>31</v>
      </c>
      <c r="AT123" s="76">
        <f t="shared" si="45"/>
        <v>30</v>
      </c>
      <c r="AU123" s="76">
        <f t="shared" si="45"/>
        <v>31</v>
      </c>
      <c r="AV123" s="76">
        <f t="shared" si="45"/>
        <v>31</v>
      </c>
      <c r="AW123" s="76">
        <f t="shared" si="45"/>
        <v>30</v>
      </c>
      <c r="AX123" s="76">
        <f t="shared" si="45"/>
        <v>31</v>
      </c>
      <c r="AY123" s="76">
        <f t="shared" si="45"/>
        <v>30</v>
      </c>
      <c r="AZ123" s="76">
        <f t="shared" si="45"/>
        <v>31</v>
      </c>
      <c r="BA123" s="76">
        <f t="shared" si="45"/>
        <v>30.5</v>
      </c>
      <c r="BB123" s="76">
        <f t="shared" si="45"/>
        <v>31</v>
      </c>
      <c r="BC123" s="76">
        <f t="shared" si="45"/>
        <v>28</v>
      </c>
      <c r="BD123" s="76">
        <f t="shared" si="45"/>
        <v>31</v>
      </c>
      <c r="BE123" s="76">
        <f t="shared" si="45"/>
        <v>30</v>
      </c>
      <c r="BF123" s="76">
        <f t="shared" si="45"/>
        <v>31</v>
      </c>
      <c r="BG123" s="76">
        <f t="shared" si="45"/>
        <v>30</v>
      </c>
      <c r="BH123" s="76">
        <f t="shared" si="45"/>
        <v>31</v>
      </c>
      <c r="BI123" s="76">
        <f t="shared" si="45"/>
        <v>31</v>
      </c>
      <c r="BJ123" s="76">
        <f t="shared" si="45"/>
        <v>30</v>
      </c>
      <c r="BK123" s="76">
        <f t="shared" si="45"/>
        <v>31</v>
      </c>
      <c r="BL123" s="76">
        <f t="shared" si="45"/>
        <v>30</v>
      </c>
      <c r="BM123" s="76">
        <f t="shared" si="45"/>
        <v>31</v>
      </c>
      <c r="BN123" s="76">
        <f t="shared" si="45"/>
        <v>30.416666666666668</v>
      </c>
    </row>
    <row r="124" spans="2:66" x14ac:dyDescent="0.2">
      <c r="B124" s="78" t="s">
        <v>165</v>
      </c>
      <c r="C124" s="334" t="s">
        <v>78</v>
      </c>
      <c r="D124" s="78"/>
      <c r="E124" s="78"/>
      <c r="F124" s="78"/>
      <c r="G124" s="78"/>
      <c r="H124" s="78"/>
      <c r="I124" s="78"/>
      <c r="J124" s="78">
        <f>J121*J120</f>
        <v>668.57866666666666</v>
      </c>
      <c r="K124" s="78">
        <f t="shared" ref="K124:BA124" si="46">K121*K120</f>
        <v>1025.7533333333333</v>
      </c>
      <c r="L124" s="78">
        <f t="shared" si="46"/>
        <v>1382.1106666666667</v>
      </c>
      <c r="M124" s="78">
        <f t="shared" si="46"/>
        <v>1739.2853333333333</v>
      </c>
      <c r="N124" s="78">
        <f t="shared" si="46"/>
        <v>4815.7280000000001</v>
      </c>
      <c r="O124" s="78">
        <f t="shared" si="46"/>
        <v>2095.6426666666666</v>
      </c>
      <c r="P124" s="78">
        <f t="shared" si="46"/>
        <v>2452</v>
      </c>
      <c r="Q124" s="78">
        <f t="shared" si="46"/>
        <v>2452</v>
      </c>
      <c r="R124" s="78">
        <f t="shared" si="46"/>
        <v>2452</v>
      </c>
      <c r="S124" s="78">
        <f t="shared" si="46"/>
        <v>2452</v>
      </c>
      <c r="T124" s="78">
        <f t="shared" si="46"/>
        <v>2452</v>
      </c>
      <c r="U124" s="78">
        <f t="shared" si="46"/>
        <v>2452</v>
      </c>
      <c r="V124" s="78">
        <f t="shared" si="46"/>
        <v>2452</v>
      </c>
      <c r="W124" s="78">
        <f t="shared" si="46"/>
        <v>2452</v>
      </c>
      <c r="X124" s="78">
        <f t="shared" si="46"/>
        <v>2452</v>
      </c>
      <c r="Y124" s="78">
        <f t="shared" si="46"/>
        <v>2452</v>
      </c>
      <c r="Z124" s="78">
        <f t="shared" si="46"/>
        <v>2452</v>
      </c>
      <c r="AA124" s="78">
        <f t="shared" si="46"/>
        <v>29067.642666666667</v>
      </c>
      <c r="AB124" s="78">
        <f t="shared" si="46"/>
        <v>2452</v>
      </c>
      <c r="AC124" s="78">
        <f t="shared" si="46"/>
        <v>2452</v>
      </c>
      <c r="AD124" s="78">
        <f t="shared" si="46"/>
        <v>2581.1386666666667</v>
      </c>
      <c r="AE124" s="78">
        <f t="shared" si="46"/>
        <v>2710.277333333333</v>
      </c>
      <c r="AF124" s="78">
        <f t="shared" si="46"/>
        <v>2839.4159999999997</v>
      </c>
      <c r="AG124" s="78">
        <f t="shared" si="46"/>
        <v>2968.5546666666669</v>
      </c>
      <c r="AH124" s="78">
        <f t="shared" si="46"/>
        <v>3097.6933333333332</v>
      </c>
      <c r="AI124" s="78">
        <f t="shared" si="46"/>
        <v>3226.0146666666665</v>
      </c>
      <c r="AJ124" s="78">
        <f t="shared" si="46"/>
        <v>3355.1533333333332</v>
      </c>
      <c r="AK124" s="78">
        <f t="shared" si="46"/>
        <v>3484.2919999999999</v>
      </c>
      <c r="AL124" s="78">
        <f t="shared" si="46"/>
        <v>3612.6133333333328</v>
      </c>
      <c r="AM124" s="78">
        <f t="shared" si="46"/>
        <v>3741.752</v>
      </c>
      <c r="AN124" s="78">
        <f t="shared" si="46"/>
        <v>36520.905333333329</v>
      </c>
      <c r="AO124" s="78">
        <f t="shared" si="46"/>
        <v>3870.8906666666667</v>
      </c>
      <c r="AP124" s="78">
        <f t="shared" si="46"/>
        <v>4000.0293333333329</v>
      </c>
      <c r="AQ124" s="78">
        <f t="shared" si="46"/>
        <v>4129.1679999999997</v>
      </c>
      <c r="AR124" s="78">
        <f t="shared" si="46"/>
        <v>4258.3066666666664</v>
      </c>
      <c r="AS124" s="78">
        <f t="shared" si="46"/>
        <v>4387.4453333333331</v>
      </c>
      <c r="AT124" s="78">
        <f t="shared" si="46"/>
        <v>4516.5839999999998</v>
      </c>
      <c r="AU124" s="78">
        <f t="shared" si="46"/>
        <v>4644.9053333333322</v>
      </c>
      <c r="AV124" s="78">
        <f t="shared" si="46"/>
        <v>4903.9999315721989</v>
      </c>
      <c r="AW124" s="78">
        <f t="shared" si="46"/>
        <v>4903.9999315721989</v>
      </c>
      <c r="AX124" s="78">
        <f t="shared" si="46"/>
        <v>4903.9999315721989</v>
      </c>
      <c r="AY124" s="78">
        <f t="shared" si="46"/>
        <v>4903.9999315721989</v>
      </c>
      <c r="AZ124" s="78">
        <f t="shared" si="46"/>
        <v>4903.9999315721989</v>
      </c>
      <c r="BA124" s="78">
        <f t="shared" si="46"/>
        <v>54327.328991194321</v>
      </c>
      <c r="BB124" s="78">
        <f>IF(SUM($G$123:BB123)&lt;=BB122,0,BB121*BB120)</f>
        <v>4617.822964251518</v>
      </c>
      <c r="BC124" s="78">
        <f>IF(SUM($G$123:BC123)&lt;=BC122,0,BC121*BC120)</f>
        <v>4617.822964251518</v>
      </c>
      <c r="BD124" s="78">
        <f>IF(SUM($G$123:BD123)&lt;=BD122,0,BD121*BD120)</f>
        <v>4617.822964251518</v>
      </c>
      <c r="BE124" s="78">
        <f>IF(SUM($G$123:BE123)&lt;=BE122,0,BE121*BE120)</f>
        <v>4617.822964251518</v>
      </c>
      <c r="BF124" s="78">
        <f>IF(SUM($G$123:BF123)&lt;=BF122,0,BF121*BF120)</f>
        <v>4617.822964251518</v>
      </c>
      <c r="BG124" s="78">
        <f>IF(SUM($G$123:BG123)&lt;=BG122,0,BG121*BG120)</f>
        <v>4617.822964251518</v>
      </c>
      <c r="BH124" s="78">
        <f>IF(SUM($G$123:BH123)&lt;=BH122,0,BH121*BH120)</f>
        <v>4617.822964251518</v>
      </c>
      <c r="BI124" s="78">
        <f>IF(SUM($G$123:BI123)&lt;=BI122,0,BI121*BI120)</f>
        <v>4617.822964251518</v>
      </c>
      <c r="BJ124" s="78">
        <f>IF(SUM($G$123:BJ123)&lt;=BJ122,0,BJ121*BJ120)</f>
        <v>4617.822964251518</v>
      </c>
      <c r="BK124" s="78">
        <f>IF(SUM($G$123:BK123)&lt;=BK122,0,BK121*BK120)</f>
        <v>4617.822964251518</v>
      </c>
      <c r="BL124" s="78">
        <f>IF(SUM($G$123:BL123)&lt;=BL122,0,BL121*BL120)</f>
        <v>4617.822964251518</v>
      </c>
      <c r="BM124" s="78">
        <f>IF(SUM($G$123:BM123)&lt;=BM122,0,BM121*BM120)</f>
        <v>4617.822964251518</v>
      </c>
      <c r="BN124" s="78">
        <f>SUM(BB124:BM124)</f>
        <v>55413.87557101823</v>
      </c>
    </row>
    <row r="125" spans="2:66" ht="6.75" customHeight="1" x14ac:dyDescent="0.2">
      <c r="B125" s="80"/>
      <c r="C125" s="336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</row>
    <row r="126" spans="2:66" x14ac:dyDescent="0.2">
      <c r="B126" s="78" t="s">
        <v>164</v>
      </c>
      <c r="C126" s="334" t="s">
        <v>78</v>
      </c>
      <c r="D126" s="78"/>
      <c r="E126" s="78"/>
      <c r="F126" s="78"/>
      <c r="G126" s="78"/>
      <c r="H126" s="78"/>
      <c r="I126" s="78"/>
      <c r="J126" s="78">
        <f>J124*(1+Assumptions!J175)</f>
        <v>671.92155999999989</v>
      </c>
      <c r="K126" s="78">
        <f>K124*(1+Assumptions!K175)</f>
        <v>1030.8820999999998</v>
      </c>
      <c r="L126" s="78">
        <f>L124*(1+Assumptions!L175)</f>
        <v>1389.0212199999999</v>
      </c>
      <c r="M126" s="78">
        <f>M124*(1+Assumptions!M175)</f>
        <v>1747.9817599999997</v>
      </c>
      <c r="N126" s="78">
        <f>N124*(1+Assumptions!N175)</f>
        <v>4839.8066399999998</v>
      </c>
      <c r="O126" s="78">
        <f>O124*(1+Assumptions!O175)</f>
        <v>2106.1208799999999</v>
      </c>
      <c r="P126" s="78">
        <f>P124*(1+Assumptions!P175)</f>
        <v>2464.2599999999998</v>
      </c>
      <c r="Q126" s="78">
        <f>Q124*(1+Assumptions!Q175)</f>
        <v>2464.2599999999998</v>
      </c>
      <c r="R126" s="78">
        <f>R124*(1+Assumptions!R175)</f>
        <v>2464.2599999999998</v>
      </c>
      <c r="S126" s="78">
        <f>S124*(1+Assumptions!S175)</f>
        <v>2464.2599999999998</v>
      </c>
      <c r="T126" s="78">
        <f>T124*(1+Assumptions!T175)</f>
        <v>2464.2599999999998</v>
      </c>
      <c r="U126" s="78">
        <f>U124*(1+Assumptions!U175)</f>
        <v>2464.2599999999998</v>
      </c>
      <c r="V126" s="78">
        <f>V124*(1+Assumptions!V175)</f>
        <v>2464.2599999999998</v>
      </c>
      <c r="W126" s="78">
        <f>W124*(1+Assumptions!W175)</f>
        <v>2464.2599999999998</v>
      </c>
      <c r="X126" s="78">
        <f>X124*(1+Assumptions!X175)</f>
        <v>2464.2599999999998</v>
      </c>
      <c r="Y126" s="78">
        <f>Y124*(1+Assumptions!Y175)</f>
        <v>2464.2599999999998</v>
      </c>
      <c r="Z126" s="78">
        <f>Z124*(1+Assumptions!Z175)</f>
        <v>2464.2599999999998</v>
      </c>
      <c r="AA126" s="78">
        <f>AA124*(1+Assumptions!AA175)</f>
        <v>29212.980879999996</v>
      </c>
      <c r="AB126" s="78">
        <f>AB124*(1+Assumptions!AB175)</f>
        <v>2464.2599999999998</v>
      </c>
      <c r="AC126" s="78">
        <f>AC124*(1+Assumptions!AC175)</f>
        <v>2464.2599999999998</v>
      </c>
      <c r="AD126" s="78">
        <f>AD124*(1+Assumptions!AD175)</f>
        <v>2594.0443599999999</v>
      </c>
      <c r="AE126" s="78">
        <f>AE124*(1+Assumptions!AE175)</f>
        <v>2723.8287199999995</v>
      </c>
      <c r="AF126" s="78">
        <f>AF124*(1+Assumptions!AF175)</f>
        <v>2853.6130799999996</v>
      </c>
      <c r="AG126" s="78">
        <f>AG124*(1+Assumptions!AG175)</f>
        <v>2983.3974399999997</v>
      </c>
      <c r="AH126" s="78">
        <f>AH124*(1+Assumptions!AH175)</f>
        <v>3113.1817999999994</v>
      </c>
      <c r="AI126" s="78">
        <f>AI124*(1+Assumptions!AI175)</f>
        <v>3242.1447399999993</v>
      </c>
      <c r="AJ126" s="78">
        <f>AJ124*(1+Assumptions!AJ175)</f>
        <v>3371.9290999999994</v>
      </c>
      <c r="AK126" s="78">
        <f>AK124*(1+Assumptions!AK175)</f>
        <v>3501.7134599999995</v>
      </c>
      <c r="AL126" s="78">
        <f>AL124*(1+Assumptions!AL175)</f>
        <v>3630.6763999999989</v>
      </c>
      <c r="AM126" s="78">
        <f>AM124*(1+Assumptions!AM175)</f>
        <v>3760.4607599999995</v>
      </c>
      <c r="AN126" s="78">
        <f>AN124*(1+Assumptions!AN175)</f>
        <v>36703.509859999991</v>
      </c>
      <c r="AO126" s="78">
        <f>AO124*(1+Assumptions!AO175)</f>
        <v>3890.2451199999996</v>
      </c>
      <c r="AP126" s="78">
        <f>AP124*(1+Assumptions!AP175)</f>
        <v>4020.0294799999992</v>
      </c>
      <c r="AQ126" s="78">
        <f>AQ124*(1+Assumptions!AQ175)</f>
        <v>4149.8138399999989</v>
      </c>
      <c r="AR126" s="78">
        <f>AR124*(1+Assumptions!AR175)</f>
        <v>4279.5981999999995</v>
      </c>
      <c r="AS126" s="78">
        <f>AS124*(1+Assumptions!AS175)</f>
        <v>4409.3825599999991</v>
      </c>
      <c r="AT126" s="78">
        <f>AT124*(1+Assumptions!AT175)</f>
        <v>4539.1669199999997</v>
      </c>
      <c r="AU126" s="78">
        <f>AU124*(1+Assumptions!AU175)</f>
        <v>4668.1298599999982</v>
      </c>
      <c r="AV126" s="78">
        <f>AV124*(1+Assumptions!AV175)</f>
        <v>4928.5199312300592</v>
      </c>
      <c r="AW126" s="78">
        <f>AW124*(1+Assumptions!AW175)</f>
        <v>4928.5199312300592</v>
      </c>
      <c r="AX126" s="78">
        <f>AX124*(1+Assumptions!AX175)</f>
        <v>4928.5199312300592</v>
      </c>
      <c r="AY126" s="78">
        <f>AY124*(1+Assumptions!AY175)</f>
        <v>4928.5199312300592</v>
      </c>
      <c r="AZ126" s="78">
        <f>AZ124*(1+Assumptions!AZ175)</f>
        <v>4928.5199312300592</v>
      </c>
      <c r="BA126" s="78">
        <f>BA124*(1+Assumptions!BA175)</f>
        <v>54598.965636150286</v>
      </c>
      <c r="BB126" s="78">
        <f>BB124*(1+Assumptions!BB175)</f>
        <v>4640.9120790727748</v>
      </c>
      <c r="BC126" s="78">
        <f>BC124*(1+Assumptions!BC175)</f>
        <v>4640.9120790727748</v>
      </c>
      <c r="BD126" s="78">
        <f>BD124*(1+Assumptions!BD175)</f>
        <v>4640.9120790727748</v>
      </c>
      <c r="BE126" s="78">
        <f>BE124*(1+Assumptions!BE175)</f>
        <v>4640.9120790727748</v>
      </c>
      <c r="BF126" s="78">
        <f>BF124*(1+Assumptions!BF175)</f>
        <v>4640.9120790727748</v>
      </c>
      <c r="BG126" s="78">
        <f>BG124*(1+Assumptions!BG175)</f>
        <v>4640.9120790727748</v>
      </c>
      <c r="BH126" s="78">
        <f>BH124*(1+Assumptions!BH175)</f>
        <v>4640.9120790727748</v>
      </c>
      <c r="BI126" s="78">
        <f>BI124*(1+Assumptions!BI175)</f>
        <v>4640.9120790727748</v>
      </c>
      <c r="BJ126" s="78">
        <f>BJ124*(1+Assumptions!BJ175)</f>
        <v>4640.9120790727748</v>
      </c>
      <c r="BK126" s="78">
        <f>BK124*(1+Assumptions!BK175)</f>
        <v>4640.9120790727748</v>
      </c>
      <c r="BL126" s="78">
        <f>BL124*(1+Assumptions!BL175)</f>
        <v>4640.9120790727748</v>
      </c>
      <c r="BM126" s="78">
        <f>BM124*(1+Assumptions!BM175)</f>
        <v>4640.9120790727748</v>
      </c>
      <c r="BN126" s="78">
        <f>BN124*(1+Assumptions!BN175)</f>
        <v>55690.944948873315</v>
      </c>
    </row>
    <row r="127" spans="2:66" x14ac:dyDescent="0.2">
      <c r="B127" s="80"/>
      <c r="C127" s="336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</row>
    <row r="128" spans="2:66" x14ac:dyDescent="0.2">
      <c r="B128" s="80" t="s">
        <v>75</v>
      </c>
      <c r="AA128" s="80"/>
      <c r="AB128" s="163"/>
    </row>
    <row r="129" spans="2:66" x14ac:dyDescent="0.2">
      <c r="B129" s="76" t="s">
        <v>31</v>
      </c>
      <c r="C129" s="76" t="s">
        <v>32</v>
      </c>
      <c r="J129" s="76">
        <f>Assumptions!J178</f>
        <v>61.3</v>
      </c>
      <c r="K129" s="76">
        <f>Assumptions!K178</f>
        <v>61.3</v>
      </c>
      <c r="L129" s="76">
        <f>Assumptions!L178</f>
        <v>61.3</v>
      </c>
      <c r="M129" s="76">
        <f>Assumptions!M178</f>
        <v>61.3</v>
      </c>
      <c r="N129" s="76">
        <f>Assumptions!N178</f>
        <v>61.3</v>
      </c>
      <c r="O129" s="76">
        <f>Assumptions!O178</f>
        <v>61.3</v>
      </c>
      <c r="P129" s="76">
        <f>Assumptions!P178</f>
        <v>61.3</v>
      </c>
      <c r="Q129" s="76">
        <f>Assumptions!Q178</f>
        <v>61.3</v>
      </c>
      <c r="R129" s="76">
        <f>Assumptions!R178</f>
        <v>61.3</v>
      </c>
      <c r="S129" s="76">
        <f>Assumptions!S178</f>
        <v>61.3</v>
      </c>
      <c r="T129" s="76">
        <f>Assumptions!T178</f>
        <v>61.3</v>
      </c>
      <c r="U129" s="76">
        <f>Assumptions!U178</f>
        <v>61.3</v>
      </c>
      <c r="V129" s="76">
        <f>Assumptions!V178</f>
        <v>61.3</v>
      </c>
      <c r="W129" s="76">
        <f>Assumptions!W178</f>
        <v>61.3</v>
      </c>
      <c r="X129" s="76">
        <f>Assumptions!X178</f>
        <v>61.3</v>
      </c>
      <c r="Y129" s="76">
        <f>Assumptions!Y178</f>
        <v>61.3</v>
      </c>
      <c r="Z129" s="76">
        <f>Assumptions!Z178</f>
        <v>61.3</v>
      </c>
      <c r="AA129" s="76">
        <f>Assumptions!AA178</f>
        <v>61.3</v>
      </c>
      <c r="AB129" s="76">
        <f>Assumptions!AB178</f>
        <v>61.3</v>
      </c>
      <c r="AC129" s="76">
        <f>Assumptions!AC178</f>
        <v>61.3</v>
      </c>
      <c r="AD129" s="76">
        <f>Assumptions!AD178</f>
        <v>61.3</v>
      </c>
      <c r="AE129" s="76">
        <f>Assumptions!AE178</f>
        <v>61.3</v>
      </c>
      <c r="AF129" s="76">
        <f>Assumptions!AF178</f>
        <v>61.3</v>
      </c>
      <c r="AG129" s="76">
        <f>Assumptions!AG178</f>
        <v>61.3</v>
      </c>
      <c r="AH129" s="76">
        <f>Assumptions!AH178</f>
        <v>61.3</v>
      </c>
      <c r="AI129" s="76">
        <f>Assumptions!AI178</f>
        <v>61.3</v>
      </c>
      <c r="AJ129" s="76">
        <f>Assumptions!AJ178</f>
        <v>61.3</v>
      </c>
      <c r="AK129" s="76">
        <f>Assumptions!AK178</f>
        <v>61.3</v>
      </c>
      <c r="AL129" s="76">
        <f>Assumptions!AL178</f>
        <v>61.3</v>
      </c>
      <c r="AM129" s="76">
        <f>Assumptions!AM178</f>
        <v>61.3</v>
      </c>
      <c r="AN129" s="76">
        <f>Assumptions!AN178</f>
        <v>61.3</v>
      </c>
      <c r="AO129" s="76">
        <f>Assumptions!AO178</f>
        <v>61.3</v>
      </c>
      <c r="AP129" s="76">
        <f>Assumptions!AP178</f>
        <v>61.3</v>
      </c>
      <c r="AQ129" s="76">
        <f>Assumptions!AQ178</f>
        <v>61.3</v>
      </c>
      <c r="AR129" s="76">
        <f>Assumptions!AR178</f>
        <v>61.3</v>
      </c>
      <c r="AS129" s="76">
        <f>Assumptions!AS178</f>
        <v>61.3</v>
      </c>
      <c r="AT129" s="76">
        <f>Assumptions!AT178</f>
        <v>61.3</v>
      </c>
      <c r="AU129" s="76">
        <f>Assumptions!AU178</f>
        <v>61.3</v>
      </c>
      <c r="AV129" s="76">
        <f>Assumptions!AV178</f>
        <v>61.3</v>
      </c>
      <c r="AW129" s="76">
        <f>Assumptions!AW178</f>
        <v>61.3</v>
      </c>
      <c r="AX129" s="76">
        <f>Assumptions!AX178</f>
        <v>61.3</v>
      </c>
      <c r="AY129" s="76">
        <f>Assumptions!AY178</f>
        <v>61.3</v>
      </c>
      <c r="AZ129" s="76">
        <f>Assumptions!AZ178</f>
        <v>61.3</v>
      </c>
      <c r="BA129" s="76">
        <f>Assumptions!BA178</f>
        <v>61.3</v>
      </c>
      <c r="BB129" s="76">
        <f>Assumptions!BB178</f>
        <v>62.525999999999996</v>
      </c>
      <c r="BC129" s="76">
        <f>Assumptions!BC178</f>
        <v>62.525999999999996</v>
      </c>
      <c r="BD129" s="76">
        <f>Assumptions!BD178</f>
        <v>62.525999999999996</v>
      </c>
      <c r="BE129" s="76">
        <f>Assumptions!BE178</f>
        <v>62.525999999999996</v>
      </c>
      <c r="BF129" s="76">
        <f>Assumptions!BF178</f>
        <v>62.525999999999996</v>
      </c>
      <c r="BG129" s="76">
        <f>Assumptions!BG178</f>
        <v>62.525999999999996</v>
      </c>
      <c r="BH129" s="76">
        <f>Assumptions!BH178</f>
        <v>62.525999999999996</v>
      </c>
      <c r="BI129" s="76">
        <f>Assumptions!BI178</f>
        <v>62.525999999999996</v>
      </c>
      <c r="BJ129" s="76">
        <f>Assumptions!BJ178</f>
        <v>62.525999999999996</v>
      </c>
      <c r="BK129" s="76">
        <f>Assumptions!BK178</f>
        <v>62.525999999999996</v>
      </c>
      <c r="BL129" s="76">
        <f>Assumptions!BL178</f>
        <v>62.525999999999996</v>
      </c>
      <c r="BM129" s="76">
        <f>Assumptions!BM178</f>
        <v>62.525999999999996</v>
      </c>
      <c r="BN129" s="76">
        <f>Assumptions!BN178</f>
        <v>62.525999999999996</v>
      </c>
    </row>
    <row r="130" spans="2:66" x14ac:dyDescent="0.2">
      <c r="B130" s="76" t="s">
        <v>23</v>
      </c>
      <c r="C130" s="76" t="s">
        <v>28</v>
      </c>
      <c r="J130" s="76">
        <f>Assumptions!J180</f>
        <v>5.4533333333333331</v>
      </c>
      <c r="K130" s="76">
        <f>Assumptions!K180</f>
        <v>8.36</v>
      </c>
      <c r="L130" s="76">
        <f>Assumptions!L180</f>
        <v>11.266666666666667</v>
      </c>
      <c r="M130" s="76">
        <f>Assumptions!M180</f>
        <v>14.173333333333334</v>
      </c>
      <c r="N130" s="76">
        <f>Assumptions!N180</f>
        <v>39.25333333333333</v>
      </c>
      <c r="O130" s="76">
        <f>Assumptions!O180</f>
        <v>17.093333333333334</v>
      </c>
      <c r="P130" s="76">
        <f>Assumptions!P180</f>
        <v>20</v>
      </c>
      <c r="Q130" s="76">
        <f>Assumptions!Q180</f>
        <v>20</v>
      </c>
      <c r="R130" s="76">
        <f>Assumptions!R180</f>
        <v>20</v>
      </c>
      <c r="S130" s="76">
        <f>Assumptions!S180</f>
        <v>20</v>
      </c>
      <c r="T130" s="76">
        <f>Assumptions!T180</f>
        <v>20</v>
      </c>
      <c r="U130" s="76">
        <f>Assumptions!U180</f>
        <v>20</v>
      </c>
      <c r="V130" s="76">
        <f>Assumptions!V180</f>
        <v>20</v>
      </c>
      <c r="W130" s="76">
        <f>Assumptions!W180</f>
        <v>20</v>
      </c>
      <c r="X130" s="76">
        <f>Assumptions!X180</f>
        <v>20</v>
      </c>
      <c r="Y130" s="76">
        <f>Assumptions!Y180</f>
        <v>20</v>
      </c>
      <c r="Z130" s="76">
        <f>Assumptions!Z180</f>
        <v>20</v>
      </c>
      <c r="AA130" s="76">
        <f>Assumptions!AA180</f>
        <v>237.09333333333333</v>
      </c>
      <c r="AB130" s="76">
        <f>Assumptions!AB180</f>
        <v>20</v>
      </c>
      <c r="AC130" s="76">
        <f>Assumptions!AC180</f>
        <v>20</v>
      </c>
      <c r="AD130" s="76">
        <f>Assumptions!AD180</f>
        <v>21.053333333333335</v>
      </c>
      <c r="AE130" s="76">
        <f>Assumptions!AE180</f>
        <v>22.106666666666666</v>
      </c>
      <c r="AF130" s="76">
        <f>Assumptions!AF180</f>
        <v>23.16</v>
      </c>
      <c r="AG130" s="76">
        <f>Assumptions!AG180</f>
        <v>24.213333333333335</v>
      </c>
      <c r="AH130" s="76">
        <f>Assumptions!AH180</f>
        <v>25.266666666666666</v>
      </c>
      <c r="AI130" s="76">
        <f>Assumptions!AI180</f>
        <v>26.32</v>
      </c>
      <c r="AJ130" s="76">
        <f>Assumptions!AJ180</f>
        <v>27.373333333333335</v>
      </c>
      <c r="AK130" s="76">
        <f>Assumptions!AK180</f>
        <v>28.426666666666666</v>
      </c>
      <c r="AL130" s="76">
        <f>Assumptions!AL180</f>
        <v>29.466666666666665</v>
      </c>
      <c r="AM130" s="76">
        <f>Assumptions!AM180</f>
        <v>30.52</v>
      </c>
      <c r="AN130" s="76">
        <f>Assumptions!AN180</f>
        <v>297.90666666666669</v>
      </c>
      <c r="AO130" s="76">
        <f>Assumptions!AO180</f>
        <v>31.573333333333334</v>
      </c>
      <c r="AP130" s="76">
        <f>Assumptions!AP180</f>
        <v>32.626666666666665</v>
      </c>
      <c r="AQ130" s="76">
        <f>Assumptions!AQ180</f>
        <v>33.68</v>
      </c>
      <c r="AR130" s="76">
        <f>Assumptions!AR180</f>
        <v>34.72</v>
      </c>
      <c r="AS130" s="76">
        <f>Assumptions!AS180</f>
        <v>35.773333333333333</v>
      </c>
      <c r="AT130" s="76">
        <f>Assumptions!AT180</f>
        <v>36.826666666666668</v>
      </c>
      <c r="AU130" s="76">
        <f>Assumptions!AU180</f>
        <v>37.880000000000003</v>
      </c>
      <c r="AV130" s="76">
        <f>Assumptions!AV180</f>
        <v>39.999999441861334</v>
      </c>
      <c r="AW130" s="76">
        <f>Assumptions!AW180</f>
        <v>39.999999441861334</v>
      </c>
      <c r="AX130" s="76">
        <f>Assumptions!AX180</f>
        <v>39.999999441861334</v>
      </c>
      <c r="AY130" s="76">
        <f>Assumptions!AY180</f>
        <v>39.999999441861334</v>
      </c>
      <c r="AZ130" s="76">
        <f>Assumptions!AZ180</f>
        <v>39.999999441861334</v>
      </c>
      <c r="BA130" s="76">
        <f>Assumptions!BA180</f>
        <v>443.07999720930667</v>
      </c>
      <c r="BB130" s="76">
        <f>Assumptions!BB180</f>
        <v>36.923333100775558</v>
      </c>
      <c r="BC130" s="76">
        <f>Assumptions!BC180</f>
        <v>36.923333100775558</v>
      </c>
      <c r="BD130" s="76">
        <f>Assumptions!BD180</f>
        <v>36.923333100775558</v>
      </c>
      <c r="BE130" s="76">
        <f>Assumptions!BE180</f>
        <v>36.923333100775558</v>
      </c>
      <c r="BF130" s="76">
        <f>Assumptions!BF180</f>
        <v>36.923333100775558</v>
      </c>
      <c r="BG130" s="76">
        <f>Assumptions!BG180</f>
        <v>36.923333100775558</v>
      </c>
      <c r="BH130" s="76">
        <f>Assumptions!BH180</f>
        <v>36.923333100775558</v>
      </c>
      <c r="BI130" s="76">
        <f>Assumptions!BI180</f>
        <v>36.923333100775558</v>
      </c>
      <c r="BJ130" s="76">
        <f>Assumptions!BJ180</f>
        <v>36.923333100775558</v>
      </c>
      <c r="BK130" s="76">
        <f>Assumptions!BK180</f>
        <v>36.923333100775558</v>
      </c>
      <c r="BL130" s="76">
        <f>Assumptions!BL180</f>
        <v>36.923333100775558</v>
      </c>
      <c r="BM130" s="76">
        <f>Assumptions!BM180</f>
        <v>36.923333100775558</v>
      </c>
      <c r="BN130" s="76">
        <f>Assumptions!BN180</f>
        <v>443.07999720930667</v>
      </c>
    </row>
    <row r="131" spans="2:66" hidden="1" x14ac:dyDescent="0.2">
      <c r="B131" s="76" t="s">
        <v>42</v>
      </c>
      <c r="C131" s="76" t="s">
        <v>49</v>
      </c>
      <c r="J131" s="76">
        <f>Assumptions!J182</f>
        <v>0</v>
      </c>
      <c r="K131" s="76">
        <f>Assumptions!K182</f>
        <v>0</v>
      </c>
      <c r="L131" s="76">
        <f>Assumptions!L182</f>
        <v>0</v>
      </c>
      <c r="M131" s="76">
        <f>Assumptions!M182</f>
        <v>0</v>
      </c>
      <c r="N131" s="76">
        <f>Assumptions!N182</f>
        <v>0</v>
      </c>
      <c r="O131" s="76">
        <f>Assumptions!O182</f>
        <v>0</v>
      </c>
      <c r="P131" s="76">
        <f>Assumptions!P182</f>
        <v>0</v>
      </c>
      <c r="Q131" s="76">
        <f>Assumptions!Q182</f>
        <v>0</v>
      </c>
      <c r="R131" s="76">
        <f>Assumptions!R182</f>
        <v>0</v>
      </c>
      <c r="S131" s="76">
        <f>Assumptions!S182</f>
        <v>0</v>
      </c>
      <c r="T131" s="76">
        <f>Assumptions!T182</f>
        <v>0</v>
      </c>
      <c r="U131" s="76">
        <f>Assumptions!U182</f>
        <v>0</v>
      </c>
      <c r="V131" s="76">
        <f>Assumptions!V182</f>
        <v>0</v>
      </c>
      <c r="W131" s="76">
        <f>Assumptions!W182</f>
        <v>0</v>
      </c>
      <c r="X131" s="76">
        <f>Assumptions!X182</f>
        <v>0</v>
      </c>
      <c r="Y131" s="76">
        <f>Assumptions!Y182</f>
        <v>0</v>
      </c>
      <c r="Z131" s="76">
        <f>Assumptions!Z182</f>
        <v>0</v>
      </c>
      <c r="AA131" s="76">
        <f>Assumptions!AA182</f>
        <v>0</v>
      </c>
      <c r="AB131" s="76">
        <f>Assumptions!AB182</f>
        <v>0</v>
      </c>
      <c r="AC131" s="76">
        <f>Assumptions!AC182</f>
        <v>0</v>
      </c>
      <c r="AD131" s="76">
        <f>Assumptions!AD182</f>
        <v>0</v>
      </c>
      <c r="AE131" s="76">
        <f>Assumptions!AE182</f>
        <v>0</v>
      </c>
      <c r="AF131" s="76">
        <f>Assumptions!AF182</f>
        <v>0</v>
      </c>
      <c r="AG131" s="76">
        <f>Assumptions!AG182</f>
        <v>0</v>
      </c>
      <c r="AH131" s="76">
        <f>Assumptions!AH182</f>
        <v>0</v>
      </c>
      <c r="AI131" s="76">
        <f>Assumptions!AI182</f>
        <v>0</v>
      </c>
      <c r="AJ131" s="76">
        <f>Assumptions!AJ182</f>
        <v>0</v>
      </c>
      <c r="AK131" s="76">
        <f>Assumptions!AK182</f>
        <v>0</v>
      </c>
      <c r="AL131" s="76">
        <f>Assumptions!AL182</f>
        <v>0</v>
      </c>
      <c r="AM131" s="76">
        <f>Assumptions!AM182</f>
        <v>0</v>
      </c>
      <c r="AN131" s="76">
        <f>Assumptions!AN182</f>
        <v>0</v>
      </c>
      <c r="AO131" s="76">
        <f>Assumptions!AO182</f>
        <v>0</v>
      </c>
      <c r="AP131" s="76">
        <f>Assumptions!AP182</f>
        <v>0</v>
      </c>
      <c r="AQ131" s="76">
        <f>Assumptions!AQ182</f>
        <v>0</v>
      </c>
      <c r="AR131" s="76">
        <f>Assumptions!AR182</f>
        <v>0</v>
      </c>
      <c r="AS131" s="76">
        <f>Assumptions!AS182</f>
        <v>0</v>
      </c>
      <c r="AT131" s="76">
        <f>Assumptions!AT182</f>
        <v>0</v>
      </c>
      <c r="AU131" s="76">
        <f>Assumptions!AU182</f>
        <v>0</v>
      </c>
      <c r="AV131" s="76">
        <f>Assumptions!AV182</f>
        <v>0</v>
      </c>
      <c r="AW131" s="76">
        <f>Assumptions!AW182</f>
        <v>0</v>
      </c>
      <c r="AX131" s="76">
        <f>Assumptions!AX182</f>
        <v>0</v>
      </c>
      <c r="AY131" s="76">
        <f>Assumptions!AY182</f>
        <v>0</v>
      </c>
      <c r="AZ131" s="76">
        <f>Assumptions!AZ182</f>
        <v>0</v>
      </c>
      <c r="BA131" s="76">
        <f>Assumptions!BA182</f>
        <v>0</v>
      </c>
      <c r="BB131" s="76">
        <f>Assumptions!BB182</f>
        <v>0</v>
      </c>
      <c r="BC131" s="76">
        <f>Assumptions!BC182</f>
        <v>0</v>
      </c>
      <c r="BD131" s="76">
        <f>Assumptions!BD182</f>
        <v>0</v>
      </c>
      <c r="BE131" s="76">
        <f>Assumptions!BE182</f>
        <v>0</v>
      </c>
      <c r="BF131" s="76">
        <f>Assumptions!BF182</f>
        <v>0</v>
      </c>
      <c r="BG131" s="76">
        <f>Assumptions!BG182</f>
        <v>0</v>
      </c>
      <c r="BH131" s="76">
        <f>Assumptions!BH182</f>
        <v>0</v>
      </c>
      <c r="BI131" s="76">
        <f>Assumptions!BI182</f>
        <v>0</v>
      </c>
      <c r="BJ131" s="76">
        <f>Assumptions!BJ182</f>
        <v>0</v>
      </c>
      <c r="BK131" s="76">
        <f>Assumptions!BK182</f>
        <v>0</v>
      </c>
      <c r="BL131" s="76">
        <f>Assumptions!BL182</f>
        <v>0</v>
      </c>
      <c r="BM131" s="76">
        <f>Assumptions!BM182</f>
        <v>0</v>
      </c>
      <c r="BN131" s="76">
        <f>Assumptions!BN182</f>
        <v>0</v>
      </c>
    </row>
    <row r="132" spans="2:66" hidden="1" x14ac:dyDescent="0.2">
      <c r="B132" s="76" t="s">
        <v>43</v>
      </c>
      <c r="C132" s="76" t="s">
        <v>35</v>
      </c>
      <c r="J132" s="76">
        <f t="shared" ref="J132:BN132" si="47">J123</f>
        <v>30</v>
      </c>
      <c r="K132" s="76">
        <f t="shared" si="47"/>
        <v>31</v>
      </c>
      <c r="L132" s="76">
        <f t="shared" si="47"/>
        <v>30</v>
      </c>
      <c r="M132" s="76">
        <f t="shared" si="47"/>
        <v>31</v>
      </c>
      <c r="N132" s="76">
        <f t="shared" si="47"/>
        <v>30.571428571428573</v>
      </c>
      <c r="O132" s="76">
        <f t="shared" si="47"/>
        <v>31</v>
      </c>
      <c r="P132" s="76">
        <f t="shared" si="47"/>
        <v>28</v>
      </c>
      <c r="Q132" s="76">
        <f t="shared" si="47"/>
        <v>31</v>
      </c>
      <c r="R132" s="76">
        <f t="shared" si="47"/>
        <v>30</v>
      </c>
      <c r="S132" s="76">
        <f t="shared" si="47"/>
        <v>31</v>
      </c>
      <c r="T132" s="76">
        <f t="shared" si="47"/>
        <v>30</v>
      </c>
      <c r="U132" s="76">
        <f t="shared" si="47"/>
        <v>31</v>
      </c>
      <c r="V132" s="76">
        <f t="shared" si="47"/>
        <v>31</v>
      </c>
      <c r="W132" s="76">
        <f t="shared" si="47"/>
        <v>30</v>
      </c>
      <c r="X132" s="76">
        <f t="shared" si="47"/>
        <v>31</v>
      </c>
      <c r="Y132" s="76">
        <f t="shared" si="47"/>
        <v>30</v>
      </c>
      <c r="Z132" s="76">
        <f t="shared" si="47"/>
        <v>31</v>
      </c>
      <c r="AA132" s="76">
        <f t="shared" si="47"/>
        <v>30.416666666666668</v>
      </c>
      <c r="AB132" s="76">
        <f t="shared" si="47"/>
        <v>31</v>
      </c>
      <c r="AC132" s="76">
        <f t="shared" si="47"/>
        <v>28</v>
      </c>
      <c r="AD132" s="76">
        <f t="shared" si="47"/>
        <v>31</v>
      </c>
      <c r="AE132" s="76">
        <f t="shared" si="47"/>
        <v>30</v>
      </c>
      <c r="AF132" s="76">
        <f t="shared" si="47"/>
        <v>31</v>
      </c>
      <c r="AG132" s="76">
        <f t="shared" si="47"/>
        <v>30</v>
      </c>
      <c r="AH132" s="76">
        <f t="shared" si="47"/>
        <v>31</v>
      </c>
      <c r="AI132" s="76">
        <f t="shared" si="47"/>
        <v>31</v>
      </c>
      <c r="AJ132" s="76">
        <f t="shared" si="47"/>
        <v>30</v>
      </c>
      <c r="AK132" s="76">
        <f t="shared" si="47"/>
        <v>31</v>
      </c>
      <c r="AL132" s="76">
        <f t="shared" si="47"/>
        <v>30</v>
      </c>
      <c r="AM132" s="76">
        <f t="shared" si="47"/>
        <v>31</v>
      </c>
      <c r="AN132" s="76">
        <f t="shared" si="47"/>
        <v>30.416666666666668</v>
      </c>
      <c r="AO132" s="76">
        <f t="shared" si="47"/>
        <v>31</v>
      </c>
      <c r="AP132" s="76">
        <f t="shared" si="47"/>
        <v>29</v>
      </c>
      <c r="AQ132" s="76">
        <f t="shared" si="47"/>
        <v>31</v>
      </c>
      <c r="AR132" s="76">
        <f t="shared" si="47"/>
        <v>30</v>
      </c>
      <c r="AS132" s="76">
        <f t="shared" si="47"/>
        <v>31</v>
      </c>
      <c r="AT132" s="76">
        <f t="shared" si="47"/>
        <v>30</v>
      </c>
      <c r="AU132" s="76">
        <f t="shared" si="47"/>
        <v>31</v>
      </c>
      <c r="AV132" s="76">
        <f t="shared" si="47"/>
        <v>31</v>
      </c>
      <c r="AW132" s="76">
        <f t="shared" si="47"/>
        <v>30</v>
      </c>
      <c r="AX132" s="76">
        <f t="shared" si="47"/>
        <v>31</v>
      </c>
      <c r="AY132" s="76">
        <f t="shared" si="47"/>
        <v>30</v>
      </c>
      <c r="AZ132" s="76">
        <f t="shared" si="47"/>
        <v>31</v>
      </c>
      <c r="BA132" s="76">
        <f t="shared" si="47"/>
        <v>30.5</v>
      </c>
      <c r="BB132" s="76">
        <f t="shared" si="47"/>
        <v>31</v>
      </c>
      <c r="BC132" s="76">
        <f t="shared" si="47"/>
        <v>28</v>
      </c>
      <c r="BD132" s="76">
        <f t="shared" si="47"/>
        <v>31</v>
      </c>
      <c r="BE132" s="76">
        <f t="shared" si="47"/>
        <v>30</v>
      </c>
      <c r="BF132" s="76">
        <f t="shared" si="47"/>
        <v>31</v>
      </c>
      <c r="BG132" s="76">
        <f t="shared" si="47"/>
        <v>30</v>
      </c>
      <c r="BH132" s="76">
        <f t="shared" si="47"/>
        <v>31</v>
      </c>
      <c r="BI132" s="76">
        <f t="shared" si="47"/>
        <v>31</v>
      </c>
      <c r="BJ132" s="76">
        <f t="shared" si="47"/>
        <v>30</v>
      </c>
      <c r="BK132" s="76">
        <f t="shared" si="47"/>
        <v>31</v>
      </c>
      <c r="BL132" s="76">
        <f t="shared" si="47"/>
        <v>30</v>
      </c>
      <c r="BM132" s="76">
        <f t="shared" si="47"/>
        <v>31</v>
      </c>
      <c r="BN132" s="76">
        <f t="shared" si="47"/>
        <v>30.416666666666668</v>
      </c>
    </row>
    <row r="133" spans="2:66" x14ac:dyDescent="0.2">
      <c r="B133" s="78" t="s">
        <v>165</v>
      </c>
      <c r="C133" s="334" t="s">
        <v>78</v>
      </c>
      <c r="D133" s="78"/>
      <c r="E133" s="78"/>
      <c r="F133" s="78"/>
      <c r="G133" s="78"/>
      <c r="H133" s="78"/>
      <c r="I133" s="78"/>
      <c r="J133" s="78">
        <f>J130*J129</f>
        <v>334.28933333333333</v>
      </c>
      <c r="K133" s="78">
        <f t="shared" ref="K133:BA133" si="48">K130*K129</f>
        <v>512.46799999999996</v>
      </c>
      <c r="L133" s="78">
        <f t="shared" si="48"/>
        <v>690.64666666666665</v>
      </c>
      <c r="M133" s="78">
        <f t="shared" si="48"/>
        <v>868.82533333333333</v>
      </c>
      <c r="N133" s="78">
        <f t="shared" si="48"/>
        <v>2406.2293333333332</v>
      </c>
      <c r="O133" s="78">
        <f t="shared" si="48"/>
        <v>1047.8213333333333</v>
      </c>
      <c r="P133" s="78">
        <f t="shared" si="48"/>
        <v>1226</v>
      </c>
      <c r="Q133" s="78">
        <f t="shared" si="48"/>
        <v>1226</v>
      </c>
      <c r="R133" s="78">
        <f t="shared" si="48"/>
        <v>1226</v>
      </c>
      <c r="S133" s="78">
        <f t="shared" si="48"/>
        <v>1226</v>
      </c>
      <c r="T133" s="78">
        <f t="shared" si="48"/>
        <v>1226</v>
      </c>
      <c r="U133" s="78">
        <f t="shared" si="48"/>
        <v>1226</v>
      </c>
      <c r="V133" s="78">
        <f t="shared" si="48"/>
        <v>1226</v>
      </c>
      <c r="W133" s="78">
        <f t="shared" si="48"/>
        <v>1226</v>
      </c>
      <c r="X133" s="78">
        <f t="shared" si="48"/>
        <v>1226</v>
      </c>
      <c r="Y133" s="78">
        <f t="shared" si="48"/>
        <v>1226</v>
      </c>
      <c r="Z133" s="78">
        <f t="shared" si="48"/>
        <v>1226</v>
      </c>
      <c r="AA133" s="78">
        <f t="shared" si="48"/>
        <v>14533.821333333333</v>
      </c>
      <c r="AB133" s="78">
        <f t="shared" si="48"/>
        <v>1226</v>
      </c>
      <c r="AC133" s="78">
        <f t="shared" si="48"/>
        <v>1226</v>
      </c>
      <c r="AD133" s="78">
        <f t="shared" si="48"/>
        <v>1290.5693333333334</v>
      </c>
      <c r="AE133" s="78">
        <f t="shared" si="48"/>
        <v>1355.1386666666665</v>
      </c>
      <c r="AF133" s="78">
        <f t="shared" si="48"/>
        <v>1419.7079999999999</v>
      </c>
      <c r="AG133" s="78">
        <f t="shared" si="48"/>
        <v>1484.2773333333334</v>
      </c>
      <c r="AH133" s="78">
        <f t="shared" si="48"/>
        <v>1548.8466666666666</v>
      </c>
      <c r="AI133" s="78">
        <f t="shared" si="48"/>
        <v>1613.4159999999999</v>
      </c>
      <c r="AJ133" s="78">
        <f t="shared" si="48"/>
        <v>1677.9853333333333</v>
      </c>
      <c r="AK133" s="78">
        <f t="shared" si="48"/>
        <v>1742.5546666666664</v>
      </c>
      <c r="AL133" s="78">
        <f t="shared" si="48"/>
        <v>1806.3066666666664</v>
      </c>
      <c r="AM133" s="78">
        <f t="shared" si="48"/>
        <v>1870.876</v>
      </c>
      <c r="AN133" s="78">
        <f t="shared" si="48"/>
        <v>18261.678666666667</v>
      </c>
      <c r="AO133" s="78">
        <f t="shared" si="48"/>
        <v>1935.4453333333333</v>
      </c>
      <c r="AP133" s="78">
        <f t="shared" si="48"/>
        <v>2000.0146666666665</v>
      </c>
      <c r="AQ133" s="78">
        <f t="shared" si="48"/>
        <v>2064.5839999999998</v>
      </c>
      <c r="AR133" s="78">
        <f t="shared" si="48"/>
        <v>2128.3359999999998</v>
      </c>
      <c r="AS133" s="78">
        <f t="shared" si="48"/>
        <v>2192.9053333333331</v>
      </c>
      <c r="AT133" s="78">
        <f t="shared" si="48"/>
        <v>2257.4746666666665</v>
      </c>
      <c r="AU133" s="78">
        <f t="shared" si="48"/>
        <v>2322.0439999999999</v>
      </c>
      <c r="AV133" s="78">
        <f t="shared" si="48"/>
        <v>2451.9999657860994</v>
      </c>
      <c r="AW133" s="78">
        <f t="shared" si="48"/>
        <v>2451.9999657860994</v>
      </c>
      <c r="AX133" s="78">
        <f t="shared" si="48"/>
        <v>2451.9999657860994</v>
      </c>
      <c r="AY133" s="78">
        <f t="shared" si="48"/>
        <v>2451.9999657860994</v>
      </c>
      <c r="AZ133" s="78">
        <f t="shared" si="48"/>
        <v>2451.9999657860994</v>
      </c>
      <c r="BA133" s="78">
        <f t="shared" si="48"/>
        <v>27160.803828930497</v>
      </c>
      <c r="BB133" s="78">
        <f>IF(SUM($G$132:BB132)&lt;=BB131,0,BB130*BB129)</f>
        <v>2308.6683254590926</v>
      </c>
      <c r="BC133" s="78">
        <f>IF(SUM($G$132:BC132)&lt;=BC131,0,BC130*BC129)</f>
        <v>2308.6683254590926</v>
      </c>
      <c r="BD133" s="78">
        <f>IF(SUM($G$132:BD132)&lt;=BD131,0,BD130*BD129)</f>
        <v>2308.6683254590926</v>
      </c>
      <c r="BE133" s="78">
        <f>IF(SUM($G$132:BE132)&lt;=BE131,0,BE130*BE129)</f>
        <v>2308.6683254590926</v>
      </c>
      <c r="BF133" s="78">
        <f>IF(SUM($G$132:BF132)&lt;=BF131,0,BF130*BF129)</f>
        <v>2308.6683254590926</v>
      </c>
      <c r="BG133" s="78">
        <f>IF(SUM($G$132:BG132)&lt;=BG131,0,BG130*BG129)</f>
        <v>2308.6683254590926</v>
      </c>
      <c r="BH133" s="78">
        <f>IF(SUM($G$132:BH132)&lt;=BH131,0,BH130*BH129)</f>
        <v>2308.6683254590926</v>
      </c>
      <c r="BI133" s="78">
        <f>IF(SUM($G$132:BI132)&lt;=BI131,0,BI130*BI129)</f>
        <v>2308.6683254590926</v>
      </c>
      <c r="BJ133" s="78">
        <f>IF(SUM($G$132:BJ132)&lt;=BJ131,0,BJ130*BJ129)</f>
        <v>2308.6683254590926</v>
      </c>
      <c r="BK133" s="78">
        <f>IF(SUM($G$132:BK132)&lt;=BK131,0,BK130*BK129)</f>
        <v>2308.6683254590926</v>
      </c>
      <c r="BL133" s="78">
        <f>IF(SUM($G$132:BL132)&lt;=BL131,0,BL130*BL129)</f>
        <v>2308.6683254590926</v>
      </c>
      <c r="BM133" s="78">
        <f>IF(SUM($G$132:BM132)&lt;=BM131,0,BM130*BM129)</f>
        <v>2308.6683254590926</v>
      </c>
      <c r="BN133" s="78">
        <f>SUM(BB133:BM133)</f>
        <v>27704.019905509118</v>
      </c>
    </row>
    <row r="134" spans="2:66" ht="6" customHeight="1" x14ac:dyDescent="0.2">
      <c r="B134" s="80"/>
      <c r="C134" s="336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</row>
    <row r="135" spans="2:66" x14ac:dyDescent="0.2">
      <c r="B135" s="78" t="s">
        <v>164</v>
      </c>
      <c r="C135" s="334" t="s">
        <v>78</v>
      </c>
      <c r="D135" s="78"/>
      <c r="E135" s="78"/>
      <c r="F135" s="78"/>
      <c r="G135" s="78"/>
      <c r="H135" s="78"/>
      <c r="I135" s="78"/>
      <c r="J135" s="78">
        <f>J133*(1+Assumptions!J183)</f>
        <v>335.96077999999994</v>
      </c>
      <c r="K135" s="78">
        <f>K133*(1+Assumptions!K183)</f>
        <v>515.03033999999991</v>
      </c>
      <c r="L135" s="78">
        <f>L133*(1+Assumptions!L183)</f>
        <v>694.09989999999993</v>
      </c>
      <c r="M135" s="78">
        <f>M133*(1+Assumptions!M183)</f>
        <v>873.16945999999996</v>
      </c>
      <c r="N135" s="78">
        <f>N133*(1+Assumptions!N183)</f>
        <v>2418.2604799999995</v>
      </c>
      <c r="O135" s="78">
        <f>O133*(1+Assumptions!O183)</f>
        <v>1053.06044</v>
      </c>
      <c r="P135" s="78">
        <f>P133*(1+Assumptions!P183)</f>
        <v>1232.1299999999999</v>
      </c>
      <c r="Q135" s="78">
        <f>Q133*(1+Assumptions!Q183)</f>
        <v>1232.1299999999999</v>
      </c>
      <c r="R135" s="78">
        <f>R133*(1+Assumptions!R183)</f>
        <v>1232.1299999999999</v>
      </c>
      <c r="S135" s="78">
        <f>S133*(1+Assumptions!S183)</f>
        <v>1232.1299999999999</v>
      </c>
      <c r="T135" s="78">
        <f>T133*(1+Assumptions!T183)</f>
        <v>1232.1299999999999</v>
      </c>
      <c r="U135" s="78">
        <f>U133*(1+Assumptions!U183)</f>
        <v>1232.1299999999999</v>
      </c>
      <c r="V135" s="78">
        <f>V133*(1+Assumptions!V183)</f>
        <v>1232.1299999999999</v>
      </c>
      <c r="W135" s="78">
        <f>W133*(1+Assumptions!W183)</f>
        <v>1232.1299999999999</v>
      </c>
      <c r="X135" s="78">
        <f>X133*(1+Assumptions!X183)</f>
        <v>1232.1299999999999</v>
      </c>
      <c r="Y135" s="78">
        <f>Y133*(1+Assumptions!Y183)</f>
        <v>1232.1299999999999</v>
      </c>
      <c r="Z135" s="78">
        <f>Z133*(1+Assumptions!Z183)</f>
        <v>1232.1299999999999</v>
      </c>
      <c r="AA135" s="78">
        <f>AA133*(1+Assumptions!AA183)</f>
        <v>14606.490439999998</v>
      </c>
      <c r="AB135" s="78">
        <f>AB133*(1+Assumptions!AB183)</f>
        <v>1232.1299999999999</v>
      </c>
      <c r="AC135" s="78">
        <f>AC133*(1+Assumptions!AC183)</f>
        <v>1232.1299999999999</v>
      </c>
      <c r="AD135" s="78">
        <f>AD133*(1+Assumptions!AD183)</f>
        <v>1297.0221799999999</v>
      </c>
      <c r="AE135" s="78">
        <f>AE133*(1+Assumptions!AE183)</f>
        <v>1361.9143599999998</v>
      </c>
      <c r="AF135" s="78">
        <f>AF133*(1+Assumptions!AF183)</f>
        <v>1426.8065399999998</v>
      </c>
      <c r="AG135" s="78">
        <f>AG133*(1+Assumptions!AG183)</f>
        <v>1491.6987199999999</v>
      </c>
      <c r="AH135" s="78">
        <f>AH133*(1+Assumptions!AH183)</f>
        <v>1556.5908999999997</v>
      </c>
      <c r="AI135" s="78">
        <f>AI133*(1+Assumptions!AI183)</f>
        <v>1621.4830799999997</v>
      </c>
      <c r="AJ135" s="78">
        <f>AJ133*(1+Assumptions!AJ183)</f>
        <v>1686.3752599999998</v>
      </c>
      <c r="AK135" s="78">
        <f>AK133*(1+Assumptions!AK183)</f>
        <v>1751.2674399999996</v>
      </c>
      <c r="AL135" s="78">
        <f>AL133*(1+Assumptions!AL183)</f>
        <v>1815.3381999999995</v>
      </c>
      <c r="AM135" s="78">
        <f>AM133*(1+Assumptions!AM183)</f>
        <v>1880.2303799999997</v>
      </c>
      <c r="AN135" s="78">
        <f>AN133*(1+Assumptions!AN183)</f>
        <v>18352.987059999999</v>
      </c>
      <c r="AO135" s="78">
        <f>AO133*(1+Assumptions!AO183)</f>
        <v>1945.1225599999998</v>
      </c>
      <c r="AP135" s="78">
        <f>AP133*(1+Assumptions!AP183)</f>
        <v>2010.0147399999996</v>
      </c>
      <c r="AQ135" s="78">
        <f>AQ133*(1+Assumptions!AQ183)</f>
        <v>2074.9069199999994</v>
      </c>
      <c r="AR135" s="78">
        <f>AR133*(1+Assumptions!AR183)</f>
        <v>2138.9776799999995</v>
      </c>
      <c r="AS135" s="78">
        <f>AS133*(1+Assumptions!AS183)</f>
        <v>2203.8698599999998</v>
      </c>
      <c r="AT135" s="78">
        <f>AT133*(1+Assumptions!AT183)</f>
        <v>2268.7620399999996</v>
      </c>
      <c r="AU135" s="78">
        <f>AU133*(1+Assumptions!AU183)</f>
        <v>2333.6542199999994</v>
      </c>
      <c r="AV135" s="78">
        <f>AV133*(1+Assumptions!AV183)</f>
        <v>2464.2599656150296</v>
      </c>
      <c r="AW135" s="78">
        <f>AW133*(1+Assumptions!AW183)</f>
        <v>2464.2599656150296</v>
      </c>
      <c r="AX135" s="78">
        <f>AX133*(1+Assumptions!AX183)</f>
        <v>2464.2599656150296</v>
      </c>
      <c r="AY135" s="78">
        <f>AY133*(1+Assumptions!AY183)</f>
        <v>2464.2599656150296</v>
      </c>
      <c r="AZ135" s="78">
        <f>AZ133*(1+Assumptions!AZ183)</f>
        <v>2464.2599656150296</v>
      </c>
      <c r="BA135" s="78">
        <f>BA133*(1+Assumptions!BA183)</f>
        <v>27296.607848075146</v>
      </c>
      <c r="BB135" s="78">
        <f>BB133*(1+Assumptions!BB183)</f>
        <v>2320.2116670863879</v>
      </c>
      <c r="BC135" s="78">
        <f>BC133*(1+Assumptions!BC183)</f>
        <v>2320.2116670863879</v>
      </c>
      <c r="BD135" s="78">
        <f>BD133*(1+Assumptions!BD183)</f>
        <v>2320.2116670863879</v>
      </c>
      <c r="BE135" s="78">
        <f>BE133*(1+Assumptions!BE183)</f>
        <v>2320.2116670863879</v>
      </c>
      <c r="BF135" s="78">
        <f>BF133*(1+Assumptions!BF183)</f>
        <v>2320.2116670863879</v>
      </c>
      <c r="BG135" s="78">
        <f>BG133*(1+Assumptions!BG183)</f>
        <v>2320.2116670863879</v>
      </c>
      <c r="BH135" s="78">
        <f>BH133*(1+Assumptions!BH183)</f>
        <v>2320.2116670863879</v>
      </c>
      <c r="BI135" s="78">
        <f>BI133*(1+Assumptions!BI183)</f>
        <v>2320.2116670863879</v>
      </c>
      <c r="BJ135" s="78">
        <f>BJ133*(1+Assumptions!BJ183)</f>
        <v>2320.2116670863879</v>
      </c>
      <c r="BK135" s="78">
        <f>BK133*(1+Assumptions!BK183)</f>
        <v>2320.2116670863879</v>
      </c>
      <c r="BL135" s="78">
        <f>BL133*(1+Assumptions!BL183)</f>
        <v>2320.2116670863879</v>
      </c>
      <c r="BM135" s="78">
        <f>BM133*(1+Assumptions!BM183)</f>
        <v>2320.2116670863879</v>
      </c>
      <c r="BN135" s="78">
        <f>BN133*(1+Assumptions!BN183)</f>
        <v>27842.540005036659</v>
      </c>
    </row>
    <row r="136" spans="2:66" x14ac:dyDescent="0.2">
      <c r="B136" s="80"/>
      <c r="C136" s="336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</row>
    <row r="137" spans="2:66" x14ac:dyDescent="0.2">
      <c r="B137" s="80" t="s">
        <v>76</v>
      </c>
    </row>
    <row r="138" spans="2:66" x14ac:dyDescent="0.2">
      <c r="B138" s="76" t="s">
        <v>31</v>
      </c>
      <c r="C138" s="76" t="s">
        <v>32</v>
      </c>
      <c r="J138" s="76">
        <f>Assumptions!J186</f>
        <v>61.3</v>
      </c>
      <c r="K138" s="76">
        <f>Assumptions!K186</f>
        <v>61.3</v>
      </c>
      <c r="L138" s="76">
        <f>Assumptions!L186</f>
        <v>61.3</v>
      </c>
      <c r="M138" s="76">
        <f>Assumptions!M186</f>
        <v>61.3</v>
      </c>
      <c r="N138" s="76">
        <f>Assumptions!N186</f>
        <v>61.3</v>
      </c>
      <c r="O138" s="76">
        <f>Assumptions!O186</f>
        <v>61.3</v>
      </c>
      <c r="P138" s="76">
        <f>Assumptions!P186</f>
        <v>61.3</v>
      </c>
      <c r="Q138" s="76">
        <f>Assumptions!Q186</f>
        <v>61.3</v>
      </c>
      <c r="R138" s="76">
        <f>Assumptions!R186</f>
        <v>61.3</v>
      </c>
      <c r="S138" s="76">
        <f>Assumptions!S186</f>
        <v>61.3</v>
      </c>
      <c r="T138" s="76">
        <f>Assumptions!T186</f>
        <v>61.3</v>
      </c>
      <c r="U138" s="76">
        <f>Assumptions!U186</f>
        <v>61.3</v>
      </c>
      <c r="V138" s="76">
        <f>Assumptions!V186</f>
        <v>61.3</v>
      </c>
      <c r="W138" s="76">
        <f>Assumptions!W186</f>
        <v>61.3</v>
      </c>
      <c r="X138" s="76">
        <f>Assumptions!X186</f>
        <v>61.3</v>
      </c>
      <c r="Y138" s="76">
        <f>Assumptions!Y186</f>
        <v>61.3</v>
      </c>
      <c r="Z138" s="76">
        <f>Assumptions!Z186</f>
        <v>61.3</v>
      </c>
      <c r="AA138" s="76">
        <f>Assumptions!AA186</f>
        <v>61.3</v>
      </c>
      <c r="AB138" s="76">
        <f>Assumptions!AB186</f>
        <v>61.3</v>
      </c>
      <c r="AC138" s="76">
        <f>Assumptions!AC186</f>
        <v>61.3</v>
      </c>
      <c r="AD138" s="76">
        <f>Assumptions!AD186</f>
        <v>61.3</v>
      </c>
      <c r="AE138" s="76">
        <f>Assumptions!AE186</f>
        <v>61.3</v>
      </c>
      <c r="AF138" s="76">
        <f>Assumptions!AF186</f>
        <v>61.3</v>
      </c>
      <c r="AG138" s="76">
        <f>Assumptions!AG186</f>
        <v>61.3</v>
      </c>
      <c r="AH138" s="76">
        <f>Assumptions!AH186</f>
        <v>61.3</v>
      </c>
      <c r="AI138" s="76">
        <f>Assumptions!AI186</f>
        <v>61.3</v>
      </c>
      <c r="AJ138" s="76">
        <f>Assumptions!AJ186</f>
        <v>61.3</v>
      </c>
      <c r="AK138" s="76">
        <f>Assumptions!AK186</f>
        <v>61.3</v>
      </c>
      <c r="AL138" s="76">
        <f>Assumptions!AL186</f>
        <v>61.3</v>
      </c>
      <c r="AM138" s="76">
        <f>Assumptions!AM186</f>
        <v>61.3</v>
      </c>
      <c r="AN138" s="76">
        <f>Assumptions!AN186</f>
        <v>61.3</v>
      </c>
      <c r="AO138" s="76">
        <f>Assumptions!AO186</f>
        <v>61.3</v>
      </c>
      <c r="AP138" s="76">
        <f>Assumptions!AP186</f>
        <v>61.3</v>
      </c>
      <c r="AQ138" s="76">
        <f>Assumptions!AQ186</f>
        <v>61.3</v>
      </c>
      <c r="AR138" s="76">
        <f>Assumptions!AR186</f>
        <v>61.3</v>
      </c>
      <c r="AS138" s="76">
        <f>Assumptions!AS186</f>
        <v>61.3</v>
      </c>
      <c r="AT138" s="76">
        <f>Assumptions!AT186</f>
        <v>61.3</v>
      </c>
      <c r="AU138" s="76">
        <f>Assumptions!AU186</f>
        <v>61.3</v>
      </c>
      <c r="AV138" s="76">
        <f>Assumptions!AV186</f>
        <v>61.3</v>
      </c>
      <c r="AW138" s="76">
        <f>Assumptions!AW186</f>
        <v>61.3</v>
      </c>
      <c r="AX138" s="76">
        <f>Assumptions!AX186</f>
        <v>61.3</v>
      </c>
      <c r="AY138" s="76">
        <f>Assumptions!AY186</f>
        <v>61.3</v>
      </c>
      <c r="AZ138" s="76">
        <f>Assumptions!AZ186</f>
        <v>61.3</v>
      </c>
      <c r="BA138" s="76">
        <f>Assumptions!BA186</f>
        <v>61.3</v>
      </c>
      <c r="BB138" s="76">
        <f>Assumptions!BB186</f>
        <v>62.525999999999996</v>
      </c>
      <c r="BC138" s="76">
        <f>Assumptions!BC186</f>
        <v>62.525999999999996</v>
      </c>
      <c r="BD138" s="76">
        <f>Assumptions!BD186</f>
        <v>62.525999999999996</v>
      </c>
      <c r="BE138" s="76">
        <f>Assumptions!BE186</f>
        <v>62.525999999999996</v>
      </c>
      <c r="BF138" s="76">
        <f>Assumptions!BF186</f>
        <v>62.525999999999996</v>
      </c>
      <c r="BG138" s="76">
        <f>Assumptions!BG186</f>
        <v>62.525999999999996</v>
      </c>
      <c r="BH138" s="76">
        <f>Assumptions!BH186</f>
        <v>62.525999999999996</v>
      </c>
      <c r="BI138" s="76">
        <f>Assumptions!BI186</f>
        <v>62.525999999999996</v>
      </c>
      <c r="BJ138" s="76">
        <f>Assumptions!BJ186</f>
        <v>62.525999999999996</v>
      </c>
      <c r="BK138" s="76">
        <f>Assumptions!BK186</f>
        <v>62.525999999999996</v>
      </c>
      <c r="BL138" s="76">
        <f>Assumptions!BL186</f>
        <v>62.525999999999996</v>
      </c>
      <c r="BM138" s="76">
        <f>Assumptions!BM186</f>
        <v>62.525999999999996</v>
      </c>
      <c r="BN138" s="76">
        <f>Assumptions!BN186</f>
        <v>62.525999999999996</v>
      </c>
    </row>
    <row r="139" spans="2:66" x14ac:dyDescent="0.2">
      <c r="B139" s="76" t="s">
        <v>23</v>
      </c>
      <c r="C139" s="76" t="s">
        <v>28</v>
      </c>
      <c r="J139" s="76">
        <f>Assumptions!J188</f>
        <v>5.4533333333333331</v>
      </c>
      <c r="K139" s="76">
        <f>Assumptions!K188</f>
        <v>8.36</v>
      </c>
      <c r="L139" s="76">
        <f>Assumptions!L188</f>
        <v>11.266666666666667</v>
      </c>
      <c r="M139" s="76">
        <f>Assumptions!M188</f>
        <v>14.173333333333334</v>
      </c>
      <c r="N139" s="76">
        <f>Assumptions!N188</f>
        <v>39.25333333333333</v>
      </c>
      <c r="O139" s="76">
        <f>Assumptions!O188</f>
        <v>17.093333333333334</v>
      </c>
      <c r="P139" s="76">
        <f>Assumptions!P188</f>
        <v>20</v>
      </c>
      <c r="Q139" s="76">
        <f>Assumptions!Q188</f>
        <v>20</v>
      </c>
      <c r="R139" s="76">
        <f>Assumptions!R188</f>
        <v>20</v>
      </c>
      <c r="S139" s="76">
        <f>Assumptions!S188</f>
        <v>20</v>
      </c>
      <c r="T139" s="76">
        <f>Assumptions!T188</f>
        <v>20</v>
      </c>
      <c r="U139" s="76">
        <f>Assumptions!U188</f>
        <v>20</v>
      </c>
      <c r="V139" s="76">
        <f>Assumptions!V188</f>
        <v>20</v>
      </c>
      <c r="W139" s="76">
        <f>Assumptions!W188</f>
        <v>20</v>
      </c>
      <c r="X139" s="76">
        <f>Assumptions!X188</f>
        <v>20</v>
      </c>
      <c r="Y139" s="76">
        <f>Assumptions!Y188</f>
        <v>20</v>
      </c>
      <c r="Z139" s="76">
        <f>Assumptions!Z188</f>
        <v>20</v>
      </c>
      <c r="AA139" s="76">
        <f>Assumptions!AA188</f>
        <v>237.09333333333333</v>
      </c>
      <c r="AB139" s="76">
        <f>Assumptions!AB188</f>
        <v>20</v>
      </c>
      <c r="AC139" s="76">
        <f>Assumptions!AC188</f>
        <v>20</v>
      </c>
      <c r="AD139" s="76">
        <f>Assumptions!AD188</f>
        <v>21.053333333333335</v>
      </c>
      <c r="AE139" s="76">
        <f>Assumptions!AE188</f>
        <v>22.106666666666666</v>
      </c>
      <c r="AF139" s="76">
        <f>Assumptions!AF188</f>
        <v>23.146666666666668</v>
      </c>
      <c r="AG139" s="76">
        <f>Assumptions!AG188</f>
        <v>24.2</v>
      </c>
      <c r="AH139" s="76">
        <f>Assumptions!AH188</f>
        <v>25.253333333333334</v>
      </c>
      <c r="AI139" s="76">
        <f>Assumptions!AI188</f>
        <v>26.306666666666668</v>
      </c>
      <c r="AJ139" s="76">
        <f>Assumptions!AJ188</f>
        <v>27.36</v>
      </c>
      <c r="AK139" s="76">
        <f>Assumptions!AK188</f>
        <v>28.413333333333334</v>
      </c>
      <c r="AL139" s="76">
        <f>Assumptions!AL188</f>
        <v>29.48</v>
      </c>
      <c r="AM139" s="76">
        <f>Assumptions!AM188</f>
        <v>30.533333333333335</v>
      </c>
      <c r="AN139" s="76">
        <f>Assumptions!AN188</f>
        <v>297.85333333333335</v>
      </c>
      <c r="AO139" s="76">
        <f>Assumptions!AO188</f>
        <v>31.573333333333334</v>
      </c>
      <c r="AP139" s="76">
        <f>Assumptions!AP188</f>
        <v>32.626666666666665</v>
      </c>
      <c r="AQ139" s="76">
        <f>Assumptions!AQ188</f>
        <v>33.68</v>
      </c>
      <c r="AR139" s="76">
        <f>Assumptions!AR188</f>
        <v>34.733333333333334</v>
      </c>
      <c r="AS139" s="76">
        <f>Assumptions!AS188</f>
        <v>35.786666666666669</v>
      </c>
      <c r="AT139" s="76">
        <f>Assumptions!AT188</f>
        <v>36.840000000000003</v>
      </c>
      <c r="AU139" s="76">
        <f>Assumptions!AU188</f>
        <v>37.893333333333331</v>
      </c>
      <c r="AV139" s="76">
        <f>Assumptions!AV188</f>
        <v>39.999999441861334</v>
      </c>
      <c r="AW139" s="76">
        <f>Assumptions!AW188</f>
        <v>39.999999441861334</v>
      </c>
      <c r="AX139" s="76">
        <f>Assumptions!AX188</f>
        <v>39.999999441861334</v>
      </c>
      <c r="AY139" s="76">
        <f>Assumptions!AY188</f>
        <v>39.999999441861334</v>
      </c>
      <c r="AZ139" s="76">
        <f>Assumptions!AZ188</f>
        <v>39.999999441861334</v>
      </c>
      <c r="BA139" s="76">
        <f>Assumptions!BA188</f>
        <v>443.13333054264001</v>
      </c>
      <c r="BB139" s="76">
        <f>Assumptions!BB188</f>
        <v>36.927777545219996</v>
      </c>
      <c r="BC139" s="76">
        <f>Assumptions!BC188</f>
        <v>36.927777545219996</v>
      </c>
      <c r="BD139" s="76">
        <f>Assumptions!BD188</f>
        <v>36.927777545219996</v>
      </c>
      <c r="BE139" s="76">
        <f>Assumptions!BE188</f>
        <v>36.927777545219996</v>
      </c>
      <c r="BF139" s="76">
        <f>Assumptions!BF188</f>
        <v>36.927777545219996</v>
      </c>
      <c r="BG139" s="76">
        <f>Assumptions!BG188</f>
        <v>36.927777545219996</v>
      </c>
      <c r="BH139" s="76">
        <f>Assumptions!BH188</f>
        <v>36.927777545219996</v>
      </c>
      <c r="BI139" s="76">
        <f>Assumptions!BI188</f>
        <v>36.927777545219996</v>
      </c>
      <c r="BJ139" s="76">
        <f>Assumptions!BJ188</f>
        <v>36.927777545219996</v>
      </c>
      <c r="BK139" s="76">
        <f>Assumptions!BK188</f>
        <v>36.927777545219996</v>
      </c>
      <c r="BL139" s="76">
        <f>Assumptions!BL188</f>
        <v>36.927777545219996</v>
      </c>
      <c r="BM139" s="76">
        <f>Assumptions!BM188</f>
        <v>36.927777545219996</v>
      </c>
      <c r="BN139" s="76">
        <f>Assumptions!BN188</f>
        <v>443.13333054264001</v>
      </c>
    </row>
    <row r="140" spans="2:66" hidden="1" x14ac:dyDescent="0.2">
      <c r="B140" s="76" t="s">
        <v>42</v>
      </c>
      <c r="C140" s="76" t="s">
        <v>49</v>
      </c>
      <c r="J140" s="76">
        <f>Assumptions!J190</f>
        <v>0</v>
      </c>
      <c r="K140" s="76">
        <f>Assumptions!K190</f>
        <v>0</v>
      </c>
      <c r="L140" s="76">
        <f>Assumptions!L190</f>
        <v>0</v>
      </c>
      <c r="M140" s="76">
        <f>Assumptions!M190</f>
        <v>0</v>
      </c>
      <c r="N140" s="76">
        <f>Assumptions!N190</f>
        <v>0</v>
      </c>
      <c r="O140" s="76">
        <f>Assumptions!O190</f>
        <v>0</v>
      </c>
      <c r="P140" s="76">
        <f>Assumptions!P190</f>
        <v>0</v>
      </c>
      <c r="Q140" s="76">
        <f>Assumptions!Q190</f>
        <v>0</v>
      </c>
      <c r="R140" s="76">
        <f>Assumptions!R190</f>
        <v>0</v>
      </c>
      <c r="S140" s="76">
        <f>Assumptions!S190</f>
        <v>0</v>
      </c>
      <c r="T140" s="76">
        <f>Assumptions!T190</f>
        <v>0</v>
      </c>
      <c r="U140" s="76">
        <f>Assumptions!U190</f>
        <v>0</v>
      </c>
      <c r="V140" s="76">
        <f>Assumptions!V190</f>
        <v>0</v>
      </c>
      <c r="W140" s="76">
        <f>Assumptions!W190</f>
        <v>0</v>
      </c>
      <c r="X140" s="76">
        <f>Assumptions!X190</f>
        <v>0</v>
      </c>
      <c r="Y140" s="76">
        <f>Assumptions!Y190</f>
        <v>0</v>
      </c>
      <c r="Z140" s="76">
        <f>Assumptions!Z190</f>
        <v>0</v>
      </c>
      <c r="AA140" s="76">
        <f>Assumptions!AA190</f>
        <v>0</v>
      </c>
      <c r="AB140" s="76">
        <f>Assumptions!AB190</f>
        <v>0</v>
      </c>
      <c r="AC140" s="76">
        <f>Assumptions!AC190</f>
        <v>0</v>
      </c>
      <c r="AD140" s="76">
        <f>Assumptions!AD190</f>
        <v>0</v>
      </c>
      <c r="AE140" s="76">
        <f>Assumptions!AE190</f>
        <v>0</v>
      </c>
      <c r="AF140" s="76">
        <f>Assumptions!AF190</f>
        <v>0</v>
      </c>
      <c r="AG140" s="76">
        <f>Assumptions!AG190</f>
        <v>0</v>
      </c>
      <c r="AH140" s="76">
        <f>Assumptions!AH190</f>
        <v>0</v>
      </c>
      <c r="AI140" s="76">
        <f>Assumptions!AI190</f>
        <v>0</v>
      </c>
      <c r="AJ140" s="76">
        <f>Assumptions!AJ190</f>
        <v>0</v>
      </c>
      <c r="AK140" s="76">
        <f>Assumptions!AK190</f>
        <v>0</v>
      </c>
      <c r="AL140" s="76">
        <f>Assumptions!AL190</f>
        <v>0</v>
      </c>
      <c r="AM140" s="76">
        <f>Assumptions!AM190</f>
        <v>0</v>
      </c>
      <c r="AN140" s="76">
        <f>Assumptions!AN190</f>
        <v>0</v>
      </c>
      <c r="AO140" s="76">
        <f>Assumptions!AO190</f>
        <v>0</v>
      </c>
      <c r="AP140" s="76">
        <f>Assumptions!AP190</f>
        <v>0</v>
      </c>
      <c r="AQ140" s="76">
        <f>Assumptions!AQ190</f>
        <v>0</v>
      </c>
      <c r="AR140" s="76">
        <f>Assumptions!AR190</f>
        <v>0</v>
      </c>
      <c r="AS140" s="76">
        <f>Assumptions!AS190</f>
        <v>0</v>
      </c>
      <c r="AT140" s="76">
        <f>Assumptions!AT190</f>
        <v>0</v>
      </c>
      <c r="AU140" s="76">
        <f>Assumptions!AU190</f>
        <v>0</v>
      </c>
      <c r="AV140" s="76">
        <f>Assumptions!AV190</f>
        <v>0</v>
      </c>
      <c r="AW140" s="76">
        <f>Assumptions!AW190</f>
        <v>0</v>
      </c>
      <c r="AX140" s="76">
        <f>Assumptions!AX190</f>
        <v>0</v>
      </c>
      <c r="AY140" s="76">
        <f>Assumptions!AY190</f>
        <v>0</v>
      </c>
      <c r="AZ140" s="76">
        <f>Assumptions!AZ190</f>
        <v>0</v>
      </c>
      <c r="BA140" s="76">
        <f>Assumptions!BA190</f>
        <v>0</v>
      </c>
      <c r="BB140" s="76">
        <f>Assumptions!BB190</f>
        <v>0</v>
      </c>
      <c r="BC140" s="76">
        <f>Assumptions!BC190</f>
        <v>0</v>
      </c>
      <c r="BD140" s="76">
        <f>Assumptions!BD190</f>
        <v>0</v>
      </c>
      <c r="BE140" s="76">
        <f>Assumptions!BE190</f>
        <v>0</v>
      </c>
      <c r="BF140" s="76">
        <f>Assumptions!BF190</f>
        <v>0</v>
      </c>
      <c r="BG140" s="76">
        <f>Assumptions!BG190</f>
        <v>0</v>
      </c>
      <c r="BH140" s="76">
        <f>Assumptions!BH190</f>
        <v>0</v>
      </c>
      <c r="BI140" s="76">
        <f>Assumptions!BI190</f>
        <v>0</v>
      </c>
      <c r="BJ140" s="76">
        <f>Assumptions!BJ190</f>
        <v>0</v>
      </c>
      <c r="BK140" s="76">
        <f>Assumptions!BK190</f>
        <v>0</v>
      </c>
      <c r="BL140" s="76">
        <f>Assumptions!BL190</f>
        <v>0</v>
      </c>
      <c r="BM140" s="76">
        <f>Assumptions!BM190</f>
        <v>0</v>
      </c>
      <c r="BN140" s="76">
        <f>Assumptions!BN190</f>
        <v>0</v>
      </c>
    </row>
    <row r="141" spans="2:66" hidden="1" x14ac:dyDescent="0.2">
      <c r="B141" s="76" t="s">
        <v>43</v>
      </c>
      <c r="C141" s="76" t="s">
        <v>35</v>
      </c>
      <c r="J141" s="76">
        <f t="shared" ref="J141:BN141" si="49">J132</f>
        <v>30</v>
      </c>
      <c r="K141" s="76">
        <f t="shared" si="49"/>
        <v>31</v>
      </c>
      <c r="L141" s="76">
        <f t="shared" si="49"/>
        <v>30</v>
      </c>
      <c r="M141" s="76">
        <f t="shared" si="49"/>
        <v>31</v>
      </c>
      <c r="N141" s="76">
        <f t="shared" si="49"/>
        <v>30.571428571428573</v>
      </c>
      <c r="O141" s="76">
        <f t="shared" si="49"/>
        <v>31</v>
      </c>
      <c r="P141" s="76">
        <f t="shared" si="49"/>
        <v>28</v>
      </c>
      <c r="Q141" s="76">
        <f t="shared" si="49"/>
        <v>31</v>
      </c>
      <c r="R141" s="76">
        <f t="shared" si="49"/>
        <v>30</v>
      </c>
      <c r="S141" s="76">
        <f t="shared" si="49"/>
        <v>31</v>
      </c>
      <c r="T141" s="76">
        <f t="shared" si="49"/>
        <v>30</v>
      </c>
      <c r="U141" s="76">
        <f t="shared" si="49"/>
        <v>31</v>
      </c>
      <c r="V141" s="76">
        <f t="shared" si="49"/>
        <v>31</v>
      </c>
      <c r="W141" s="76">
        <f t="shared" si="49"/>
        <v>30</v>
      </c>
      <c r="X141" s="76">
        <f t="shared" si="49"/>
        <v>31</v>
      </c>
      <c r="Y141" s="76">
        <f t="shared" si="49"/>
        <v>30</v>
      </c>
      <c r="Z141" s="76">
        <f t="shared" si="49"/>
        <v>31</v>
      </c>
      <c r="AA141" s="76">
        <f t="shared" si="49"/>
        <v>30.416666666666668</v>
      </c>
      <c r="AB141" s="76">
        <f t="shared" si="49"/>
        <v>31</v>
      </c>
      <c r="AC141" s="76">
        <f t="shared" si="49"/>
        <v>28</v>
      </c>
      <c r="AD141" s="76">
        <f t="shared" si="49"/>
        <v>31</v>
      </c>
      <c r="AE141" s="76">
        <f t="shared" si="49"/>
        <v>30</v>
      </c>
      <c r="AF141" s="76">
        <f t="shared" si="49"/>
        <v>31</v>
      </c>
      <c r="AG141" s="76">
        <f t="shared" si="49"/>
        <v>30</v>
      </c>
      <c r="AH141" s="76">
        <f t="shared" si="49"/>
        <v>31</v>
      </c>
      <c r="AI141" s="76">
        <f t="shared" si="49"/>
        <v>31</v>
      </c>
      <c r="AJ141" s="76">
        <f t="shared" si="49"/>
        <v>30</v>
      </c>
      <c r="AK141" s="76">
        <f t="shared" si="49"/>
        <v>31</v>
      </c>
      <c r="AL141" s="76">
        <f t="shared" si="49"/>
        <v>30</v>
      </c>
      <c r="AM141" s="76">
        <f t="shared" si="49"/>
        <v>31</v>
      </c>
      <c r="AN141" s="76">
        <f t="shared" si="49"/>
        <v>30.416666666666668</v>
      </c>
      <c r="AO141" s="76">
        <f t="shared" si="49"/>
        <v>31</v>
      </c>
      <c r="AP141" s="76">
        <f t="shared" si="49"/>
        <v>29</v>
      </c>
      <c r="AQ141" s="76">
        <f t="shared" si="49"/>
        <v>31</v>
      </c>
      <c r="AR141" s="76">
        <f t="shared" si="49"/>
        <v>30</v>
      </c>
      <c r="AS141" s="76">
        <f t="shared" si="49"/>
        <v>31</v>
      </c>
      <c r="AT141" s="76">
        <f t="shared" si="49"/>
        <v>30</v>
      </c>
      <c r="AU141" s="76">
        <f t="shared" si="49"/>
        <v>31</v>
      </c>
      <c r="AV141" s="76">
        <f t="shared" si="49"/>
        <v>31</v>
      </c>
      <c r="AW141" s="76">
        <f t="shared" si="49"/>
        <v>30</v>
      </c>
      <c r="AX141" s="76">
        <f t="shared" si="49"/>
        <v>31</v>
      </c>
      <c r="AY141" s="76">
        <f t="shared" si="49"/>
        <v>30</v>
      </c>
      <c r="AZ141" s="76">
        <f t="shared" si="49"/>
        <v>31</v>
      </c>
      <c r="BA141" s="76">
        <f t="shared" si="49"/>
        <v>30.5</v>
      </c>
      <c r="BB141" s="76">
        <f t="shared" si="49"/>
        <v>31</v>
      </c>
      <c r="BC141" s="76">
        <f t="shared" si="49"/>
        <v>28</v>
      </c>
      <c r="BD141" s="76">
        <f t="shared" si="49"/>
        <v>31</v>
      </c>
      <c r="BE141" s="76">
        <f t="shared" si="49"/>
        <v>30</v>
      </c>
      <c r="BF141" s="76">
        <f t="shared" si="49"/>
        <v>31</v>
      </c>
      <c r="BG141" s="76">
        <f t="shared" si="49"/>
        <v>30</v>
      </c>
      <c r="BH141" s="76">
        <f t="shared" si="49"/>
        <v>31</v>
      </c>
      <c r="BI141" s="76">
        <f t="shared" si="49"/>
        <v>31</v>
      </c>
      <c r="BJ141" s="76">
        <f t="shared" si="49"/>
        <v>30</v>
      </c>
      <c r="BK141" s="76">
        <f t="shared" si="49"/>
        <v>31</v>
      </c>
      <c r="BL141" s="76">
        <f t="shared" si="49"/>
        <v>30</v>
      </c>
      <c r="BM141" s="76">
        <f t="shared" si="49"/>
        <v>31</v>
      </c>
      <c r="BN141" s="76">
        <f t="shared" si="49"/>
        <v>30.416666666666668</v>
      </c>
    </row>
    <row r="142" spans="2:66" x14ac:dyDescent="0.2">
      <c r="B142" s="78" t="s">
        <v>86</v>
      </c>
      <c r="C142" s="334" t="s">
        <v>78</v>
      </c>
      <c r="D142" s="78"/>
      <c r="E142" s="78"/>
      <c r="F142" s="78"/>
      <c r="G142" s="78"/>
      <c r="H142" s="78"/>
      <c r="I142" s="78"/>
      <c r="J142" s="78">
        <f>J139*J138</f>
        <v>334.28933333333333</v>
      </c>
      <c r="K142" s="78">
        <f t="shared" ref="K142:BA142" si="50">K139*K138</f>
        <v>512.46799999999996</v>
      </c>
      <c r="L142" s="78">
        <f t="shared" si="50"/>
        <v>690.64666666666665</v>
      </c>
      <c r="M142" s="78">
        <f t="shared" si="50"/>
        <v>868.82533333333333</v>
      </c>
      <c r="N142" s="78">
        <f t="shared" si="50"/>
        <v>2406.2293333333332</v>
      </c>
      <c r="O142" s="78">
        <f t="shared" si="50"/>
        <v>1047.8213333333333</v>
      </c>
      <c r="P142" s="78">
        <f t="shared" si="50"/>
        <v>1226</v>
      </c>
      <c r="Q142" s="78">
        <f t="shared" si="50"/>
        <v>1226</v>
      </c>
      <c r="R142" s="78">
        <f t="shared" si="50"/>
        <v>1226</v>
      </c>
      <c r="S142" s="78">
        <f t="shared" si="50"/>
        <v>1226</v>
      </c>
      <c r="T142" s="78">
        <f t="shared" si="50"/>
        <v>1226</v>
      </c>
      <c r="U142" s="78">
        <f t="shared" si="50"/>
        <v>1226</v>
      </c>
      <c r="V142" s="78">
        <f t="shared" si="50"/>
        <v>1226</v>
      </c>
      <c r="W142" s="78">
        <f t="shared" si="50"/>
        <v>1226</v>
      </c>
      <c r="X142" s="78">
        <f t="shared" si="50"/>
        <v>1226</v>
      </c>
      <c r="Y142" s="78">
        <f t="shared" si="50"/>
        <v>1226</v>
      </c>
      <c r="Z142" s="78">
        <f t="shared" si="50"/>
        <v>1226</v>
      </c>
      <c r="AA142" s="78">
        <f t="shared" si="50"/>
        <v>14533.821333333333</v>
      </c>
      <c r="AB142" s="78">
        <f t="shared" si="50"/>
        <v>1226</v>
      </c>
      <c r="AC142" s="78">
        <f t="shared" si="50"/>
        <v>1226</v>
      </c>
      <c r="AD142" s="78">
        <f t="shared" si="50"/>
        <v>1290.5693333333334</v>
      </c>
      <c r="AE142" s="78">
        <f t="shared" si="50"/>
        <v>1355.1386666666665</v>
      </c>
      <c r="AF142" s="78">
        <f t="shared" si="50"/>
        <v>1418.8906666666667</v>
      </c>
      <c r="AG142" s="78">
        <f t="shared" si="50"/>
        <v>1483.4599999999998</v>
      </c>
      <c r="AH142" s="78">
        <f t="shared" si="50"/>
        <v>1548.0293333333334</v>
      </c>
      <c r="AI142" s="78">
        <f t="shared" si="50"/>
        <v>1612.5986666666668</v>
      </c>
      <c r="AJ142" s="78">
        <f t="shared" si="50"/>
        <v>1677.1679999999999</v>
      </c>
      <c r="AK142" s="78">
        <f t="shared" si="50"/>
        <v>1741.7373333333333</v>
      </c>
      <c r="AL142" s="78">
        <f t="shared" si="50"/>
        <v>1807.124</v>
      </c>
      <c r="AM142" s="78">
        <f t="shared" si="50"/>
        <v>1871.6933333333334</v>
      </c>
      <c r="AN142" s="78">
        <f t="shared" si="50"/>
        <v>18258.409333333333</v>
      </c>
      <c r="AO142" s="78">
        <f t="shared" si="50"/>
        <v>1935.4453333333333</v>
      </c>
      <c r="AP142" s="78">
        <f t="shared" si="50"/>
        <v>2000.0146666666665</v>
      </c>
      <c r="AQ142" s="78">
        <f t="shared" si="50"/>
        <v>2064.5839999999998</v>
      </c>
      <c r="AR142" s="78">
        <f t="shared" si="50"/>
        <v>2129.1533333333332</v>
      </c>
      <c r="AS142" s="78">
        <f t="shared" si="50"/>
        <v>2193.7226666666666</v>
      </c>
      <c r="AT142" s="78">
        <f t="shared" si="50"/>
        <v>2258.2919999999999</v>
      </c>
      <c r="AU142" s="78">
        <f t="shared" si="50"/>
        <v>2322.8613333333333</v>
      </c>
      <c r="AV142" s="78">
        <f t="shared" si="50"/>
        <v>2451.9999657860994</v>
      </c>
      <c r="AW142" s="78">
        <f t="shared" si="50"/>
        <v>2451.9999657860994</v>
      </c>
      <c r="AX142" s="78">
        <f t="shared" si="50"/>
        <v>2451.9999657860994</v>
      </c>
      <c r="AY142" s="78">
        <f t="shared" si="50"/>
        <v>2451.9999657860994</v>
      </c>
      <c r="AZ142" s="78">
        <f t="shared" si="50"/>
        <v>2451.9999657860994</v>
      </c>
      <c r="BA142" s="78">
        <f t="shared" si="50"/>
        <v>27164.07316226383</v>
      </c>
      <c r="BB142" s="78">
        <f>IF(SUM($G$141:BB141)&lt;=BB140,0,BB139*BB138)</f>
        <v>2308.9462187924255</v>
      </c>
      <c r="BC142" s="78">
        <f>IF(SUM($G$141:BC141)&lt;=BC140,0,BC139*BC138)</f>
        <v>2308.9462187924255</v>
      </c>
      <c r="BD142" s="78">
        <f>IF(SUM($G$141:BD141)&lt;=BD140,0,BD139*BD138)</f>
        <v>2308.9462187924255</v>
      </c>
      <c r="BE142" s="78">
        <f>IF(SUM($G$141:BE141)&lt;=BE140,0,BE139*BE138)</f>
        <v>2308.9462187924255</v>
      </c>
      <c r="BF142" s="78">
        <f>IF(SUM($G$141:BF141)&lt;=BF140,0,BF139*BF138)</f>
        <v>2308.9462187924255</v>
      </c>
      <c r="BG142" s="78">
        <f>IF(SUM($G$141:BG141)&lt;=BG140,0,BG139*BG138)</f>
        <v>2308.9462187924255</v>
      </c>
      <c r="BH142" s="78">
        <f>IF(SUM($G$141:BH141)&lt;=BH140,0,BH139*BH138)</f>
        <v>2308.9462187924255</v>
      </c>
      <c r="BI142" s="78">
        <f>IF(SUM($G$141:BI141)&lt;=BI140,0,BI139*BI138)</f>
        <v>2308.9462187924255</v>
      </c>
      <c r="BJ142" s="78">
        <f>IF(SUM($G$141:BJ141)&lt;=BJ140,0,BJ139*BJ138)</f>
        <v>2308.9462187924255</v>
      </c>
      <c r="BK142" s="78">
        <f>IF(SUM($G$141:BK141)&lt;=BK140,0,BK139*BK138)</f>
        <v>2308.9462187924255</v>
      </c>
      <c r="BL142" s="78">
        <f>IF(SUM($G$141:BL141)&lt;=BL140,0,BL139*BL138)</f>
        <v>2308.9462187924255</v>
      </c>
      <c r="BM142" s="78">
        <f>IF(SUM($G$141:BM141)&lt;=BM140,0,BM139*BM138)</f>
        <v>2308.9462187924255</v>
      </c>
      <c r="BN142" s="78">
        <f>SUM(BB142:BM142)</f>
        <v>27707.354625509106</v>
      </c>
    </row>
    <row r="143" spans="2:66" ht="6" customHeight="1" x14ac:dyDescent="0.2">
      <c r="B143" s="80"/>
      <c r="C143" s="336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</row>
    <row r="144" spans="2:66" x14ac:dyDescent="0.2">
      <c r="B144" s="78" t="s">
        <v>164</v>
      </c>
      <c r="C144" s="334" t="s">
        <v>78</v>
      </c>
      <c r="D144" s="78"/>
      <c r="E144" s="78"/>
      <c r="F144" s="78"/>
      <c r="G144" s="78"/>
      <c r="H144" s="78"/>
      <c r="I144" s="78"/>
      <c r="J144" s="78">
        <f>J142*(1+Assumptions!J191)</f>
        <v>335.96077999999994</v>
      </c>
      <c r="K144" s="78">
        <f>K142*(1+Assumptions!K191)</f>
        <v>515.03033999999991</v>
      </c>
      <c r="L144" s="78">
        <f>L142*(1+Assumptions!L191)</f>
        <v>694.09989999999993</v>
      </c>
      <c r="M144" s="78">
        <f>M142*(1+Assumptions!M191)</f>
        <v>873.16945999999996</v>
      </c>
      <c r="N144" s="78">
        <f>N142*(1+Assumptions!N191)</f>
        <v>2418.2604799999995</v>
      </c>
      <c r="O144" s="78">
        <f>O142*(1+Assumptions!O191)</f>
        <v>1053.06044</v>
      </c>
      <c r="P144" s="78">
        <f>P142*(1+Assumptions!P191)</f>
        <v>1232.1299999999999</v>
      </c>
      <c r="Q144" s="78">
        <f>Q142*(1+Assumptions!Q191)</f>
        <v>1232.1299999999999</v>
      </c>
      <c r="R144" s="78">
        <f>R142*(1+Assumptions!R191)</f>
        <v>1232.1299999999999</v>
      </c>
      <c r="S144" s="78">
        <f>S142*(1+Assumptions!S191)</f>
        <v>1232.1299999999999</v>
      </c>
      <c r="T144" s="78">
        <f>T142*(1+Assumptions!T191)</f>
        <v>1232.1299999999999</v>
      </c>
      <c r="U144" s="78">
        <f>U142*(1+Assumptions!U191)</f>
        <v>1232.1299999999999</v>
      </c>
      <c r="V144" s="78">
        <f>V142*(1+Assumptions!V191)</f>
        <v>1232.1299999999999</v>
      </c>
      <c r="W144" s="78">
        <f>W142*(1+Assumptions!W191)</f>
        <v>1232.1299999999999</v>
      </c>
      <c r="X144" s="78">
        <f>X142*(1+Assumptions!X191)</f>
        <v>1232.1299999999999</v>
      </c>
      <c r="Y144" s="78">
        <f>Y142*(1+Assumptions!Y191)</f>
        <v>1232.1299999999999</v>
      </c>
      <c r="Z144" s="78">
        <f>Z142*(1+Assumptions!Z191)</f>
        <v>1232.1299999999999</v>
      </c>
      <c r="AA144" s="78">
        <f>AA142*(1+Assumptions!AA191)</f>
        <v>14606.490439999998</v>
      </c>
      <c r="AB144" s="78">
        <f>AB142*(1+Assumptions!AB191)</f>
        <v>1232.1299999999999</v>
      </c>
      <c r="AC144" s="78">
        <f>AC142*(1+Assumptions!AC191)</f>
        <v>1232.1299999999999</v>
      </c>
      <c r="AD144" s="78">
        <f>AD142*(1+Assumptions!AD191)</f>
        <v>1297.0221799999999</v>
      </c>
      <c r="AE144" s="78">
        <f>AE142*(1+Assumptions!AE191)</f>
        <v>1361.9143599999998</v>
      </c>
      <c r="AF144" s="78">
        <f>AF142*(1+Assumptions!AF191)</f>
        <v>1425.9851199999998</v>
      </c>
      <c r="AG144" s="78">
        <f>AG142*(1+Assumptions!AG191)</f>
        <v>1490.8772999999997</v>
      </c>
      <c r="AH144" s="78">
        <f>AH142*(1+Assumptions!AH191)</f>
        <v>1555.7694799999999</v>
      </c>
      <c r="AI144" s="78">
        <f>AI142*(1+Assumptions!AI191)</f>
        <v>1620.66166</v>
      </c>
      <c r="AJ144" s="78">
        <f>AJ142*(1+Assumptions!AJ191)</f>
        <v>1685.5538399999998</v>
      </c>
      <c r="AK144" s="78">
        <f>AK142*(1+Assumptions!AK191)</f>
        <v>1750.4460199999996</v>
      </c>
      <c r="AL144" s="78">
        <f>AL142*(1+Assumptions!AL191)</f>
        <v>1816.1596199999999</v>
      </c>
      <c r="AM144" s="78">
        <f>AM142*(1+Assumptions!AM191)</f>
        <v>1881.0518</v>
      </c>
      <c r="AN144" s="78">
        <f>AN142*(1+Assumptions!AN191)</f>
        <v>18349.701379999999</v>
      </c>
      <c r="AO144" s="78">
        <f>AO142*(1+Assumptions!AO191)</f>
        <v>1945.1225599999998</v>
      </c>
      <c r="AP144" s="78">
        <f>AP142*(1+Assumptions!AP191)</f>
        <v>2010.0147399999996</v>
      </c>
      <c r="AQ144" s="78">
        <f>AQ142*(1+Assumptions!AQ191)</f>
        <v>2074.9069199999994</v>
      </c>
      <c r="AR144" s="78">
        <f>AR142*(1+Assumptions!AR191)</f>
        <v>2139.7990999999997</v>
      </c>
      <c r="AS144" s="78">
        <f>AS142*(1+Assumptions!AS191)</f>
        <v>2204.6912799999996</v>
      </c>
      <c r="AT144" s="78">
        <f>AT142*(1+Assumptions!AT191)</f>
        <v>2269.5834599999998</v>
      </c>
      <c r="AU144" s="78">
        <f>AU142*(1+Assumptions!AU191)</f>
        <v>2334.4756399999997</v>
      </c>
      <c r="AV144" s="78">
        <f>AV142*(1+Assumptions!AV191)</f>
        <v>2464.2599656150296</v>
      </c>
      <c r="AW144" s="78">
        <f>AW142*(1+Assumptions!AW191)</f>
        <v>2464.2599656150296</v>
      </c>
      <c r="AX144" s="78">
        <f>AX142*(1+Assumptions!AX191)</f>
        <v>2464.2599656150296</v>
      </c>
      <c r="AY144" s="78">
        <f>AY142*(1+Assumptions!AY191)</f>
        <v>2464.2599656150296</v>
      </c>
      <c r="AZ144" s="78">
        <f>AZ142*(1+Assumptions!AZ191)</f>
        <v>2464.2599656150296</v>
      </c>
      <c r="BA144" s="78">
        <f>BA142*(1+Assumptions!BA191)</f>
        <v>27299.893528075147</v>
      </c>
      <c r="BB144" s="78">
        <f>BB142*(1+Assumptions!BB191)</f>
        <v>2320.4909498863872</v>
      </c>
      <c r="BC144" s="78">
        <f>BC142*(1+Assumptions!BC191)</f>
        <v>2320.4909498863872</v>
      </c>
      <c r="BD144" s="78">
        <f>BD142*(1+Assumptions!BD191)</f>
        <v>2320.4909498863872</v>
      </c>
      <c r="BE144" s="78">
        <f>BE142*(1+Assumptions!BE191)</f>
        <v>2320.4909498863872</v>
      </c>
      <c r="BF144" s="78">
        <f>BF142*(1+Assumptions!BF191)</f>
        <v>2320.4909498863872</v>
      </c>
      <c r="BG144" s="78">
        <f>BG142*(1+Assumptions!BG191)</f>
        <v>2320.4909498863872</v>
      </c>
      <c r="BH144" s="78">
        <f>BH142*(1+Assumptions!BH191)</f>
        <v>2320.4909498863872</v>
      </c>
      <c r="BI144" s="78">
        <f>BI142*(1+Assumptions!BI191)</f>
        <v>2320.4909498863872</v>
      </c>
      <c r="BJ144" s="78">
        <f>BJ142*(1+Assumptions!BJ191)</f>
        <v>2320.4909498863872</v>
      </c>
      <c r="BK144" s="78">
        <f>BK142*(1+Assumptions!BK191)</f>
        <v>2320.4909498863872</v>
      </c>
      <c r="BL144" s="78">
        <f>BL142*(1+Assumptions!BL191)</f>
        <v>2320.4909498863872</v>
      </c>
      <c r="BM144" s="78">
        <f>BM142*(1+Assumptions!BM191)</f>
        <v>2320.4909498863872</v>
      </c>
      <c r="BN144" s="78">
        <f>BN142*(1+Assumptions!BN191)</f>
        <v>27845.89139863665</v>
      </c>
    </row>
    <row r="145" spans="2:66" x14ac:dyDescent="0.2">
      <c r="B145" s="80"/>
      <c r="C145" s="336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</row>
    <row r="146" spans="2:66" x14ac:dyDescent="0.2">
      <c r="B146" s="78" t="s">
        <v>87</v>
      </c>
      <c r="C146" s="334" t="s">
        <v>78</v>
      </c>
      <c r="D146" s="78"/>
      <c r="E146" s="78"/>
      <c r="F146" s="78"/>
      <c r="G146" s="78"/>
      <c r="H146" s="78"/>
      <c r="I146" s="78"/>
      <c r="J146" s="78">
        <f t="shared" ref="J146:BN146" si="51">J144+J135+J126+J117</f>
        <v>1848.1949999999997</v>
      </c>
      <c r="K146" s="78">
        <f t="shared" si="51"/>
        <v>2833.8989999999994</v>
      </c>
      <c r="L146" s="78">
        <f t="shared" si="51"/>
        <v>3819.6030000000001</v>
      </c>
      <c r="M146" s="78">
        <f t="shared" si="51"/>
        <v>4805.3069999999998</v>
      </c>
      <c r="N146" s="78">
        <f t="shared" si="51"/>
        <v>13307.003999999997</v>
      </c>
      <c r="O146" s="78">
        <f t="shared" si="51"/>
        <v>5791.0109999999995</v>
      </c>
      <c r="P146" s="78">
        <f t="shared" si="51"/>
        <v>6776.7150945586673</v>
      </c>
      <c r="Q146" s="78">
        <f t="shared" si="51"/>
        <v>6776.7150945586673</v>
      </c>
      <c r="R146" s="78">
        <f t="shared" si="51"/>
        <v>6776.7150945586673</v>
      </c>
      <c r="S146" s="78">
        <f t="shared" si="51"/>
        <v>6776.7150945586673</v>
      </c>
      <c r="T146" s="78">
        <f t="shared" si="51"/>
        <v>6776.7150945586673</v>
      </c>
      <c r="U146" s="78">
        <f t="shared" si="51"/>
        <v>6776.7150945586673</v>
      </c>
      <c r="V146" s="78">
        <f t="shared" si="51"/>
        <v>6776.7150945586673</v>
      </c>
      <c r="W146" s="78">
        <f t="shared" si="51"/>
        <v>6776.7150945586673</v>
      </c>
      <c r="X146" s="78">
        <f t="shared" si="51"/>
        <v>6776.7150945586673</v>
      </c>
      <c r="Y146" s="78">
        <f t="shared" si="51"/>
        <v>6776.7150945586673</v>
      </c>
      <c r="Z146" s="78">
        <f t="shared" si="51"/>
        <v>6776.7150945586673</v>
      </c>
      <c r="AA146" s="78">
        <f>AA144+AA135+AA126+AA117</f>
        <v>80334.877040145337</v>
      </c>
      <c r="AB146" s="78">
        <f t="shared" si="51"/>
        <v>6776.7150945586673</v>
      </c>
      <c r="AC146" s="78">
        <f t="shared" si="51"/>
        <v>6776.7150945586673</v>
      </c>
      <c r="AD146" s="78">
        <f t="shared" si="51"/>
        <v>7133.2112799999995</v>
      </c>
      <c r="AE146" s="78">
        <f t="shared" si="51"/>
        <v>7489.7075599999989</v>
      </c>
      <c r="AF146" s="78">
        <f t="shared" si="51"/>
        <v>7846.2038400000001</v>
      </c>
      <c r="AG146" s="78">
        <f t="shared" si="51"/>
        <v>8202.7001199999977</v>
      </c>
      <c r="AH146" s="78">
        <f t="shared" si="51"/>
        <v>8559.1963999999971</v>
      </c>
      <c r="AI146" s="78">
        <f t="shared" si="51"/>
        <v>8915.6926800000001</v>
      </c>
      <c r="AJ146" s="78">
        <f t="shared" si="51"/>
        <v>9272.1889599999995</v>
      </c>
      <c r="AK146" s="78">
        <f t="shared" si="51"/>
        <v>9628.6852399999989</v>
      </c>
      <c r="AL146" s="78">
        <f t="shared" si="51"/>
        <v>9985.1815199999983</v>
      </c>
      <c r="AM146" s="78">
        <f t="shared" si="51"/>
        <v>10341.677799999998</v>
      </c>
      <c r="AN146" s="78">
        <f t="shared" si="51"/>
        <v>100927.87558911732</v>
      </c>
      <c r="AO146" s="78">
        <f t="shared" si="51"/>
        <v>10698.174079999999</v>
      </c>
      <c r="AP146" s="78">
        <f t="shared" si="51"/>
        <v>11054.670359999998</v>
      </c>
      <c r="AQ146" s="78">
        <f t="shared" si="51"/>
        <v>11411.166639999998</v>
      </c>
      <c r="AR146" s="78">
        <f t="shared" si="51"/>
        <v>11767.662919999999</v>
      </c>
      <c r="AS146" s="78">
        <f t="shared" si="51"/>
        <v>12124.159199999998</v>
      </c>
      <c r="AT146" s="78">
        <f t="shared" si="51"/>
        <v>12480.655479999998</v>
      </c>
      <c r="AU146" s="78">
        <f t="shared" si="51"/>
        <v>12837.151759999997</v>
      </c>
      <c r="AV146" s="78">
        <f t="shared" si="51"/>
        <v>13553.429999999997</v>
      </c>
      <c r="AW146" s="78">
        <f t="shared" si="51"/>
        <v>13553.429999999997</v>
      </c>
      <c r="AX146" s="78">
        <f t="shared" si="51"/>
        <v>13553.429999999997</v>
      </c>
      <c r="AY146" s="78">
        <f t="shared" si="51"/>
        <v>13553.429999999997</v>
      </c>
      <c r="AZ146" s="78">
        <f t="shared" si="51"/>
        <v>13553.429999999997</v>
      </c>
      <c r="BA146" s="78">
        <f t="shared" si="51"/>
        <v>150140.79043999995</v>
      </c>
      <c r="BB146" s="78">
        <f t="shared" si="51"/>
        <v>12761.967187399998</v>
      </c>
      <c r="BC146" s="78">
        <f t="shared" si="51"/>
        <v>12761.967187399998</v>
      </c>
      <c r="BD146" s="78">
        <f t="shared" si="51"/>
        <v>12761.967187399998</v>
      </c>
      <c r="BE146" s="78">
        <f t="shared" si="51"/>
        <v>12761.967187399998</v>
      </c>
      <c r="BF146" s="78">
        <f t="shared" si="51"/>
        <v>12761.967187399998</v>
      </c>
      <c r="BG146" s="78">
        <f t="shared" si="51"/>
        <v>12761.967187399998</v>
      </c>
      <c r="BH146" s="78">
        <f t="shared" si="51"/>
        <v>12761.967187399998</v>
      </c>
      <c r="BI146" s="78">
        <f t="shared" si="51"/>
        <v>12761.967187399998</v>
      </c>
      <c r="BJ146" s="78">
        <f t="shared" si="51"/>
        <v>12761.967187399998</v>
      </c>
      <c r="BK146" s="78">
        <f t="shared" si="51"/>
        <v>12761.967187399998</v>
      </c>
      <c r="BL146" s="78">
        <f t="shared" si="51"/>
        <v>12761.967187399998</v>
      </c>
      <c r="BM146" s="78">
        <f t="shared" si="51"/>
        <v>12761.967187399998</v>
      </c>
      <c r="BN146" s="78">
        <f t="shared" si="51"/>
        <v>153143.6062488</v>
      </c>
    </row>
    <row r="147" spans="2:66" x14ac:dyDescent="0.2">
      <c r="B147" s="80"/>
      <c r="C147" s="336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</row>
    <row r="148" spans="2:66" x14ac:dyDescent="0.2">
      <c r="B148" s="80" t="s">
        <v>92</v>
      </c>
    </row>
    <row r="149" spans="2:66" x14ac:dyDescent="0.2">
      <c r="B149" s="76" t="s">
        <v>31</v>
      </c>
      <c r="C149" s="76" t="s">
        <v>32</v>
      </c>
      <c r="J149" s="76">
        <f>Assumptions!J194</f>
        <v>1.75</v>
      </c>
      <c r="K149" s="76">
        <f>Assumptions!K194</f>
        <v>1.75</v>
      </c>
      <c r="L149" s="76">
        <f>Assumptions!L194</f>
        <v>1.75</v>
      </c>
      <c r="M149" s="76">
        <f>Assumptions!M194</f>
        <v>1.75</v>
      </c>
      <c r="N149" s="76">
        <f>Assumptions!N194</f>
        <v>1.75</v>
      </c>
      <c r="O149" s="76">
        <f>Assumptions!O194</f>
        <v>1.75</v>
      </c>
      <c r="P149" s="76">
        <f>Assumptions!P194</f>
        <v>1.75</v>
      </c>
      <c r="Q149" s="76">
        <f>Assumptions!Q194</f>
        <v>1.7867499999999998</v>
      </c>
      <c r="R149" s="76">
        <f>Assumptions!R194</f>
        <v>1.7867499999999998</v>
      </c>
      <c r="S149" s="76">
        <f>Assumptions!S194</f>
        <v>1.7867499999999998</v>
      </c>
      <c r="T149" s="76">
        <f>Assumptions!T194</f>
        <v>1.7867499999999998</v>
      </c>
      <c r="U149" s="76">
        <f>Assumptions!U194</f>
        <v>1.7867499999999998</v>
      </c>
      <c r="V149" s="76">
        <f>Assumptions!V194</f>
        <v>1.7867499999999998</v>
      </c>
      <c r="W149" s="76">
        <f>Assumptions!W194</f>
        <v>1.7867499999999998</v>
      </c>
      <c r="X149" s="76">
        <f>Assumptions!X194</f>
        <v>1.7867499999999998</v>
      </c>
      <c r="Y149" s="76">
        <f>Assumptions!Y194</f>
        <v>1.7867499999999998</v>
      </c>
      <c r="Z149" s="76">
        <f>Assumptions!Z194</f>
        <v>1.7867499999999998</v>
      </c>
      <c r="AA149" s="76">
        <f>Assumptions!AA194</f>
        <v>1.7867499999999998</v>
      </c>
      <c r="AB149" s="76">
        <f>Assumptions!AB194</f>
        <v>1.8224849999999999</v>
      </c>
      <c r="AC149" s="76">
        <f>Assumptions!AC194</f>
        <v>1.8224849999999999</v>
      </c>
      <c r="AD149" s="76">
        <f>Assumptions!AD194</f>
        <v>1.8224849999999999</v>
      </c>
      <c r="AE149" s="76">
        <f>Assumptions!AE194</f>
        <v>1.8224849999999999</v>
      </c>
      <c r="AF149" s="76">
        <f>Assumptions!AF194</f>
        <v>1.8224849999999999</v>
      </c>
      <c r="AG149" s="76">
        <f>Assumptions!AG194</f>
        <v>1.8224849999999999</v>
      </c>
      <c r="AH149" s="76">
        <f>Assumptions!AH194</f>
        <v>1.8224849999999999</v>
      </c>
      <c r="AI149" s="76">
        <f>Assumptions!AI194</f>
        <v>1.8224849999999999</v>
      </c>
      <c r="AJ149" s="76">
        <f>Assumptions!AJ194</f>
        <v>1.8224849999999999</v>
      </c>
      <c r="AK149" s="76">
        <f>Assumptions!AK194</f>
        <v>1.8224849999999999</v>
      </c>
      <c r="AL149" s="76">
        <f>Assumptions!AL194</f>
        <v>1.8224849999999999</v>
      </c>
      <c r="AM149" s="76">
        <f>Assumptions!AM194</f>
        <v>1.8224849999999999</v>
      </c>
      <c r="AN149" s="76">
        <f>Assumptions!AN194</f>
        <v>1.8224849999999999</v>
      </c>
      <c r="AO149" s="76">
        <f>Assumptions!AO194</f>
        <v>1.8589347000000001</v>
      </c>
      <c r="AP149" s="76">
        <f>Assumptions!AP194</f>
        <v>1.8589347000000001</v>
      </c>
      <c r="AQ149" s="76">
        <f>Assumptions!AQ194</f>
        <v>1.8589347000000001</v>
      </c>
      <c r="AR149" s="76">
        <f>Assumptions!AR194</f>
        <v>1.8589347000000001</v>
      </c>
      <c r="AS149" s="76">
        <f>Assumptions!AS194</f>
        <v>1.8589347000000001</v>
      </c>
      <c r="AT149" s="76">
        <f>Assumptions!AT194</f>
        <v>1.8589347000000001</v>
      </c>
      <c r="AU149" s="76">
        <f>Assumptions!AU194</f>
        <v>1.8589347000000001</v>
      </c>
      <c r="AV149" s="76">
        <f>Assumptions!AV194</f>
        <v>1.8589347000000001</v>
      </c>
      <c r="AW149" s="76">
        <f>Assumptions!AW194</f>
        <v>1.8589347000000001</v>
      </c>
      <c r="AX149" s="76">
        <f>Assumptions!AX194</f>
        <v>1.8589347000000001</v>
      </c>
      <c r="AY149" s="76">
        <f>Assumptions!AY194</f>
        <v>1.8589347000000001</v>
      </c>
      <c r="AZ149" s="76">
        <f>Assumptions!AZ194</f>
        <v>1.8589347000000001</v>
      </c>
      <c r="BA149" s="76">
        <f>Assumptions!BA194</f>
        <v>1.8589347000000001</v>
      </c>
      <c r="BB149" s="76">
        <f>Assumptions!BB194</f>
        <v>1.8961133940000001</v>
      </c>
      <c r="BC149" s="76">
        <f>Assumptions!BC194</f>
        <v>1.8961133940000001</v>
      </c>
      <c r="BD149" s="76">
        <f>Assumptions!BD194</f>
        <v>1.8961133940000001</v>
      </c>
      <c r="BE149" s="76">
        <f>Assumptions!BE194</f>
        <v>1.8961133940000001</v>
      </c>
      <c r="BF149" s="76">
        <f>Assumptions!BF194</f>
        <v>1.8961133940000001</v>
      </c>
      <c r="BG149" s="76">
        <f>Assumptions!BG194</f>
        <v>1.8961133940000001</v>
      </c>
      <c r="BH149" s="76">
        <f>Assumptions!BH194</f>
        <v>1.8961133940000001</v>
      </c>
      <c r="BI149" s="76">
        <f>Assumptions!BI194</f>
        <v>1.8961133940000001</v>
      </c>
      <c r="BJ149" s="76">
        <f>Assumptions!BJ194</f>
        <v>1.8961133940000001</v>
      </c>
      <c r="BK149" s="76">
        <f>Assumptions!BK194</f>
        <v>1.8961133940000001</v>
      </c>
      <c r="BL149" s="76">
        <f>Assumptions!BL194</f>
        <v>1.8961133940000001</v>
      </c>
      <c r="BM149" s="76">
        <f>Assumptions!BM194</f>
        <v>1.8961133940000001</v>
      </c>
      <c r="BN149" s="76">
        <f>Assumptions!BN194</f>
        <v>1.8961133940000001</v>
      </c>
    </row>
    <row r="150" spans="2:66" x14ac:dyDescent="0.2">
      <c r="B150" s="76" t="s">
        <v>23</v>
      </c>
      <c r="C150" s="76" t="s">
        <v>28</v>
      </c>
      <c r="J150" s="76">
        <f>Assumptions!J195</f>
        <v>8.1866666666666674</v>
      </c>
      <c r="K150" s="76">
        <f>Assumptions!K195</f>
        <v>12.546666666666667</v>
      </c>
      <c r="L150" s="76">
        <f>Assumptions!L195</f>
        <v>16.920000000000002</v>
      </c>
      <c r="M150" s="76">
        <f>Assumptions!M195</f>
        <v>21.28</v>
      </c>
      <c r="N150" s="76">
        <f>Assumptions!N195</f>
        <v>58.93333333333333</v>
      </c>
      <c r="O150" s="76">
        <f>Assumptions!O195</f>
        <v>25.626666666666665</v>
      </c>
      <c r="P150" s="76">
        <f>Assumptions!P195</f>
        <v>30.000001534881356</v>
      </c>
      <c r="Q150" s="76">
        <f>Assumptions!Q195</f>
        <v>30.000001534881356</v>
      </c>
      <c r="R150" s="76">
        <f>Assumptions!R195</f>
        <v>30.000001534881356</v>
      </c>
      <c r="S150" s="76">
        <f>Assumptions!S195</f>
        <v>30.000001534881356</v>
      </c>
      <c r="T150" s="76">
        <f>Assumptions!T195</f>
        <v>30.000001534881356</v>
      </c>
      <c r="U150" s="76">
        <f>Assumptions!U195</f>
        <v>30.000001534881356</v>
      </c>
      <c r="V150" s="76">
        <f>Assumptions!V195</f>
        <v>30.000001534881356</v>
      </c>
      <c r="W150" s="76">
        <f>Assumptions!W195</f>
        <v>30.000001534881356</v>
      </c>
      <c r="X150" s="76">
        <f>Assumptions!X195</f>
        <v>30.000001534881356</v>
      </c>
      <c r="Y150" s="76">
        <f>Assumptions!Y195</f>
        <v>30.000001534881356</v>
      </c>
      <c r="Z150" s="76">
        <f>Assumptions!Z195</f>
        <v>30.000001534881356</v>
      </c>
      <c r="AA150" s="76">
        <f>Assumptions!AA195</f>
        <v>355.62668355036152</v>
      </c>
      <c r="AB150" s="76">
        <f>Assumptions!AB195</f>
        <v>30.000001534881356</v>
      </c>
      <c r="AC150" s="76">
        <f>Assumptions!AC195</f>
        <v>30.000001534881356</v>
      </c>
      <c r="AD150" s="76">
        <f>Assumptions!AD195</f>
        <v>31.573333333333334</v>
      </c>
      <c r="AE150" s="76">
        <f>Assumptions!AE195</f>
        <v>33.146666666666668</v>
      </c>
      <c r="AF150" s="76">
        <f>Assumptions!AF195</f>
        <v>34.733333333333334</v>
      </c>
      <c r="AG150" s="76">
        <f>Assumptions!AG195</f>
        <v>36.306666666666665</v>
      </c>
      <c r="AH150" s="76">
        <f>Assumptions!AH195</f>
        <v>37.880000000000003</v>
      </c>
      <c r="AI150" s="76">
        <f>Assumptions!AI195</f>
        <v>39.466666666666669</v>
      </c>
      <c r="AJ150" s="76">
        <f>Assumptions!AJ195</f>
        <v>41.04</v>
      </c>
      <c r="AK150" s="76">
        <f>Assumptions!AK195</f>
        <v>42.613333333333337</v>
      </c>
      <c r="AL150" s="76">
        <f>Assumptions!AL195</f>
        <v>44.2</v>
      </c>
      <c r="AM150" s="76">
        <f>Assumptions!AM195</f>
        <v>45.773333333333333</v>
      </c>
      <c r="AN150" s="76">
        <f>Assumptions!AN195</f>
        <v>446.73333640309602</v>
      </c>
      <c r="AO150" s="76">
        <f>Assumptions!AO195</f>
        <v>47.36</v>
      </c>
      <c r="AP150" s="76">
        <f>Assumptions!AP195</f>
        <v>48.93333333333333</v>
      </c>
      <c r="AQ150" s="76">
        <f>Assumptions!AQ195</f>
        <v>50.506666666666668</v>
      </c>
      <c r="AR150" s="76">
        <f>Assumptions!AR195</f>
        <v>52.093333333333334</v>
      </c>
      <c r="AS150" s="76">
        <f>Assumptions!AS195</f>
        <v>53.666666666666664</v>
      </c>
      <c r="AT150" s="76">
        <f>Assumptions!AT195</f>
        <v>55.24</v>
      </c>
      <c r="AU150" s="76">
        <f>Assumptions!AU195</f>
        <v>56.826666666666668</v>
      </c>
      <c r="AV150" s="76">
        <f>Assumptions!AV195</f>
        <v>60.000002232554664</v>
      </c>
      <c r="AW150" s="76">
        <f>Assumptions!AW195</f>
        <v>60.000002232554664</v>
      </c>
      <c r="AX150" s="76">
        <f>Assumptions!AX195</f>
        <v>60.000002232554664</v>
      </c>
      <c r="AY150" s="76">
        <f>Assumptions!AY195</f>
        <v>60.000002232554664</v>
      </c>
      <c r="AZ150" s="76">
        <f>Assumptions!AZ195</f>
        <v>60.000002232554664</v>
      </c>
      <c r="BA150" s="76">
        <f>Assumptions!BA195</f>
        <v>664.62667782943981</v>
      </c>
      <c r="BB150" s="76">
        <f>Assumptions!BB195</f>
        <v>55.385556485786658</v>
      </c>
      <c r="BC150" s="76">
        <f>Assumptions!BC195</f>
        <v>55.385556485786658</v>
      </c>
      <c r="BD150" s="76">
        <f>Assumptions!BD195</f>
        <v>55.385556485786658</v>
      </c>
      <c r="BE150" s="76">
        <f>Assumptions!BE195</f>
        <v>55.385556485786658</v>
      </c>
      <c r="BF150" s="76">
        <f>Assumptions!BF195</f>
        <v>55.385556485786658</v>
      </c>
      <c r="BG150" s="76">
        <f>Assumptions!BG195</f>
        <v>55.385556485786658</v>
      </c>
      <c r="BH150" s="76">
        <f>Assumptions!BH195</f>
        <v>55.385556485786658</v>
      </c>
      <c r="BI150" s="76">
        <f>Assumptions!BI195</f>
        <v>55.385556485786658</v>
      </c>
      <c r="BJ150" s="76">
        <f>Assumptions!BJ195</f>
        <v>55.385556485786658</v>
      </c>
      <c r="BK150" s="76">
        <f>Assumptions!BK195</f>
        <v>55.385556485786658</v>
      </c>
      <c r="BL150" s="76">
        <f>Assumptions!BL195</f>
        <v>55.385556485786658</v>
      </c>
      <c r="BM150" s="76">
        <f>Assumptions!BM195</f>
        <v>55.385556485786658</v>
      </c>
      <c r="BN150" s="76">
        <f>Assumptions!BN195</f>
        <v>664.62667782943981</v>
      </c>
    </row>
    <row r="151" spans="2:66" hidden="1" x14ac:dyDescent="0.2">
      <c r="B151" s="76" t="s">
        <v>42</v>
      </c>
      <c r="C151" s="76" t="s">
        <v>49</v>
      </c>
      <c r="J151" s="76">
        <f>Assumptions!J196</f>
        <v>0</v>
      </c>
      <c r="K151" s="76">
        <f>Assumptions!K196</f>
        <v>0</v>
      </c>
      <c r="L151" s="76">
        <f>Assumptions!L196</f>
        <v>0</v>
      </c>
      <c r="M151" s="76">
        <f>Assumptions!M196</f>
        <v>0</v>
      </c>
      <c r="N151" s="76">
        <f>Assumptions!N196</f>
        <v>0</v>
      </c>
      <c r="O151" s="76">
        <f>Assumptions!O196</f>
        <v>0</v>
      </c>
      <c r="P151" s="76">
        <f>Assumptions!P196</f>
        <v>0</v>
      </c>
      <c r="Q151" s="76">
        <f>Assumptions!Q196</f>
        <v>0</v>
      </c>
      <c r="R151" s="76">
        <f>Assumptions!R196</f>
        <v>0</v>
      </c>
      <c r="S151" s="76">
        <f>Assumptions!S196</f>
        <v>0</v>
      </c>
      <c r="T151" s="76">
        <f>Assumptions!T196</f>
        <v>0</v>
      </c>
      <c r="U151" s="76">
        <f>Assumptions!U196</f>
        <v>0</v>
      </c>
      <c r="V151" s="76">
        <f>Assumptions!V196</f>
        <v>0</v>
      </c>
      <c r="W151" s="76">
        <f>Assumptions!W196</f>
        <v>0</v>
      </c>
      <c r="X151" s="76">
        <f>Assumptions!X196</f>
        <v>0</v>
      </c>
      <c r="Y151" s="76">
        <f>Assumptions!Y196</f>
        <v>0</v>
      </c>
      <c r="Z151" s="76">
        <f>Assumptions!Z196</f>
        <v>0</v>
      </c>
      <c r="AA151" s="76">
        <f>Assumptions!AA196</f>
        <v>0</v>
      </c>
      <c r="AB151" s="76">
        <f>Assumptions!AB196</f>
        <v>0</v>
      </c>
      <c r="AC151" s="76">
        <f>Assumptions!AC196</f>
        <v>0</v>
      </c>
      <c r="AD151" s="76">
        <f>Assumptions!AD196</f>
        <v>0</v>
      </c>
      <c r="AE151" s="76">
        <f>Assumptions!AE196</f>
        <v>0</v>
      </c>
      <c r="AF151" s="76">
        <f>Assumptions!AF196</f>
        <v>0</v>
      </c>
      <c r="AG151" s="76">
        <f>Assumptions!AG196</f>
        <v>0</v>
      </c>
      <c r="AH151" s="76">
        <f>Assumptions!AH196</f>
        <v>0</v>
      </c>
      <c r="AI151" s="76">
        <f>Assumptions!AI196</f>
        <v>0</v>
      </c>
      <c r="AJ151" s="76">
        <f>Assumptions!AJ196</f>
        <v>0</v>
      </c>
      <c r="AK151" s="76">
        <f>Assumptions!AK196</f>
        <v>0</v>
      </c>
      <c r="AL151" s="76">
        <f>Assumptions!AL196</f>
        <v>0</v>
      </c>
      <c r="AM151" s="76">
        <f>Assumptions!AM196</f>
        <v>0</v>
      </c>
      <c r="AN151" s="76">
        <f>Assumptions!AN196</f>
        <v>0</v>
      </c>
      <c r="AO151" s="76">
        <f>Assumptions!AO196</f>
        <v>0</v>
      </c>
      <c r="AP151" s="76">
        <f>Assumptions!AP196</f>
        <v>0</v>
      </c>
      <c r="AQ151" s="76">
        <f>Assumptions!AQ196</f>
        <v>0</v>
      </c>
      <c r="AR151" s="76">
        <f>Assumptions!AR196</f>
        <v>0</v>
      </c>
      <c r="AS151" s="76">
        <f>Assumptions!AS196</f>
        <v>0</v>
      </c>
      <c r="AT151" s="76">
        <f>Assumptions!AT196</f>
        <v>0</v>
      </c>
      <c r="AU151" s="76">
        <f>Assumptions!AU196</f>
        <v>0</v>
      </c>
      <c r="AV151" s="76">
        <f>Assumptions!AV196</f>
        <v>0</v>
      </c>
      <c r="AW151" s="76">
        <f>Assumptions!AW196</f>
        <v>0</v>
      </c>
      <c r="AX151" s="76">
        <f>Assumptions!AX196</f>
        <v>0</v>
      </c>
      <c r="AY151" s="76">
        <f>Assumptions!AY196</f>
        <v>0</v>
      </c>
      <c r="AZ151" s="76">
        <f>Assumptions!AZ196</f>
        <v>0</v>
      </c>
      <c r="BA151" s="76">
        <f>Assumptions!BA196</f>
        <v>0</v>
      </c>
      <c r="BB151" s="76">
        <f>Assumptions!BB196</f>
        <v>0</v>
      </c>
      <c r="BC151" s="76">
        <f>Assumptions!BC196</f>
        <v>0</v>
      </c>
      <c r="BD151" s="76">
        <f>Assumptions!BD196</f>
        <v>0</v>
      </c>
      <c r="BE151" s="76">
        <f>Assumptions!BE196</f>
        <v>0</v>
      </c>
      <c r="BF151" s="76">
        <f>Assumptions!BF196</f>
        <v>0</v>
      </c>
      <c r="BG151" s="76">
        <f>Assumptions!BG196</f>
        <v>0</v>
      </c>
      <c r="BH151" s="76">
        <f>Assumptions!BH196</f>
        <v>0</v>
      </c>
      <c r="BI151" s="76">
        <f>Assumptions!BI196</f>
        <v>0</v>
      </c>
      <c r="BJ151" s="76">
        <f>Assumptions!BJ196</f>
        <v>0</v>
      </c>
      <c r="BK151" s="76">
        <f>Assumptions!BK196</f>
        <v>0</v>
      </c>
      <c r="BL151" s="76">
        <f>Assumptions!BL196</f>
        <v>0</v>
      </c>
      <c r="BM151" s="76">
        <f>Assumptions!BM196</f>
        <v>0</v>
      </c>
      <c r="BN151" s="76">
        <f>Assumptions!BN196</f>
        <v>0</v>
      </c>
    </row>
    <row r="152" spans="2:66" hidden="1" x14ac:dyDescent="0.2">
      <c r="B152" s="76" t="s">
        <v>43</v>
      </c>
      <c r="C152" s="76" t="s">
        <v>35</v>
      </c>
      <c r="J152" s="76">
        <f>Assumptions!J197</f>
        <v>30</v>
      </c>
      <c r="K152" s="76">
        <f>Assumptions!K197</f>
        <v>31</v>
      </c>
      <c r="L152" s="76">
        <f>Assumptions!L197</f>
        <v>30</v>
      </c>
      <c r="M152" s="76">
        <f>Assumptions!M197</f>
        <v>31</v>
      </c>
      <c r="N152" s="76">
        <f>Assumptions!N197</f>
        <v>30.571428571428573</v>
      </c>
      <c r="O152" s="76">
        <f>Assumptions!O197</f>
        <v>31</v>
      </c>
      <c r="P152" s="76">
        <f>Assumptions!P197</f>
        <v>28</v>
      </c>
      <c r="Q152" s="76">
        <f>Assumptions!Q197</f>
        <v>31</v>
      </c>
      <c r="R152" s="76">
        <f>Assumptions!R197</f>
        <v>30</v>
      </c>
      <c r="S152" s="76">
        <f>Assumptions!S197</f>
        <v>31</v>
      </c>
      <c r="T152" s="76">
        <f>Assumptions!T197</f>
        <v>30</v>
      </c>
      <c r="U152" s="76">
        <f>Assumptions!U197</f>
        <v>31</v>
      </c>
      <c r="V152" s="76">
        <f>Assumptions!V197</f>
        <v>31</v>
      </c>
      <c r="W152" s="76">
        <f>Assumptions!W197</f>
        <v>30</v>
      </c>
      <c r="X152" s="76">
        <f>Assumptions!X197</f>
        <v>31</v>
      </c>
      <c r="Y152" s="76">
        <f>Assumptions!Y197</f>
        <v>30</v>
      </c>
      <c r="Z152" s="76">
        <f>Assumptions!Z197</f>
        <v>31</v>
      </c>
      <c r="AA152" s="76">
        <f>Assumptions!AA197</f>
        <v>30.416666666666668</v>
      </c>
      <c r="AB152" s="76">
        <f>Assumptions!AB197</f>
        <v>31</v>
      </c>
      <c r="AC152" s="76">
        <f>Assumptions!AC197</f>
        <v>28</v>
      </c>
      <c r="AD152" s="76">
        <f>Assumptions!AD197</f>
        <v>31</v>
      </c>
      <c r="AE152" s="76">
        <f>Assumptions!AE197</f>
        <v>30</v>
      </c>
      <c r="AF152" s="76">
        <f>Assumptions!AF197</f>
        <v>31</v>
      </c>
      <c r="AG152" s="76">
        <f>Assumptions!AG197</f>
        <v>30</v>
      </c>
      <c r="AH152" s="76">
        <f>Assumptions!AH197</f>
        <v>31</v>
      </c>
      <c r="AI152" s="76">
        <f>Assumptions!AI197</f>
        <v>31</v>
      </c>
      <c r="AJ152" s="76">
        <f>Assumptions!AJ197</f>
        <v>30</v>
      </c>
      <c r="AK152" s="76">
        <f>Assumptions!AK197</f>
        <v>31</v>
      </c>
      <c r="AL152" s="76">
        <f>Assumptions!AL197</f>
        <v>30</v>
      </c>
      <c r="AM152" s="76">
        <f>Assumptions!AM197</f>
        <v>31</v>
      </c>
      <c r="AN152" s="76">
        <f>Assumptions!AN197</f>
        <v>30.416666666666668</v>
      </c>
      <c r="AO152" s="76">
        <f>Assumptions!AO197</f>
        <v>31</v>
      </c>
      <c r="AP152" s="76">
        <f>Assumptions!AP197</f>
        <v>29</v>
      </c>
      <c r="AQ152" s="76">
        <f>Assumptions!AQ197</f>
        <v>31</v>
      </c>
      <c r="AR152" s="76">
        <f>Assumptions!AR197</f>
        <v>30</v>
      </c>
      <c r="AS152" s="76">
        <f>Assumptions!AS197</f>
        <v>31</v>
      </c>
      <c r="AT152" s="76">
        <f>Assumptions!AT197</f>
        <v>30</v>
      </c>
      <c r="AU152" s="76">
        <f>Assumptions!AU197</f>
        <v>31</v>
      </c>
      <c r="AV152" s="76">
        <f>Assumptions!AV197</f>
        <v>31</v>
      </c>
      <c r="AW152" s="76">
        <f>Assumptions!AW197</f>
        <v>30</v>
      </c>
      <c r="AX152" s="76">
        <f>Assumptions!AX197</f>
        <v>31</v>
      </c>
      <c r="AY152" s="76">
        <f>Assumptions!AY197</f>
        <v>30</v>
      </c>
      <c r="AZ152" s="76">
        <f>Assumptions!AZ197</f>
        <v>31</v>
      </c>
      <c r="BA152" s="76">
        <f>Assumptions!BA197</f>
        <v>30.5</v>
      </c>
      <c r="BB152" s="76">
        <f>Assumptions!BB197</f>
        <v>31</v>
      </c>
      <c r="BC152" s="76">
        <f>Assumptions!BC197</f>
        <v>28</v>
      </c>
      <c r="BD152" s="76">
        <f>Assumptions!BD197</f>
        <v>31</v>
      </c>
      <c r="BE152" s="76">
        <f>Assumptions!BE197</f>
        <v>30</v>
      </c>
      <c r="BF152" s="76">
        <f>Assumptions!BF197</f>
        <v>31</v>
      </c>
      <c r="BG152" s="76">
        <f>Assumptions!BG197</f>
        <v>30</v>
      </c>
      <c r="BH152" s="76">
        <f>Assumptions!BH197</f>
        <v>31</v>
      </c>
      <c r="BI152" s="76">
        <f>Assumptions!BI197</f>
        <v>31</v>
      </c>
      <c r="BJ152" s="76">
        <f>Assumptions!BJ197</f>
        <v>30</v>
      </c>
      <c r="BK152" s="76">
        <f>Assumptions!BK197</f>
        <v>31</v>
      </c>
      <c r="BL152" s="76">
        <f>Assumptions!BL197</f>
        <v>30</v>
      </c>
      <c r="BM152" s="76">
        <f>Assumptions!BM197</f>
        <v>31</v>
      </c>
      <c r="BN152" s="76">
        <f>Assumptions!BN197</f>
        <v>30.416666666666668</v>
      </c>
    </row>
    <row r="153" spans="2:66" x14ac:dyDescent="0.2">
      <c r="B153" s="78" t="s">
        <v>96</v>
      </c>
      <c r="C153" s="334" t="s">
        <v>78</v>
      </c>
      <c r="D153" s="78"/>
      <c r="E153" s="78"/>
      <c r="F153" s="78"/>
      <c r="G153" s="78"/>
      <c r="H153" s="78"/>
      <c r="I153" s="78"/>
      <c r="J153" s="78">
        <f>J150*J149</f>
        <v>14.326666666666668</v>
      </c>
      <c r="K153" s="78">
        <f>K150*K149</f>
        <v>21.956666666666667</v>
      </c>
      <c r="L153" s="78">
        <f>L150*L149</f>
        <v>29.610000000000003</v>
      </c>
      <c r="M153" s="78">
        <f>M150*M149</f>
        <v>37.24</v>
      </c>
      <c r="N153" s="78">
        <f>SUM(G153:M153)</f>
        <v>103.13333333333333</v>
      </c>
      <c r="O153" s="78">
        <f t="shared" ref="O153:AZ153" si="52">O150*O149</f>
        <v>44.846666666666664</v>
      </c>
      <c r="P153" s="78">
        <f t="shared" si="52"/>
        <v>52.500002686042372</v>
      </c>
      <c r="Q153" s="78">
        <f t="shared" si="52"/>
        <v>53.602502742449261</v>
      </c>
      <c r="R153" s="78">
        <f t="shared" si="52"/>
        <v>53.602502742449261</v>
      </c>
      <c r="S153" s="78">
        <f t="shared" si="52"/>
        <v>53.602502742449261</v>
      </c>
      <c r="T153" s="78">
        <f t="shared" si="52"/>
        <v>53.602502742449261</v>
      </c>
      <c r="U153" s="78">
        <f t="shared" si="52"/>
        <v>53.602502742449261</v>
      </c>
      <c r="V153" s="78">
        <f t="shared" si="52"/>
        <v>53.602502742449261</v>
      </c>
      <c r="W153" s="78">
        <f t="shared" si="52"/>
        <v>53.602502742449261</v>
      </c>
      <c r="X153" s="78">
        <f t="shared" si="52"/>
        <v>53.602502742449261</v>
      </c>
      <c r="Y153" s="78">
        <f t="shared" si="52"/>
        <v>53.602502742449261</v>
      </c>
      <c r="Z153" s="78">
        <f t="shared" si="52"/>
        <v>53.602502742449261</v>
      </c>
      <c r="AA153" s="78">
        <f>SUM(O153:Z153)</f>
        <v>633.37169677720158</v>
      </c>
      <c r="AB153" s="78">
        <f t="shared" si="52"/>
        <v>54.674552797298247</v>
      </c>
      <c r="AC153" s="78">
        <f t="shared" si="52"/>
        <v>54.674552797298247</v>
      </c>
      <c r="AD153" s="78">
        <f t="shared" si="52"/>
        <v>57.541926400000001</v>
      </c>
      <c r="AE153" s="78">
        <f t="shared" si="52"/>
        <v>60.409302799999999</v>
      </c>
      <c r="AF153" s="78">
        <f t="shared" si="52"/>
        <v>63.300978999999998</v>
      </c>
      <c r="AG153" s="78">
        <f t="shared" si="52"/>
        <v>66.168355399999996</v>
      </c>
      <c r="AH153" s="78">
        <f t="shared" si="52"/>
        <v>69.035731800000008</v>
      </c>
      <c r="AI153" s="78">
        <f t="shared" si="52"/>
        <v>71.927408</v>
      </c>
      <c r="AJ153" s="78">
        <f t="shared" si="52"/>
        <v>74.794784399999998</v>
      </c>
      <c r="AK153" s="78">
        <f t="shared" si="52"/>
        <v>77.662160800000009</v>
      </c>
      <c r="AL153" s="78">
        <f t="shared" si="52"/>
        <v>80.553837000000001</v>
      </c>
      <c r="AM153" s="78">
        <f t="shared" si="52"/>
        <v>83.421213399999999</v>
      </c>
      <c r="AN153" s="78">
        <f>SUM(AB153:AM153)</f>
        <v>814.16480459459649</v>
      </c>
      <c r="AO153" s="78">
        <f t="shared" si="52"/>
        <v>88.039147392000004</v>
      </c>
      <c r="AP153" s="78">
        <f t="shared" si="52"/>
        <v>90.963871319999996</v>
      </c>
      <c r="AQ153" s="78">
        <f t="shared" si="52"/>
        <v>93.888595248000001</v>
      </c>
      <c r="AR153" s="78">
        <f t="shared" si="52"/>
        <v>96.838104971999996</v>
      </c>
      <c r="AS153" s="78">
        <f t="shared" si="52"/>
        <v>99.762828900000002</v>
      </c>
      <c r="AT153" s="78">
        <f t="shared" si="52"/>
        <v>102.68755282800001</v>
      </c>
      <c r="AU153" s="78">
        <f t="shared" si="52"/>
        <v>105.637062552</v>
      </c>
      <c r="AV153" s="78">
        <f t="shared" si="52"/>
        <v>111.53608615017333</v>
      </c>
      <c r="AW153" s="78">
        <f t="shared" si="52"/>
        <v>111.53608615017333</v>
      </c>
      <c r="AX153" s="78">
        <f t="shared" si="52"/>
        <v>111.53608615017333</v>
      </c>
      <c r="AY153" s="78">
        <f t="shared" si="52"/>
        <v>111.53608615017333</v>
      </c>
      <c r="AZ153" s="78">
        <f t="shared" si="52"/>
        <v>111.53608615017333</v>
      </c>
      <c r="BA153" s="78">
        <f>SUM(AO153:AZ153)</f>
        <v>1235.4975939628666</v>
      </c>
      <c r="BB153" s="78">
        <f>IF(SUM($G$152:BB152)&lt;=BB151,0,BB150*BB149)</f>
        <v>105.01729548684366</v>
      </c>
      <c r="BC153" s="78">
        <f>IF(SUM($G$152:BC152)&lt;=BC151,0,BC150*BC149)</f>
        <v>105.01729548684366</v>
      </c>
      <c r="BD153" s="78">
        <f>IF(SUM($G$152:BD152)&lt;=BD151,0,BD150*BD149)</f>
        <v>105.01729548684366</v>
      </c>
      <c r="BE153" s="78">
        <f>IF(SUM($G$152:BE152)&lt;=BE151,0,BE150*BE149)</f>
        <v>105.01729548684366</v>
      </c>
      <c r="BF153" s="78">
        <f>IF(SUM($G$152:BF152)&lt;=BF151,0,BF150*BF149)</f>
        <v>105.01729548684366</v>
      </c>
      <c r="BG153" s="78">
        <f>IF(SUM($G$152:BG152)&lt;=BG151,0,BG150*BG149)</f>
        <v>105.01729548684366</v>
      </c>
      <c r="BH153" s="78">
        <f>IF(SUM($G$152:BH152)&lt;=BH151,0,BH150*BH149)</f>
        <v>105.01729548684366</v>
      </c>
      <c r="BI153" s="78">
        <f>IF(SUM($G$152:BI152)&lt;=BI151,0,BI150*BI149)</f>
        <v>105.01729548684366</v>
      </c>
      <c r="BJ153" s="78">
        <f>IF(SUM($G$152:BJ152)&lt;=BJ151,0,BJ150*BJ149)</f>
        <v>105.01729548684366</v>
      </c>
      <c r="BK153" s="78">
        <f>IF(SUM($G$152:BK152)&lt;=BK151,0,BK150*BK149)</f>
        <v>105.01729548684366</v>
      </c>
      <c r="BL153" s="78">
        <f>IF(SUM($G$152:BL152)&lt;=BL151,0,BL150*BL149)</f>
        <v>105.01729548684366</v>
      </c>
      <c r="BM153" s="78">
        <f>IF(SUM($G$152:BM152)&lt;=BM151,0,BM150*BM149)</f>
        <v>105.01729548684366</v>
      </c>
      <c r="BN153" s="78">
        <f>SUM(BB153:BM153)</f>
        <v>1260.2075458421241</v>
      </c>
    </row>
    <row r="154" spans="2:66" x14ac:dyDescent="0.2">
      <c r="B154" s="80"/>
      <c r="C154" s="336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</row>
    <row r="155" spans="2:66" x14ac:dyDescent="0.2">
      <c r="B155" s="80" t="s">
        <v>93</v>
      </c>
    </row>
    <row r="156" spans="2:66" x14ac:dyDescent="0.2">
      <c r="B156" s="76" t="s">
        <v>31</v>
      </c>
      <c r="C156" s="76" t="s">
        <v>32</v>
      </c>
      <c r="J156" s="76">
        <f t="shared" ref="J156:BN156" si="53">J149</f>
        <v>1.75</v>
      </c>
      <c r="K156" s="76">
        <f t="shared" si="53"/>
        <v>1.75</v>
      </c>
      <c r="L156" s="76">
        <f t="shared" si="53"/>
        <v>1.75</v>
      </c>
      <c r="M156" s="76">
        <f t="shared" si="53"/>
        <v>1.75</v>
      </c>
      <c r="N156" s="76">
        <f t="shared" si="53"/>
        <v>1.75</v>
      </c>
      <c r="O156" s="76">
        <f t="shared" si="53"/>
        <v>1.75</v>
      </c>
      <c r="P156" s="76">
        <f t="shared" si="53"/>
        <v>1.75</v>
      </c>
      <c r="Q156" s="76">
        <f t="shared" si="53"/>
        <v>1.7867499999999998</v>
      </c>
      <c r="R156" s="76">
        <f t="shared" si="53"/>
        <v>1.7867499999999998</v>
      </c>
      <c r="S156" s="76">
        <f t="shared" si="53"/>
        <v>1.7867499999999998</v>
      </c>
      <c r="T156" s="76">
        <f t="shared" si="53"/>
        <v>1.7867499999999998</v>
      </c>
      <c r="U156" s="76">
        <f t="shared" si="53"/>
        <v>1.7867499999999998</v>
      </c>
      <c r="V156" s="76">
        <f t="shared" si="53"/>
        <v>1.7867499999999998</v>
      </c>
      <c r="W156" s="76">
        <f t="shared" si="53"/>
        <v>1.7867499999999998</v>
      </c>
      <c r="X156" s="76">
        <f t="shared" si="53"/>
        <v>1.7867499999999998</v>
      </c>
      <c r="Y156" s="76">
        <f t="shared" si="53"/>
        <v>1.7867499999999998</v>
      </c>
      <c r="Z156" s="76">
        <f t="shared" si="53"/>
        <v>1.7867499999999998</v>
      </c>
      <c r="AA156" s="76">
        <f t="shared" si="53"/>
        <v>1.7867499999999998</v>
      </c>
      <c r="AB156" s="76">
        <f t="shared" si="53"/>
        <v>1.8224849999999999</v>
      </c>
      <c r="AC156" s="76">
        <f t="shared" si="53"/>
        <v>1.8224849999999999</v>
      </c>
      <c r="AD156" s="76">
        <f t="shared" si="53"/>
        <v>1.8224849999999999</v>
      </c>
      <c r="AE156" s="76">
        <f t="shared" si="53"/>
        <v>1.8224849999999999</v>
      </c>
      <c r="AF156" s="76">
        <f t="shared" si="53"/>
        <v>1.8224849999999999</v>
      </c>
      <c r="AG156" s="76">
        <f t="shared" si="53"/>
        <v>1.8224849999999999</v>
      </c>
      <c r="AH156" s="76">
        <f t="shared" si="53"/>
        <v>1.8224849999999999</v>
      </c>
      <c r="AI156" s="76">
        <f t="shared" si="53"/>
        <v>1.8224849999999999</v>
      </c>
      <c r="AJ156" s="76">
        <f t="shared" si="53"/>
        <v>1.8224849999999999</v>
      </c>
      <c r="AK156" s="76">
        <f t="shared" si="53"/>
        <v>1.8224849999999999</v>
      </c>
      <c r="AL156" s="76">
        <f t="shared" si="53"/>
        <v>1.8224849999999999</v>
      </c>
      <c r="AM156" s="76">
        <f t="shared" si="53"/>
        <v>1.8224849999999999</v>
      </c>
      <c r="AN156" s="76">
        <f t="shared" si="53"/>
        <v>1.8224849999999999</v>
      </c>
      <c r="AO156" s="76">
        <f t="shared" si="53"/>
        <v>1.8589347000000001</v>
      </c>
      <c r="AP156" s="76">
        <f t="shared" si="53"/>
        <v>1.8589347000000001</v>
      </c>
      <c r="AQ156" s="76">
        <f t="shared" si="53"/>
        <v>1.8589347000000001</v>
      </c>
      <c r="AR156" s="76">
        <f t="shared" si="53"/>
        <v>1.8589347000000001</v>
      </c>
      <c r="AS156" s="76">
        <f t="shared" si="53"/>
        <v>1.8589347000000001</v>
      </c>
      <c r="AT156" s="76">
        <f t="shared" si="53"/>
        <v>1.8589347000000001</v>
      </c>
      <c r="AU156" s="76">
        <f t="shared" si="53"/>
        <v>1.8589347000000001</v>
      </c>
      <c r="AV156" s="76">
        <f t="shared" si="53"/>
        <v>1.8589347000000001</v>
      </c>
      <c r="AW156" s="76">
        <f t="shared" si="53"/>
        <v>1.8589347000000001</v>
      </c>
      <c r="AX156" s="76">
        <f t="shared" si="53"/>
        <v>1.8589347000000001</v>
      </c>
      <c r="AY156" s="76">
        <f t="shared" si="53"/>
        <v>1.8589347000000001</v>
      </c>
      <c r="AZ156" s="76">
        <f t="shared" si="53"/>
        <v>1.8589347000000001</v>
      </c>
      <c r="BA156" s="76">
        <f t="shared" si="53"/>
        <v>1.8589347000000001</v>
      </c>
      <c r="BB156" s="76">
        <f t="shared" si="53"/>
        <v>1.8961133940000001</v>
      </c>
      <c r="BC156" s="76">
        <f t="shared" si="53"/>
        <v>1.8961133940000001</v>
      </c>
      <c r="BD156" s="76">
        <f t="shared" si="53"/>
        <v>1.8961133940000001</v>
      </c>
      <c r="BE156" s="76">
        <f t="shared" si="53"/>
        <v>1.8961133940000001</v>
      </c>
      <c r="BF156" s="76">
        <f t="shared" si="53"/>
        <v>1.8961133940000001</v>
      </c>
      <c r="BG156" s="76">
        <f t="shared" si="53"/>
        <v>1.8961133940000001</v>
      </c>
      <c r="BH156" s="76">
        <f t="shared" si="53"/>
        <v>1.8961133940000001</v>
      </c>
      <c r="BI156" s="76">
        <f t="shared" si="53"/>
        <v>1.8961133940000001</v>
      </c>
      <c r="BJ156" s="76">
        <f t="shared" si="53"/>
        <v>1.8961133940000001</v>
      </c>
      <c r="BK156" s="76">
        <f t="shared" si="53"/>
        <v>1.8961133940000001</v>
      </c>
      <c r="BL156" s="76">
        <f t="shared" si="53"/>
        <v>1.8961133940000001</v>
      </c>
      <c r="BM156" s="76">
        <f t="shared" si="53"/>
        <v>1.8961133940000001</v>
      </c>
      <c r="BN156" s="76">
        <f t="shared" si="53"/>
        <v>1.8961133940000001</v>
      </c>
    </row>
    <row r="157" spans="2:66" x14ac:dyDescent="0.2">
      <c r="B157" s="76" t="s">
        <v>23</v>
      </c>
      <c r="C157" s="76" t="s">
        <v>28</v>
      </c>
      <c r="J157" s="76">
        <f t="shared" ref="J157:BN157" si="54">J121</f>
        <v>10.906666666666666</v>
      </c>
      <c r="K157" s="76">
        <f t="shared" si="54"/>
        <v>16.733333333333334</v>
      </c>
      <c r="L157" s="76">
        <f t="shared" si="54"/>
        <v>22.546666666666667</v>
      </c>
      <c r="M157" s="76">
        <f t="shared" si="54"/>
        <v>28.373333333333335</v>
      </c>
      <c r="N157" s="76">
        <f t="shared" si="54"/>
        <v>78.56</v>
      </c>
      <c r="O157" s="76">
        <f t="shared" si="54"/>
        <v>34.186666666666667</v>
      </c>
      <c r="P157" s="76">
        <f t="shared" si="54"/>
        <v>40</v>
      </c>
      <c r="Q157" s="76">
        <f t="shared" si="54"/>
        <v>40</v>
      </c>
      <c r="R157" s="76">
        <f t="shared" si="54"/>
        <v>40</v>
      </c>
      <c r="S157" s="76">
        <f t="shared" si="54"/>
        <v>40</v>
      </c>
      <c r="T157" s="76">
        <f t="shared" si="54"/>
        <v>40</v>
      </c>
      <c r="U157" s="76">
        <f t="shared" si="54"/>
        <v>40</v>
      </c>
      <c r="V157" s="76">
        <f t="shared" si="54"/>
        <v>40</v>
      </c>
      <c r="W157" s="76">
        <f t="shared" si="54"/>
        <v>40</v>
      </c>
      <c r="X157" s="76">
        <f t="shared" si="54"/>
        <v>40</v>
      </c>
      <c r="Y157" s="76">
        <f t="shared" si="54"/>
        <v>40</v>
      </c>
      <c r="Z157" s="76">
        <f t="shared" si="54"/>
        <v>40</v>
      </c>
      <c r="AA157" s="76">
        <f t="shared" si="54"/>
        <v>474.18666666666667</v>
      </c>
      <c r="AB157" s="76">
        <f t="shared" si="54"/>
        <v>40</v>
      </c>
      <c r="AC157" s="76">
        <f t="shared" si="54"/>
        <v>40</v>
      </c>
      <c r="AD157" s="76">
        <f t="shared" si="54"/>
        <v>42.106666666666669</v>
      </c>
      <c r="AE157" s="76">
        <f t="shared" si="54"/>
        <v>44.213333333333331</v>
      </c>
      <c r="AF157" s="76">
        <f t="shared" si="54"/>
        <v>46.32</v>
      </c>
      <c r="AG157" s="76">
        <f t="shared" si="54"/>
        <v>48.426666666666669</v>
      </c>
      <c r="AH157" s="76">
        <f t="shared" si="54"/>
        <v>50.533333333333331</v>
      </c>
      <c r="AI157" s="76">
        <f t="shared" si="54"/>
        <v>52.626666666666665</v>
      </c>
      <c r="AJ157" s="76">
        <f t="shared" si="54"/>
        <v>54.733333333333334</v>
      </c>
      <c r="AK157" s="76">
        <f t="shared" si="54"/>
        <v>56.84</v>
      </c>
      <c r="AL157" s="76">
        <f t="shared" si="54"/>
        <v>58.93333333333333</v>
      </c>
      <c r="AM157" s="76">
        <f t="shared" si="54"/>
        <v>61.04</v>
      </c>
      <c r="AN157" s="76">
        <f t="shared" si="54"/>
        <v>595.77333333333331</v>
      </c>
      <c r="AO157" s="76">
        <f t="shared" si="54"/>
        <v>63.146666666666668</v>
      </c>
      <c r="AP157" s="76">
        <f t="shared" si="54"/>
        <v>65.25333333333333</v>
      </c>
      <c r="AQ157" s="76">
        <f t="shared" si="54"/>
        <v>67.36</v>
      </c>
      <c r="AR157" s="76">
        <f t="shared" si="54"/>
        <v>69.466666666666669</v>
      </c>
      <c r="AS157" s="76">
        <f t="shared" si="54"/>
        <v>71.573333333333338</v>
      </c>
      <c r="AT157" s="76">
        <f t="shared" si="54"/>
        <v>73.680000000000007</v>
      </c>
      <c r="AU157" s="76">
        <f t="shared" si="54"/>
        <v>75.773333333333326</v>
      </c>
      <c r="AV157" s="76">
        <f t="shared" si="54"/>
        <v>79.999998883722668</v>
      </c>
      <c r="AW157" s="76">
        <f t="shared" si="54"/>
        <v>79.999998883722668</v>
      </c>
      <c r="AX157" s="76">
        <f t="shared" si="54"/>
        <v>79.999998883722668</v>
      </c>
      <c r="AY157" s="76">
        <f t="shared" si="54"/>
        <v>79.999998883722668</v>
      </c>
      <c r="AZ157" s="76">
        <f t="shared" si="54"/>
        <v>79.999998883722668</v>
      </c>
      <c r="BA157" s="76">
        <f t="shared" si="54"/>
        <v>886.25332775194659</v>
      </c>
      <c r="BB157" s="76">
        <f t="shared" si="54"/>
        <v>73.854443979328892</v>
      </c>
      <c r="BC157" s="76">
        <f t="shared" si="54"/>
        <v>73.854443979328892</v>
      </c>
      <c r="BD157" s="76">
        <f t="shared" si="54"/>
        <v>73.854443979328892</v>
      </c>
      <c r="BE157" s="76">
        <f t="shared" si="54"/>
        <v>73.854443979328892</v>
      </c>
      <c r="BF157" s="76">
        <f t="shared" si="54"/>
        <v>73.854443979328892</v>
      </c>
      <c r="BG157" s="76">
        <f t="shared" si="54"/>
        <v>73.854443979328892</v>
      </c>
      <c r="BH157" s="76">
        <f t="shared" si="54"/>
        <v>73.854443979328892</v>
      </c>
      <c r="BI157" s="76">
        <f t="shared" si="54"/>
        <v>73.854443979328892</v>
      </c>
      <c r="BJ157" s="76">
        <f t="shared" si="54"/>
        <v>73.854443979328892</v>
      </c>
      <c r="BK157" s="76">
        <f t="shared" si="54"/>
        <v>73.854443979328892</v>
      </c>
      <c r="BL157" s="76">
        <f t="shared" si="54"/>
        <v>73.854443979328892</v>
      </c>
      <c r="BM157" s="76">
        <f t="shared" si="54"/>
        <v>73.854443979328892</v>
      </c>
      <c r="BN157" s="76">
        <f t="shared" si="54"/>
        <v>886.25332775194659</v>
      </c>
    </row>
    <row r="158" spans="2:66" hidden="1" x14ac:dyDescent="0.2">
      <c r="B158" s="76" t="s">
        <v>42</v>
      </c>
      <c r="C158" s="76" t="s">
        <v>49</v>
      </c>
      <c r="J158" s="76">
        <f t="shared" ref="J158:BN158" si="55">J122</f>
        <v>0</v>
      </c>
      <c r="K158" s="76">
        <f t="shared" si="55"/>
        <v>0</v>
      </c>
      <c r="L158" s="76">
        <f t="shared" si="55"/>
        <v>0</v>
      </c>
      <c r="M158" s="76">
        <f t="shared" si="55"/>
        <v>0</v>
      </c>
      <c r="N158" s="76">
        <f t="shared" si="55"/>
        <v>0</v>
      </c>
      <c r="O158" s="76">
        <f t="shared" si="55"/>
        <v>0</v>
      </c>
      <c r="P158" s="76">
        <f t="shared" si="55"/>
        <v>0</v>
      </c>
      <c r="Q158" s="76">
        <f t="shared" si="55"/>
        <v>0</v>
      </c>
      <c r="R158" s="76">
        <f t="shared" si="55"/>
        <v>0</v>
      </c>
      <c r="S158" s="76">
        <f t="shared" si="55"/>
        <v>0</v>
      </c>
      <c r="T158" s="76">
        <f t="shared" si="55"/>
        <v>0</v>
      </c>
      <c r="U158" s="76">
        <f t="shared" si="55"/>
        <v>0</v>
      </c>
      <c r="V158" s="76">
        <f t="shared" si="55"/>
        <v>0</v>
      </c>
      <c r="W158" s="76">
        <f t="shared" si="55"/>
        <v>0</v>
      </c>
      <c r="X158" s="76">
        <f t="shared" si="55"/>
        <v>0</v>
      </c>
      <c r="Y158" s="76">
        <f t="shared" si="55"/>
        <v>0</v>
      </c>
      <c r="Z158" s="76">
        <f t="shared" si="55"/>
        <v>0</v>
      </c>
      <c r="AA158" s="76">
        <f t="shared" si="55"/>
        <v>0</v>
      </c>
      <c r="AB158" s="76">
        <f t="shared" si="55"/>
        <v>0</v>
      </c>
      <c r="AC158" s="76">
        <f t="shared" si="55"/>
        <v>0</v>
      </c>
      <c r="AD158" s="76">
        <f t="shared" si="55"/>
        <v>0</v>
      </c>
      <c r="AE158" s="76">
        <f t="shared" si="55"/>
        <v>0</v>
      </c>
      <c r="AF158" s="76">
        <f t="shared" si="55"/>
        <v>0</v>
      </c>
      <c r="AG158" s="76">
        <f t="shared" si="55"/>
        <v>0</v>
      </c>
      <c r="AH158" s="76">
        <f t="shared" si="55"/>
        <v>0</v>
      </c>
      <c r="AI158" s="76">
        <f t="shared" si="55"/>
        <v>0</v>
      </c>
      <c r="AJ158" s="76">
        <f t="shared" si="55"/>
        <v>0</v>
      </c>
      <c r="AK158" s="76">
        <f t="shared" si="55"/>
        <v>0</v>
      </c>
      <c r="AL158" s="76">
        <f t="shared" si="55"/>
        <v>0</v>
      </c>
      <c r="AM158" s="76">
        <f t="shared" si="55"/>
        <v>0</v>
      </c>
      <c r="AN158" s="76">
        <f t="shared" si="55"/>
        <v>0</v>
      </c>
      <c r="AO158" s="76">
        <f t="shared" si="55"/>
        <v>0</v>
      </c>
      <c r="AP158" s="76">
        <f t="shared" si="55"/>
        <v>0</v>
      </c>
      <c r="AQ158" s="76">
        <f t="shared" si="55"/>
        <v>0</v>
      </c>
      <c r="AR158" s="76">
        <f t="shared" si="55"/>
        <v>0</v>
      </c>
      <c r="AS158" s="76">
        <f t="shared" si="55"/>
        <v>0</v>
      </c>
      <c r="AT158" s="76">
        <f t="shared" si="55"/>
        <v>0</v>
      </c>
      <c r="AU158" s="76">
        <f t="shared" si="55"/>
        <v>0</v>
      </c>
      <c r="AV158" s="76">
        <f t="shared" si="55"/>
        <v>0</v>
      </c>
      <c r="AW158" s="76">
        <f t="shared" si="55"/>
        <v>0</v>
      </c>
      <c r="AX158" s="76">
        <f t="shared" si="55"/>
        <v>0</v>
      </c>
      <c r="AY158" s="76">
        <f t="shared" si="55"/>
        <v>0</v>
      </c>
      <c r="AZ158" s="76">
        <f t="shared" si="55"/>
        <v>0</v>
      </c>
      <c r="BA158" s="76">
        <f t="shared" si="55"/>
        <v>0</v>
      </c>
      <c r="BB158" s="76">
        <f t="shared" si="55"/>
        <v>0</v>
      </c>
      <c r="BC158" s="76">
        <f t="shared" si="55"/>
        <v>0</v>
      </c>
      <c r="BD158" s="76">
        <f t="shared" si="55"/>
        <v>0</v>
      </c>
      <c r="BE158" s="76">
        <f t="shared" si="55"/>
        <v>0</v>
      </c>
      <c r="BF158" s="76">
        <f t="shared" si="55"/>
        <v>0</v>
      </c>
      <c r="BG158" s="76">
        <f t="shared" si="55"/>
        <v>0</v>
      </c>
      <c r="BH158" s="76">
        <f t="shared" si="55"/>
        <v>0</v>
      </c>
      <c r="BI158" s="76">
        <f t="shared" si="55"/>
        <v>0</v>
      </c>
      <c r="BJ158" s="76">
        <f t="shared" si="55"/>
        <v>0</v>
      </c>
      <c r="BK158" s="76">
        <f t="shared" si="55"/>
        <v>0</v>
      </c>
      <c r="BL158" s="76">
        <f t="shared" si="55"/>
        <v>0</v>
      </c>
      <c r="BM158" s="76">
        <f t="shared" si="55"/>
        <v>0</v>
      </c>
      <c r="BN158" s="76">
        <f t="shared" si="55"/>
        <v>0</v>
      </c>
    </row>
    <row r="159" spans="2:66" hidden="1" x14ac:dyDescent="0.2">
      <c r="B159" s="76" t="s">
        <v>43</v>
      </c>
      <c r="C159" s="76" t="s">
        <v>35</v>
      </c>
      <c r="J159" s="76">
        <f t="shared" ref="J159:BN159" si="56">J152</f>
        <v>30</v>
      </c>
      <c r="K159" s="76">
        <f t="shared" si="56"/>
        <v>31</v>
      </c>
      <c r="L159" s="76">
        <f t="shared" si="56"/>
        <v>30</v>
      </c>
      <c r="M159" s="76">
        <f t="shared" si="56"/>
        <v>31</v>
      </c>
      <c r="N159" s="76">
        <f t="shared" si="56"/>
        <v>30.571428571428573</v>
      </c>
      <c r="O159" s="76">
        <f t="shared" si="56"/>
        <v>31</v>
      </c>
      <c r="P159" s="76">
        <f t="shared" si="56"/>
        <v>28</v>
      </c>
      <c r="Q159" s="76">
        <f t="shared" si="56"/>
        <v>31</v>
      </c>
      <c r="R159" s="76">
        <f t="shared" si="56"/>
        <v>30</v>
      </c>
      <c r="S159" s="76">
        <f t="shared" si="56"/>
        <v>31</v>
      </c>
      <c r="T159" s="76">
        <f t="shared" si="56"/>
        <v>30</v>
      </c>
      <c r="U159" s="76">
        <f t="shared" si="56"/>
        <v>31</v>
      </c>
      <c r="V159" s="76">
        <f t="shared" si="56"/>
        <v>31</v>
      </c>
      <c r="W159" s="76">
        <f t="shared" si="56"/>
        <v>30</v>
      </c>
      <c r="X159" s="76">
        <f t="shared" si="56"/>
        <v>31</v>
      </c>
      <c r="Y159" s="76">
        <f t="shared" si="56"/>
        <v>30</v>
      </c>
      <c r="Z159" s="76">
        <f t="shared" si="56"/>
        <v>31</v>
      </c>
      <c r="AA159" s="76">
        <f t="shared" si="56"/>
        <v>30.416666666666668</v>
      </c>
      <c r="AB159" s="76">
        <f t="shared" si="56"/>
        <v>31</v>
      </c>
      <c r="AC159" s="76">
        <f t="shared" si="56"/>
        <v>28</v>
      </c>
      <c r="AD159" s="76">
        <f t="shared" si="56"/>
        <v>31</v>
      </c>
      <c r="AE159" s="76">
        <f t="shared" si="56"/>
        <v>30</v>
      </c>
      <c r="AF159" s="76">
        <f t="shared" si="56"/>
        <v>31</v>
      </c>
      <c r="AG159" s="76">
        <f t="shared" si="56"/>
        <v>30</v>
      </c>
      <c r="AH159" s="76">
        <f t="shared" si="56"/>
        <v>31</v>
      </c>
      <c r="AI159" s="76">
        <f t="shared" si="56"/>
        <v>31</v>
      </c>
      <c r="AJ159" s="76">
        <f t="shared" si="56"/>
        <v>30</v>
      </c>
      <c r="AK159" s="76">
        <f t="shared" si="56"/>
        <v>31</v>
      </c>
      <c r="AL159" s="76">
        <f t="shared" si="56"/>
        <v>30</v>
      </c>
      <c r="AM159" s="76">
        <f t="shared" si="56"/>
        <v>31</v>
      </c>
      <c r="AN159" s="76">
        <f t="shared" si="56"/>
        <v>30.416666666666668</v>
      </c>
      <c r="AO159" s="76">
        <f t="shared" si="56"/>
        <v>31</v>
      </c>
      <c r="AP159" s="76">
        <f t="shared" si="56"/>
        <v>29</v>
      </c>
      <c r="AQ159" s="76">
        <f t="shared" si="56"/>
        <v>31</v>
      </c>
      <c r="AR159" s="76">
        <f t="shared" si="56"/>
        <v>30</v>
      </c>
      <c r="AS159" s="76">
        <f t="shared" si="56"/>
        <v>31</v>
      </c>
      <c r="AT159" s="76">
        <f t="shared" si="56"/>
        <v>30</v>
      </c>
      <c r="AU159" s="76">
        <f t="shared" si="56"/>
        <v>31</v>
      </c>
      <c r="AV159" s="76">
        <f t="shared" si="56"/>
        <v>31</v>
      </c>
      <c r="AW159" s="76">
        <f t="shared" si="56"/>
        <v>30</v>
      </c>
      <c r="AX159" s="76">
        <f t="shared" si="56"/>
        <v>31</v>
      </c>
      <c r="AY159" s="76">
        <f t="shared" si="56"/>
        <v>30</v>
      </c>
      <c r="AZ159" s="76">
        <f t="shared" si="56"/>
        <v>31</v>
      </c>
      <c r="BA159" s="76">
        <f t="shared" si="56"/>
        <v>30.5</v>
      </c>
      <c r="BB159" s="76">
        <f t="shared" si="56"/>
        <v>31</v>
      </c>
      <c r="BC159" s="76">
        <f t="shared" si="56"/>
        <v>28</v>
      </c>
      <c r="BD159" s="76">
        <f t="shared" si="56"/>
        <v>31</v>
      </c>
      <c r="BE159" s="76">
        <f t="shared" si="56"/>
        <v>30</v>
      </c>
      <c r="BF159" s="76">
        <f t="shared" si="56"/>
        <v>31</v>
      </c>
      <c r="BG159" s="76">
        <f t="shared" si="56"/>
        <v>30</v>
      </c>
      <c r="BH159" s="76">
        <f t="shared" si="56"/>
        <v>31</v>
      </c>
      <c r="BI159" s="76">
        <f t="shared" si="56"/>
        <v>31</v>
      </c>
      <c r="BJ159" s="76">
        <f t="shared" si="56"/>
        <v>30</v>
      </c>
      <c r="BK159" s="76">
        <f t="shared" si="56"/>
        <v>31</v>
      </c>
      <c r="BL159" s="76">
        <f t="shared" si="56"/>
        <v>30</v>
      </c>
      <c r="BM159" s="76">
        <f t="shared" si="56"/>
        <v>31</v>
      </c>
      <c r="BN159" s="76">
        <f t="shared" si="56"/>
        <v>30.416666666666668</v>
      </c>
    </row>
    <row r="160" spans="2:66" x14ac:dyDescent="0.2">
      <c r="B160" s="78" t="s">
        <v>96</v>
      </c>
      <c r="C160" s="334" t="s">
        <v>78</v>
      </c>
      <c r="D160" s="78"/>
      <c r="E160" s="78"/>
      <c r="F160" s="78"/>
      <c r="G160" s="78"/>
      <c r="H160" s="78"/>
      <c r="I160" s="78"/>
      <c r="J160" s="78">
        <f>J157*J156</f>
        <v>19.086666666666666</v>
      </c>
      <c r="K160" s="78">
        <f t="shared" ref="K160:AZ160" si="57">K157*K156</f>
        <v>29.283333333333335</v>
      </c>
      <c r="L160" s="78">
        <f t="shared" si="57"/>
        <v>39.456666666666663</v>
      </c>
      <c r="M160" s="78">
        <f t="shared" si="57"/>
        <v>49.653333333333336</v>
      </c>
      <c r="N160" s="78">
        <f>SUM(G160:M160)</f>
        <v>137.48000000000002</v>
      </c>
      <c r="O160" s="78">
        <f t="shared" si="57"/>
        <v>59.826666666666668</v>
      </c>
      <c r="P160" s="78">
        <f t="shared" si="57"/>
        <v>70</v>
      </c>
      <c r="Q160" s="78">
        <f t="shared" si="57"/>
        <v>71.47</v>
      </c>
      <c r="R160" s="78">
        <f t="shared" si="57"/>
        <v>71.47</v>
      </c>
      <c r="S160" s="78">
        <f t="shared" si="57"/>
        <v>71.47</v>
      </c>
      <c r="T160" s="78">
        <f t="shared" si="57"/>
        <v>71.47</v>
      </c>
      <c r="U160" s="78">
        <f t="shared" si="57"/>
        <v>71.47</v>
      </c>
      <c r="V160" s="78">
        <f t="shared" si="57"/>
        <v>71.47</v>
      </c>
      <c r="W160" s="78">
        <f t="shared" si="57"/>
        <v>71.47</v>
      </c>
      <c r="X160" s="78">
        <f t="shared" si="57"/>
        <v>71.47</v>
      </c>
      <c r="Y160" s="78">
        <f t="shared" si="57"/>
        <v>71.47</v>
      </c>
      <c r="Z160" s="78">
        <f t="shared" si="57"/>
        <v>71.47</v>
      </c>
      <c r="AA160" s="78">
        <f>SUM(O160:Z160)</f>
        <v>844.52666666666687</v>
      </c>
      <c r="AB160" s="78">
        <f t="shared" si="57"/>
        <v>72.8994</v>
      </c>
      <c r="AC160" s="78">
        <f t="shared" si="57"/>
        <v>72.8994</v>
      </c>
      <c r="AD160" s="78">
        <f t="shared" si="57"/>
        <v>76.738768399999998</v>
      </c>
      <c r="AE160" s="78">
        <f t="shared" si="57"/>
        <v>80.578136799999996</v>
      </c>
      <c r="AF160" s="78">
        <f t="shared" si="57"/>
        <v>84.417505199999994</v>
      </c>
      <c r="AG160" s="78">
        <f t="shared" si="57"/>
        <v>88.256873600000006</v>
      </c>
      <c r="AH160" s="78">
        <f t="shared" si="57"/>
        <v>92.09624199999999</v>
      </c>
      <c r="AI160" s="78">
        <f t="shared" si="57"/>
        <v>95.911310599999993</v>
      </c>
      <c r="AJ160" s="78">
        <f t="shared" si="57"/>
        <v>99.750678999999991</v>
      </c>
      <c r="AK160" s="78">
        <f t="shared" si="57"/>
        <v>103.5900474</v>
      </c>
      <c r="AL160" s="78">
        <f t="shared" si="57"/>
        <v>107.40511599999999</v>
      </c>
      <c r="AM160" s="78">
        <f t="shared" si="57"/>
        <v>111.24448439999999</v>
      </c>
      <c r="AN160" s="78">
        <f>SUM(AB160:AM160)</f>
        <v>1085.7879633999999</v>
      </c>
      <c r="AO160" s="78">
        <f t="shared" si="57"/>
        <v>117.38552985600001</v>
      </c>
      <c r="AP160" s="78">
        <f t="shared" si="57"/>
        <v>121.301685624</v>
      </c>
      <c r="AQ160" s="78">
        <f t="shared" si="57"/>
        <v>125.217841392</v>
      </c>
      <c r="AR160" s="78">
        <f t="shared" si="57"/>
        <v>129.13399716000001</v>
      </c>
      <c r="AS160" s="78">
        <f t="shared" si="57"/>
        <v>133.05015292800002</v>
      </c>
      <c r="AT160" s="78">
        <f t="shared" si="57"/>
        <v>136.96630869600003</v>
      </c>
      <c r="AU160" s="78">
        <f t="shared" si="57"/>
        <v>140.85767866799998</v>
      </c>
      <c r="AV160" s="78">
        <f t="shared" si="57"/>
        <v>148.71477392491335</v>
      </c>
      <c r="AW160" s="78">
        <f t="shared" si="57"/>
        <v>148.71477392491335</v>
      </c>
      <c r="AX160" s="78">
        <f t="shared" si="57"/>
        <v>148.71477392491335</v>
      </c>
      <c r="AY160" s="78">
        <f t="shared" si="57"/>
        <v>148.71477392491335</v>
      </c>
      <c r="AZ160" s="78">
        <f t="shared" si="57"/>
        <v>148.71477392491335</v>
      </c>
      <c r="BA160" s="78">
        <f>SUM(AO160:AZ160)</f>
        <v>1647.4870639485666</v>
      </c>
      <c r="BB160" s="78">
        <f>IF(SUM($G$159:BB159)&lt;=BB158,0,BB157*BB156)</f>
        <v>140.03640043562817</v>
      </c>
      <c r="BC160" s="78">
        <f>IF(SUM($G$159:BC159)&lt;=BC158,0,BC157*BC156)</f>
        <v>140.03640043562817</v>
      </c>
      <c r="BD160" s="78">
        <f>IF(SUM($G$159:BD159)&lt;=BD158,0,BD157*BD156)</f>
        <v>140.03640043562817</v>
      </c>
      <c r="BE160" s="78">
        <f>IF(SUM($G$159:BE159)&lt;=BE158,0,BE157*BE156)</f>
        <v>140.03640043562817</v>
      </c>
      <c r="BF160" s="78">
        <f>IF(SUM($G$159:BF159)&lt;=BF158,0,BF157*BF156)</f>
        <v>140.03640043562817</v>
      </c>
      <c r="BG160" s="78">
        <f>IF(SUM($G$159:BG159)&lt;=BG158,0,BG157*BG156)</f>
        <v>140.03640043562817</v>
      </c>
      <c r="BH160" s="78">
        <f>IF(SUM($G$159:BH159)&lt;=BH158,0,BH157*BH156)</f>
        <v>140.03640043562817</v>
      </c>
      <c r="BI160" s="78">
        <f>IF(SUM($G$159:BI159)&lt;=BI158,0,BI157*BI156)</f>
        <v>140.03640043562817</v>
      </c>
      <c r="BJ160" s="78">
        <f>IF(SUM($G$159:BJ159)&lt;=BJ158,0,BJ157*BJ156)</f>
        <v>140.03640043562817</v>
      </c>
      <c r="BK160" s="78">
        <f>IF(SUM($G$159:BK159)&lt;=BK158,0,BK157*BK156)</f>
        <v>140.03640043562817</v>
      </c>
      <c r="BL160" s="78">
        <f>IF(SUM($G$159:BL159)&lt;=BL158,0,BL157*BL156)</f>
        <v>140.03640043562817</v>
      </c>
      <c r="BM160" s="78">
        <f>IF(SUM($G$159:BM159)&lt;=BM158,0,BM157*BM156)</f>
        <v>140.03640043562817</v>
      </c>
      <c r="BN160" s="78">
        <f>SUM(BB160:BM160)</f>
        <v>1680.4368052275379</v>
      </c>
    </row>
    <row r="161" spans="2:68" x14ac:dyDescent="0.2">
      <c r="B161" s="80"/>
      <c r="C161" s="336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</row>
    <row r="162" spans="2:68" x14ac:dyDescent="0.2">
      <c r="B162" s="80" t="s">
        <v>94</v>
      </c>
    </row>
    <row r="163" spans="2:68" x14ac:dyDescent="0.2">
      <c r="B163" s="76" t="s">
        <v>31</v>
      </c>
      <c r="C163" s="76" t="s">
        <v>32</v>
      </c>
      <c r="J163" s="76">
        <f t="shared" ref="J163:BN163" si="58">J156</f>
        <v>1.75</v>
      </c>
      <c r="K163" s="76">
        <f t="shared" si="58"/>
        <v>1.75</v>
      </c>
      <c r="L163" s="76">
        <f t="shared" si="58"/>
        <v>1.75</v>
      </c>
      <c r="M163" s="76">
        <f t="shared" si="58"/>
        <v>1.75</v>
      </c>
      <c r="N163" s="76">
        <f t="shared" si="58"/>
        <v>1.75</v>
      </c>
      <c r="O163" s="76">
        <f t="shared" si="58"/>
        <v>1.75</v>
      </c>
      <c r="P163" s="76">
        <f t="shared" si="58"/>
        <v>1.75</v>
      </c>
      <c r="Q163" s="76">
        <f t="shared" si="58"/>
        <v>1.7867499999999998</v>
      </c>
      <c r="R163" s="76">
        <f t="shared" si="58"/>
        <v>1.7867499999999998</v>
      </c>
      <c r="S163" s="76">
        <f t="shared" si="58"/>
        <v>1.7867499999999998</v>
      </c>
      <c r="T163" s="76">
        <f t="shared" si="58"/>
        <v>1.7867499999999998</v>
      </c>
      <c r="U163" s="76">
        <f t="shared" si="58"/>
        <v>1.7867499999999998</v>
      </c>
      <c r="V163" s="76">
        <f t="shared" si="58"/>
        <v>1.7867499999999998</v>
      </c>
      <c r="W163" s="76">
        <f t="shared" si="58"/>
        <v>1.7867499999999998</v>
      </c>
      <c r="X163" s="76">
        <f t="shared" si="58"/>
        <v>1.7867499999999998</v>
      </c>
      <c r="Y163" s="76">
        <f t="shared" si="58"/>
        <v>1.7867499999999998</v>
      </c>
      <c r="Z163" s="76">
        <f t="shared" si="58"/>
        <v>1.7867499999999998</v>
      </c>
      <c r="AA163" s="76">
        <f t="shared" si="58"/>
        <v>1.7867499999999998</v>
      </c>
      <c r="AB163" s="76">
        <f t="shared" si="58"/>
        <v>1.8224849999999999</v>
      </c>
      <c r="AC163" s="76">
        <f t="shared" si="58"/>
        <v>1.8224849999999999</v>
      </c>
      <c r="AD163" s="76">
        <f t="shared" si="58"/>
        <v>1.8224849999999999</v>
      </c>
      <c r="AE163" s="76">
        <f t="shared" si="58"/>
        <v>1.8224849999999999</v>
      </c>
      <c r="AF163" s="76">
        <f t="shared" si="58"/>
        <v>1.8224849999999999</v>
      </c>
      <c r="AG163" s="76">
        <f t="shared" si="58"/>
        <v>1.8224849999999999</v>
      </c>
      <c r="AH163" s="76">
        <f t="shared" si="58"/>
        <v>1.8224849999999999</v>
      </c>
      <c r="AI163" s="76">
        <f t="shared" si="58"/>
        <v>1.8224849999999999</v>
      </c>
      <c r="AJ163" s="76">
        <f t="shared" si="58"/>
        <v>1.8224849999999999</v>
      </c>
      <c r="AK163" s="76">
        <f t="shared" si="58"/>
        <v>1.8224849999999999</v>
      </c>
      <c r="AL163" s="76">
        <f t="shared" si="58"/>
        <v>1.8224849999999999</v>
      </c>
      <c r="AM163" s="76">
        <f t="shared" si="58"/>
        <v>1.8224849999999999</v>
      </c>
      <c r="AN163" s="76">
        <f t="shared" si="58"/>
        <v>1.8224849999999999</v>
      </c>
      <c r="AO163" s="76">
        <f t="shared" si="58"/>
        <v>1.8589347000000001</v>
      </c>
      <c r="AP163" s="76">
        <f t="shared" si="58"/>
        <v>1.8589347000000001</v>
      </c>
      <c r="AQ163" s="76">
        <f t="shared" si="58"/>
        <v>1.8589347000000001</v>
      </c>
      <c r="AR163" s="76">
        <f t="shared" si="58"/>
        <v>1.8589347000000001</v>
      </c>
      <c r="AS163" s="76">
        <f t="shared" si="58"/>
        <v>1.8589347000000001</v>
      </c>
      <c r="AT163" s="76">
        <f t="shared" si="58"/>
        <v>1.8589347000000001</v>
      </c>
      <c r="AU163" s="76">
        <f t="shared" si="58"/>
        <v>1.8589347000000001</v>
      </c>
      <c r="AV163" s="76">
        <f t="shared" si="58"/>
        <v>1.8589347000000001</v>
      </c>
      <c r="AW163" s="76">
        <f t="shared" si="58"/>
        <v>1.8589347000000001</v>
      </c>
      <c r="AX163" s="76">
        <f t="shared" si="58"/>
        <v>1.8589347000000001</v>
      </c>
      <c r="AY163" s="76">
        <f t="shared" si="58"/>
        <v>1.8589347000000001</v>
      </c>
      <c r="AZ163" s="76">
        <f t="shared" si="58"/>
        <v>1.8589347000000001</v>
      </c>
      <c r="BA163" s="76">
        <f t="shared" si="58"/>
        <v>1.8589347000000001</v>
      </c>
      <c r="BB163" s="76">
        <f t="shared" si="58"/>
        <v>1.8961133940000001</v>
      </c>
      <c r="BC163" s="76">
        <f t="shared" si="58"/>
        <v>1.8961133940000001</v>
      </c>
      <c r="BD163" s="76">
        <f t="shared" si="58"/>
        <v>1.8961133940000001</v>
      </c>
      <c r="BE163" s="76">
        <f t="shared" si="58"/>
        <v>1.8961133940000001</v>
      </c>
      <c r="BF163" s="76">
        <f t="shared" si="58"/>
        <v>1.8961133940000001</v>
      </c>
      <c r="BG163" s="76">
        <f t="shared" si="58"/>
        <v>1.8961133940000001</v>
      </c>
      <c r="BH163" s="76">
        <f t="shared" si="58"/>
        <v>1.8961133940000001</v>
      </c>
      <c r="BI163" s="76">
        <f t="shared" si="58"/>
        <v>1.8961133940000001</v>
      </c>
      <c r="BJ163" s="76">
        <f t="shared" si="58"/>
        <v>1.8961133940000001</v>
      </c>
      <c r="BK163" s="76">
        <f t="shared" si="58"/>
        <v>1.8961133940000001</v>
      </c>
      <c r="BL163" s="76">
        <f t="shared" si="58"/>
        <v>1.8961133940000001</v>
      </c>
      <c r="BM163" s="76">
        <f t="shared" si="58"/>
        <v>1.8961133940000001</v>
      </c>
      <c r="BN163" s="76">
        <f t="shared" si="58"/>
        <v>1.8961133940000001</v>
      </c>
    </row>
    <row r="164" spans="2:68" x14ac:dyDescent="0.2">
      <c r="B164" s="76" t="s">
        <v>23</v>
      </c>
      <c r="C164" s="76" t="s">
        <v>28</v>
      </c>
      <c r="J164" s="76">
        <f t="shared" ref="J164:BN164" si="59">J130</f>
        <v>5.4533333333333331</v>
      </c>
      <c r="K164" s="76">
        <f t="shared" si="59"/>
        <v>8.36</v>
      </c>
      <c r="L164" s="76">
        <f t="shared" si="59"/>
        <v>11.266666666666667</v>
      </c>
      <c r="M164" s="76">
        <f t="shared" si="59"/>
        <v>14.173333333333334</v>
      </c>
      <c r="N164" s="76">
        <f t="shared" si="59"/>
        <v>39.25333333333333</v>
      </c>
      <c r="O164" s="76">
        <f t="shared" si="59"/>
        <v>17.093333333333334</v>
      </c>
      <c r="P164" s="76">
        <f t="shared" si="59"/>
        <v>20</v>
      </c>
      <c r="Q164" s="76">
        <f t="shared" si="59"/>
        <v>20</v>
      </c>
      <c r="R164" s="76">
        <f t="shared" si="59"/>
        <v>20</v>
      </c>
      <c r="S164" s="76">
        <f t="shared" si="59"/>
        <v>20</v>
      </c>
      <c r="T164" s="76">
        <f t="shared" si="59"/>
        <v>20</v>
      </c>
      <c r="U164" s="76">
        <f t="shared" si="59"/>
        <v>20</v>
      </c>
      <c r="V164" s="76">
        <f t="shared" si="59"/>
        <v>20</v>
      </c>
      <c r="W164" s="76">
        <f t="shared" si="59"/>
        <v>20</v>
      </c>
      <c r="X164" s="76">
        <f t="shared" si="59"/>
        <v>20</v>
      </c>
      <c r="Y164" s="76">
        <f t="shared" si="59"/>
        <v>20</v>
      </c>
      <c r="Z164" s="76">
        <f t="shared" si="59"/>
        <v>20</v>
      </c>
      <c r="AA164" s="76">
        <f t="shared" si="59"/>
        <v>237.09333333333333</v>
      </c>
      <c r="AB164" s="76">
        <f t="shared" si="59"/>
        <v>20</v>
      </c>
      <c r="AC164" s="76">
        <f t="shared" si="59"/>
        <v>20</v>
      </c>
      <c r="AD164" s="76">
        <f t="shared" si="59"/>
        <v>21.053333333333335</v>
      </c>
      <c r="AE164" s="76">
        <f t="shared" si="59"/>
        <v>22.106666666666666</v>
      </c>
      <c r="AF164" s="76">
        <f t="shared" si="59"/>
        <v>23.16</v>
      </c>
      <c r="AG164" s="76">
        <f t="shared" si="59"/>
        <v>24.213333333333335</v>
      </c>
      <c r="AH164" s="76">
        <f t="shared" si="59"/>
        <v>25.266666666666666</v>
      </c>
      <c r="AI164" s="76">
        <f t="shared" si="59"/>
        <v>26.32</v>
      </c>
      <c r="AJ164" s="76">
        <f t="shared" si="59"/>
        <v>27.373333333333335</v>
      </c>
      <c r="AK164" s="76">
        <f t="shared" si="59"/>
        <v>28.426666666666666</v>
      </c>
      <c r="AL164" s="76">
        <f t="shared" si="59"/>
        <v>29.466666666666665</v>
      </c>
      <c r="AM164" s="76">
        <f t="shared" si="59"/>
        <v>30.52</v>
      </c>
      <c r="AN164" s="76">
        <f t="shared" si="59"/>
        <v>297.90666666666669</v>
      </c>
      <c r="AO164" s="76">
        <f t="shared" si="59"/>
        <v>31.573333333333334</v>
      </c>
      <c r="AP164" s="76">
        <f t="shared" si="59"/>
        <v>32.626666666666665</v>
      </c>
      <c r="AQ164" s="76">
        <f t="shared" si="59"/>
        <v>33.68</v>
      </c>
      <c r="AR164" s="76">
        <f t="shared" si="59"/>
        <v>34.72</v>
      </c>
      <c r="AS164" s="76">
        <f t="shared" si="59"/>
        <v>35.773333333333333</v>
      </c>
      <c r="AT164" s="76">
        <f t="shared" si="59"/>
        <v>36.826666666666668</v>
      </c>
      <c r="AU164" s="76">
        <f t="shared" si="59"/>
        <v>37.880000000000003</v>
      </c>
      <c r="AV164" s="76">
        <f t="shared" si="59"/>
        <v>39.999999441861334</v>
      </c>
      <c r="AW164" s="76">
        <f t="shared" si="59"/>
        <v>39.999999441861334</v>
      </c>
      <c r="AX164" s="76">
        <f t="shared" si="59"/>
        <v>39.999999441861334</v>
      </c>
      <c r="AY164" s="76">
        <f t="shared" si="59"/>
        <v>39.999999441861334</v>
      </c>
      <c r="AZ164" s="76">
        <f t="shared" si="59"/>
        <v>39.999999441861334</v>
      </c>
      <c r="BA164" s="76">
        <f t="shared" si="59"/>
        <v>443.07999720930667</v>
      </c>
      <c r="BB164" s="76">
        <f t="shared" si="59"/>
        <v>36.923333100775558</v>
      </c>
      <c r="BC164" s="76">
        <f t="shared" si="59"/>
        <v>36.923333100775558</v>
      </c>
      <c r="BD164" s="76">
        <f t="shared" si="59"/>
        <v>36.923333100775558</v>
      </c>
      <c r="BE164" s="76">
        <f t="shared" si="59"/>
        <v>36.923333100775558</v>
      </c>
      <c r="BF164" s="76">
        <f t="shared" si="59"/>
        <v>36.923333100775558</v>
      </c>
      <c r="BG164" s="76">
        <f t="shared" si="59"/>
        <v>36.923333100775558</v>
      </c>
      <c r="BH164" s="76">
        <f t="shared" si="59"/>
        <v>36.923333100775558</v>
      </c>
      <c r="BI164" s="76">
        <f t="shared" si="59"/>
        <v>36.923333100775558</v>
      </c>
      <c r="BJ164" s="76">
        <f t="shared" si="59"/>
        <v>36.923333100775558</v>
      </c>
      <c r="BK164" s="76">
        <f t="shared" si="59"/>
        <v>36.923333100775558</v>
      </c>
      <c r="BL164" s="76">
        <f t="shared" si="59"/>
        <v>36.923333100775558</v>
      </c>
      <c r="BM164" s="76">
        <f t="shared" si="59"/>
        <v>36.923333100775558</v>
      </c>
      <c r="BN164" s="76">
        <f t="shared" si="59"/>
        <v>443.07999720930667</v>
      </c>
    </row>
    <row r="165" spans="2:68" hidden="1" x14ac:dyDescent="0.2">
      <c r="B165" s="76" t="s">
        <v>42</v>
      </c>
      <c r="C165" s="76" t="s">
        <v>49</v>
      </c>
      <c r="J165" s="76">
        <f t="shared" ref="J165:BN165" si="60">J131</f>
        <v>0</v>
      </c>
      <c r="K165" s="76">
        <f t="shared" si="60"/>
        <v>0</v>
      </c>
      <c r="L165" s="76">
        <f t="shared" si="60"/>
        <v>0</v>
      </c>
      <c r="M165" s="76">
        <f t="shared" si="60"/>
        <v>0</v>
      </c>
      <c r="N165" s="76">
        <f t="shared" si="60"/>
        <v>0</v>
      </c>
      <c r="O165" s="76">
        <f t="shared" si="60"/>
        <v>0</v>
      </c>
      <c r="P165" s="76">
        <f t="shared" si="60"/>
        <v>0</v>
      </c>
      <c r="Q165" s="76">
        <f t="shared" si="60"/>
        <v>0</v>
      </c>
      <c r="R165" s="76">
        <f t="shared" si="60"/>
        <v>0</v>
      </c>
      <c r="S165" s="76">
        <f t="shared" si="60"/>
        <v>0</v>
      </c>
      <c r="T165" s="76">
        <f t="shared" si="60"/>
        <v>0</v>
      </c>
      <c r="U165" s="76">
        <f t="shared" si="60"/>
        <v>0</v>
      </c>
      <c r="V165" s="76">
        <f t="shared" si="60"/>
        <v>0</v>
      </c>
      <c r="W165" s="76">
        <f t="shared" si="60"/>
        <v>0</v>
      </c>
      <c r="X165" s="76">
        <f t="shared" si="60"/>
        <v>0</v>
      </c>
      <c r="Y165" s="76">
        <f t="shared" si="60"/>
        <v>0</v>
      </c>
      <c r="Z165" s="76">
        <f t="shared" si="60"/>
        <v>0</v>
      </c>
      <c r="AA165" s="76">
        <f t="shared" si="60"/>
        <v>0</v>
      </c>
      <c r="AB165" s="76">
        <f t="shared" si="60"/>
        <v>0</v>
      </c>
      <c r="AC165" s="76">
        <f t="shared" si="60"/>
        <v>0</v>
      </c>
      <c r="AD165" s="76">
        <f t="shared" si="60"/>
        <v>0</v>
      </c>
      <c r="AE165" s="76">
        <f t="shared" si="60"/>
        <v>0</v>
      </c>
      <c r="AF165" s="76">
        <f t="shared" si="60"/>
        <v>0</v>
      </c>
      <c r="AG165" s="76">
        <f t="shared" si="60"/>
        <v>0</v>
      </c>
      <c r="AH165" s="76">
        <f t="shared" si="60"/>
        <v>0</v>
      </c>
      <c r="AI165" s="76">
        <f t="shared" si="60"/>
        <v>0</v>
      </c>
      <c r="AJ165" s="76">
        <f t="shared" si="60"/>
        <v>0</v>
      </c>
      <c r="AK165" s="76">
        <f t="shared" si="60"/>
        <v>0</v>
      </c>
      <c r="AL165" s="76">
        <f t="shared" si="60"/>
        <v>0</v>
      </c>
      <c r="AM165" s="76">
        <f t="shared" si="60"/>
        <v>0</v>
      </c>
      <c r="AN165" s="76">
        <f t="shared" si="60"/>
        <v>0</v>
      </c>
      <c r="AO165" s="76">
        <f t="shared" si="60"/>
        <v>0</v>
      </c>
      <c r="AP165" s="76">
        <f t="shared" si="60"/>
        <v>0</v>
      </c>
      <c r="AQ165" s="76">
        <f t="shared" si="60"/>
        <v>0</v>
      </c>
      <c r="AR165" s="76">
        <f t="shared" si="60"/>
        <v>0</v>
      </c>
      <c r="AS165" s="76">
        <f t="shared" si="60"/>
        <v>0</v>
      </c>
      <c r="AT165" s="76">
        <f t="shared" si="60"/>
        <v>0</v>
      </c>
      <c r="AU165" s="76">
        <f t="shared" si="60"/>
        <v>0</v>
      </c>
      <c r="AV165" s="76">
        <f t="shared" si="60"/>
        <v>0</v>
      </c>
      <c r="AW165" s="76">
        <f t="shared" si="60"/>
        <v>0</v>
      </c>
      <c r="AX165" s="76">
        <f t="shared" si="60"/>
        <v>0</v>
      </c>
      <c r="AY165" s="76">
        <f t="shared" si="60"/>
        <v>0</v>
      </c>
      <c r="AZ165" s="76">
        <f t="shared" si="60"/>
        <v>0</v>
      </c>
      <c r="BA165" s="76">
        <f t="shared" si="60"/>
        <v>0</v>
      </c>
      <c r="BB165" s="76">
        <f t="shared" si="60"/>
        <v>0</v>
      </c>
      <c r="BC165" s="76">
        <f t="shared" si="60"/>
        <v>0</v>
      </c>
      <c r="BD165" s="76">
        <f t="shared" si="60"/>
        <v>0</v>
      </c>
      <c r="BE165" s="76">
        <f t="shared" si="60"/>
        <v>0</v>
      </c>
      <c r="BF165" s="76">
        <f t="shared" si="60"/>
        <v>0</v>
      </c>
      <c r="BG165" s="76">
        <f t="shared" si="60"/>
        <v>0</v>
      </c>
      <c r="BH165" s="76">
        <f t="shared" si="60"/>
        <v>0</v>
      </c>
      <c r="BI165" s="76">
        <f t="shared" si="60"/>
        <v>0</v>
      </c>
      <c r="BJ165" s="76">
        <f t="shared" si="60"/>
        <v>0</v>
      </c>
      <c r="BK165" s="76">
        <f t="shared" si="60"/>
        <v>0</v>
      </c>
      <c r="BL165" s="76">
        <f t="shared" si="60"/>
        <v>0</v>
      </c>
      <c r="BM165" s="76">
        <f t="shared" si="60"/>
        <v>0</v>
      </c>
      <c r="BN165" s="76">
        <f t="shared" si="60"/>
        <v>0</v>
      </c>
    </row>
    <row r="166" spans="2:68" hidden="1" x14ac:dyDescent="0.2">
      <c r="B166" s="76" t="s">
        <v>43</v>
      </c>
      <c r="C166" s="76" t="s">
        <v>35</v>
      </c>
      <c r="J166" s="76">
        <f>J159</f>
        <v>30</v>
      </c>
      <c r="K166" s="76">
        <f t="shared" ref="K166:BN166" si="61">K159</f>
        <v>31</v>
      </c>
      <c r="L166" s="76">
        <f t="shared" si="61"/>
        <v>30</v>
      </c>
      <c r="M166" s="76">
        <f t="shared" si="61"/>
        <v>31</v>
      </c>
      <c r="N166" s="76">
        <f t="shared" si="61"/>
        <v>30.571428571428573</v>
      </c>
      <c r="O166" s="76">
        <f t="shared" si="61"/>
        <v>31</v>
      </c>
      <c r="P166" s="76">
        <f t="shared" si="61"/>
        <v>28</v>
      </c>
      <c r="Q166" s="76">
        <f t="shared" si="61"/>
        <v>31</v>
      </c>
      <c r="R166" s="76">
        <f t="shared" si="61"/>
        <v>30</v>
      </c>
      <c r="S166" s="76">
        <f t="shared" si="61"/>
        <v>31</v>
      </c>
      <c r="T166" s="76">
        <f t="shared" si="61"/>
        <v>30</v>
      </c>
      <c r="U166" s="76">
        <f t="shared" si="61"/>
        <v>31</v>
      </c>
      <c r="V166" s="76">
        <f t="shared" si="61"/>
        <v>31</v>
      </c>
      <c r="W166" s="76">
        <f t="shared" si="61"/>
        <v>30</v>
      </c>
      <c r="X166" s="76">
        <f t="shared" si="61"/>
        <v>31</v>
      </c>
      <c r="Y166" s="76">
        <f t="shared" si="61"/>
        <v>30</v>
      </c>
      <c r="Z166" s="76">
        <f t="shared" si="61"/>
        <v>31</v>
      </c>
      <c r="AA166" s="76">
        <f t="shared" si="61"/>
        <v>30.416666666666668</v>
      </c>
      <c r="AB166" s="76">
        <f t="shared" si="61"/>
        <v>31</v>
      </c>
      <c r="AC166" s="76">
        <f t="shared" si="61"/>
        <v>28</v>
      </c>
      <c r="AD166" s="76">
        <f t="shared" si="61"/>
        <v>31</v>
      </c>
      <c r="AE166" s="76">
        <f t="shared" si="61"/>
        <v>30</v>
      </c>
      <c r="AF166" s="76">
        <f t="shared" si="61"/>
        <v>31</v>
      </c>
      <c r="AG166" s="76">
        <f t="shared" si="61"/>
        <v>30</v>
      </c>
      <c r="AH166" s="76">
        <f t="shared" si="61"/>
        <v>31</v>
      </c>
      <c r="AI166" s="76">
        <f t="shared" si="61"/>
        <v>31</v>
      </c>
      <c r="AJ166" s="76">
        <f t="shared" si="61"/>
        <v>30</v>
      </c>
      <c r="AK166" s="76">
        <f t="shared" si="61"/>
        <v>31</v>
      </c>
      <c r="AL166" s="76">
        <f t="shared" si="61"/>
        <v>30</v>
      </c>
      <c r="AM166" s="76">
        <f t="shared" si="61"/>
        <v>31</v>
      </c>
      <c r="AN166" s="76">
        <f t="shared" si="61"/>
        <v>30.416666666666668</v>
      </c>
      <c r="AO166" s="76">
        <f t="shared" si="61"/>
        <v>31</v>
      </c>
      <c r="AP166" s="76">
        <f t="shared" si="61"/>
        <v>29</v>
      </c>
      <c r="AQ166" s="76">
        <f t="shared" si="61"/>
        <v>31</v>
      </c>
      <c r="AR166" s="76">
        <f t="shared" si="61"/>
        <v>30</v>
      </c>
      <c r="AS166" s="76">
        <f t="shared" si="61"/>
        <v>31</v>
      </c>
      <c r="AT166" s="76">
        <f t="shared" si="61"/>
        <v>30</v>
      </c>
      <c r="AU166" s="76">
        <f t="shared" si="61"/>
        <v>31</v>
      </c>
      <c r="AV166" s="76">
        <f t="shared" si="61"/>
        <v>31</v>
      </c>
      <c r="AW166" s="76">
        <f t="shared" si="61"/>
        <v>30</v>
      </c>
      <c r="AX166" s="76">
        <f t="shared" si="61"/>
        <v>31</v>
      </c>
      <c r="AY166" s="76">
        <f t="shared" si="61"/>
        <v>30</v>
      </c>
      <c r="AZ166" s="76">
        <f t="shared" si="61"/>
        <v>31</v>
      </c>
      <c r="BA166" s="76">
        <f t="shared" si="61"/>
        <v>30.5</v>
      </c>
      <c r="BB166" s="76">
        <f t="shared" si="61"/>
        <v>31</v>
      </c>
      <c r="BC166" s="76">
        <f t="shared" si="61"/>
        <v>28</v>
      </c>
      <c r="BD166" s="76">
        <f t="shared" si="61"/>
        <v>31</v>
      </c>
      <c r="BE166" s="76">
        <f t="shared" si="61"/>
        <v>30</v>
      </c>
      <c r="BF166" s="76">
        <f t="shared" si="61"/>
        <v>31</v>
      </c>
      <c r="BG166" s="76">
        <f t="shared" si="61"/>
        <v>30</v>
      </c>
      <c r="BH166" s="76">
        <f t="shared" si="61"/>
        <v>31</v>
      </c>
      <c r="BI166" s="76">
        <f t="shared" si="61"/>
        <v>31</v>
      </c>
      <c r="BJ166" s="76">
        <f t="shared" si="61"/>
        <v>30</v>
      </c>
      <c r="BK166" s="76">
        <f t="shared" si="61"/>
        <v>31</v>
      </c>
      <c r="BL166" s="76">
        <f t="shared" si="61"/>
        <v>30</v>
      </c>
      <c r="BM166" s="76">
        <f t="shared" si="61"/>
        <v>31</v>
      </c>
      <c r="BN166" s="76">
        <f t="shared" si="61"/>
        <v>30.416666666666668</v>
      </c>
    </row>
    <row r="167" spans="2:68" x14ac:dyDescent="0.2">
      <c r="B167" s="78" t="s">
        <v>96</v>
      </c>
      <c r="C167" s="334" t="s">
        <v>78</v>
      </c>
      <c r="D167" s="78"/>
      <c r="E167" s="78"/>
      <c r="F167" s="78"/>
      <c r="G167" s="78"/>
      <c r="H167" s="78"/>
      <c r="I167" s="78"/>
      <c r="J167" s="78">
        <f>J164*J163</f>
        <v>9.543333333333333</v>
      </c>
      <c r="K167" s="78">
        <f t="shared" ref="K167:AZ167" si="62">K164*K163</f>
        <v>14.629999999999999</v>
      </c>
      <c r="L167" s="78">
        <f t="shared" si="62"/>
        <v>19.716666666666669</v>
      </c>
      <c r="M167" s="78">
        <f t="shared" si="62"/>
        <v>24.803333333333335</v>
      </c>
      <c r="N167" s="78">
        <f>SUM(G167:M167)</f>
        <v>68.693333333333328</v>
      </c>
      <c r="O167" s="78">
        <f t="shared" si="62"/>
        <v>29.913333333333334</v>
      </c>
      <c r="P167" s="78">
        <f t="shared" si="62"/>
        <v>35</v>
      </c>
      <c r="Q167" s="78">
        <f t="shared" si="62"/>
        <v>35.734999999999999</v>
      </c>
      <c r="R167" s="78">
        <f t="shared" si="62"/>
        <v>35.734999999999999</v>
      </c>
      <c r="S167" s="78">
        <f t="shared" si="62"/>
        <v>35.734999999999999</v>
      </c>
      <c r="T167" s="78">
        <f t="shared" si="62"/>
        <v>35.734999999999999</v>
      </c>
      <c r="U167" s="78">
        <f t="shared" si="62"/>
        <v>35.734999999999999</v>
      </c>
      <c r="V167" s="78">
        <f t="shared" si="62"/>
        <v>35.734999999999999</v>
      </c>
      <c r="W167" s="78">
        <f t="shared" si="62"/>
        <v>35.734999999999999</v>
      </c>
      <c r="X167" s="78">
        <f t="shared" si="62"/>
        <v>35.734999999999999</v>
      </c>
      <c r="Y167" s="78">
        <f t="shared" si="62"/>
        <v>35.734999999999999</v>
      </c>
      <c r="Z167" s="78">
        <f t="shared" si="62"/>
        <v>35.734999999999999</v>
      </c>
      <c r="AA167" s="78">
        <f>SUM(O167:Z167)</f>
        <v>422.26333333333343</v>
      </c>
      <c r="AB167" s="78">
        <f t="shared" si="62"/>
        <v>36.4497</v>
      </c>
      <c r="AC167" s="78">
        <f t="shared" si="62"/>
        <v>36.4497</v>
      </c>
      <c r="AD167" s="78">
        <f t="shared" si="62"/>
        <v>38.369384199999999</v>
      </c>
      <c r="AE167" s="78">
        <f t="shared" si="62"/>
        <v>40.289068399999998</v>
      </c>
      <c r="AF167" s="78">
        <f t="shared" si="62"/>
        <v>42.208752599999997</v>
      </c>
      <c r="AG167" s="78">
        <f t="shared" si="62"/>
        <v>44.128436800000003</v>
      </c>
      <c r="AH167" s="78">
        <f t="shared" si="62"/>
        <v>46.048120999999995</v>
      </c>
      <c r="AI167" s="78">
        <f t="shared" si="62"/>
        <v>47.967805200000001</v>
      </c>
      <c r="AJ167" s="78">
        <f t="shared" si="62"/>
        <v>49.8874894</v>
      </c>
      <c r="AK167" s="78">
        <f t="shared" si="62"/>
        <v>51.807173599999999</v>
      </c>
      <c r="AL167" s="78">
        <f t="shared" si="62"/>
        <v>53.702557999999996</v>
      </c>
      <c r="AM167" s="78">
        <f t="shared" si="62"/>
        <v>55.622242199999995</v>
      </c>
      <c r="AN167" s="78">
        <f>SUM(AB167:AM167)</f>
        <v>542.93043139999997</v>
      </c>
      <c r="AO167" s="78">
        <f t="shared" si="62"/>
        <v>58.692764928000003</v>
      </c>
      <c r="AP167" s="78">
        <f t="shared" si="62"/>
        <v>60.650842812</v>
      </c>
      <c r="AQ167" s="78">
        <f t="shared" si="62"/>
        <v>62.608920695999998</v>
      </c>
      <c r="AR167" s="78">
        <f t="shared" si="62"/>
        <v>64.542212784</v>
      </c>
      <c r="AS167" s="78">
        <f t="shared" si="62"/>
        <v>66.500290668000005</v>
      </c>
      <c r="AT167" s="78">
        <f t="shared" si="62"/>
        <v>68.45836855200001</v>
      </c>
      <c r="AU167" s="78">
        <f t="shared" si="62"/>
        <v>70.416446436000001</v>
      </c>
      <c r="AV167" s="78">
        <f t="shared" si="62"/>
        <v>74.357386962456673</v>
      </c>
      <c r="AW167" s="78">
        <f t="shared" si="62"/>
        <v>74.357386962456673</v>
      </c>
      <c r="AX167" s="78">
        <f t="shared" si="62"/>
        <v>74.357386962456673</v>
      </c>
      <c r="AY167" s="78">
        <f t="shared" si="62"/>
        <v>74.357386962456673</v>
      </c>
      <c r="AZ167" s="78">
        <f t="shared" si="62"/>
        <v>74.357386962456673</v>
      </c>
      <c r="BA167" s="78">
        <f>SUM(AO167:AZ167)</f>
        <v>823.65678168828333</v>
      </c>
      <c r="BB167" s="78">
        <f>IF(SUM($G$166:BB166)&lt;=BB165,0,BB164*BB163)</f>
        <v>70.010826443504087</v>
      </c>
      <c r="BC167" s="78">
        <f>IF(SUM($G$166:BC166)&lt;=BC165,0,BC164*BC163)</f>
        <v>70.010826443504087</v>
      </c>
      <c r="BD167" s="78">
        <f>IF(SUM($G$166:BD166)&lt;=BD165,0,BD164*BD163)</f>
        <v>70.010826443504087</v>
      </c>
      <c r="BE167" s="78">
        <f>IF(SUM($G$166:BE166)&lt;=BE165,0,BE164*BE163)</f>
        <v>70.010826443504087</v>
      </c>
      <c r="BF167" s="78">
        <f>IF(SUM($G$166:BF166)&lt;=BF165,0,BF164*BF163)</f>
        <v>70.010826443504087</v>
      </c>
      <c r="BG167" s="78">
        <f>IF(SUM($G$166:BG166)&lt;=BG165,0,BG164*BG163)</f>
        <v>70.010826443504087</v>
      </c>
      <c r="BH167" s="78">
        <f>IF(SUM($G$166:BH166)&lt;=BH165,0,BH164*BH163)</f>
        <v>70.010826443504087</v>
      </c>
      <c r="BI167" s="78">
        <f>IF(SUM($G$166:BI166)&lt;=BI165,0,BI164*BI163)</f>
        <v>70.010826443504087</v>
      </c>
      <c r="BJ167" s="78">
        <f>IF(SUM($G$166:BJ166)&lt;=BJ165,0,BJ164*BJ163)</f>
        <v>70.010826443504087</v>
      </c>
      <c r="BK167" s="78">
        <f>IF(SUM($G$166:BK166)&lt;=BK165,0,BK164*BK163)</f>
        <v>70.010826443504087</v>
      </c>
      <c r="BL167" s="78">
        <f>IF(SUM($G$166:BL166)&lt;=BL165,0,BL164*BL163)</f>
        <v>70.010826443504087</v>
      </c>
      <c r="BM167" s="78">
        <f>IF(SUM($G$166:BM166)&lt;=BM165,0,BM164*BM163)</f>
        <v>70.010826443504087</v>
      </c>
      <c r="BN167" s="78">
        <f>SUM(BB167:BM167)</f>
        <v>840.12991732204921</v>
      </c>
    </row>
    <row r="168" spans="2:68" x14ac:dyDescent="0.2">
      <c r="B168" s="80"/>
      <c r="C168" s="336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</row>
    <row r="169" spans="2:68" x14ac:dyDescent="0.2">
      <c r="B169" s="80" t="s">
        <v>95</v>
      </c>
    </row>
    <row r="170" spans="2:68" x14ac:dyDescent="0.2">
      <c r="B170" s="76" t="s">
        <v>31</v>
      </c>
      <c r="C170" s="76" t="s">
        <v>32</v>
      </c>
      <c r="J170" s="76">
        <f t="shared" ref="J170:BN170" si="63">J163</f>
        <v>1.75</v>
      </c>
      <c r="K170" s="76">
        <f t="shared" si="63"/>
        <v>1.75</v>
      </c>
      <c r="L170" s="76">
        <f t="shared" si="63"/>
        <v>1.75</v>
      </c>
      <c r="M170" s="76">
        <f t="shared" si="63"/>
        <v>1.75</v>
      </c>
      <c r="N170" s="76">
        <f>N163</f>
        <v>1.75</v>
      </c>
      <c r="O170" s="76">
        <f t="shared" si="63"/>
        <v>1.75</v>
      </c>
      <c r="P170" s="76">
        <f t="shared" si="63"/>
        <v>1.75</v>
      </c>
      <c r="Q170" s="76">
        <f t="shared" si="63"/>
        <v>1.7867499999999998</v>
      </c>
      <c r="R170" s="76">
        <f t="shared" si="63"/>
        <v>1.7867499999999998</v>
      </c>
      <c r="S170" s="76">
        <f t="shared" si="63"/>
        <v>1.7867499999999998</v>
      </c>
      <c r="T170" s="76">
        <f t="shared" si="63"/>
        <v>1.7867499999999998</v>
      </c>
      <c r="U170" s="76">
        <f t="shared" si="63"/>
        <v>1.7867499999999998</v>
      </c>
      <c r="V170" s="76">
        <f t="shared" si="63"/>
        <v>1.7867499999999998</v>
      </c>
      <c r="W170" s="76">
        <f t="shared" si="63"/>
        <v>1.7867499999999998</v>
      </c>
      <c r="X170" s="76">
        <f t="shared" si="63"/>
        <v>1.7867499999999998</v>
      </c>
      <c r="Y170" s="76">
        <f t="shared" si="63"/>
        <v>1.7867499999999998</v>
      </c>
      <c r="Z170" s="76">
        <f t="shared" si="63"/>
        <v>1.7867499999999998</v>
      </c>
      <c r="AA170" s="76">
        <f t="shared" si="63"/>
        <v>1.7867499999999998</v>
      </c>
      <c r="AB170" s="76">
        <f t="shared" si="63"/>
        <v>1.8224849999999999</v>
      </c>
      <c r="AC170" s="76">
        <f t="shared" si="63"/>
        <v>1.8224849999999999</v>
      </c>
      <c r="AD170" s="76">
        <f t="shared" si="63"/>
        <v>1.8224849999999999</v>
      </c>
      <c r="AE170" s="76">
        <f t="shared" si="63"/>
        <v>1.8224849999999999</v>
      </c>
      <c r="AF170" s="76">
        <f t="shared" si="63"/>
        <v>1.8224849999999999</v>
      </c>
      <c r="AG170" s="76">
        <f t="shared" si="63"/>
        <v>1.8224849999999999</v>
      </c>
      <c r="AH170" s="76">
        <f t="shared" si="63"/>
        <v>1.8224849999999999</v>
      </c>
      <c r="AI170" s="76">
        <f t="shared" si="63"/>
        <v>1.8224849999999999</v>
      </c>
      <c r="AJ170" s="76">
        <f t="shared" si="63"/>
        <v>1.8224849999999999</v>
      </c>
      <c r="AK170" s="76">
        <f t="shared" si="63"/>
        <v>1.8224849999999999</v>
      </c>
      <c r="AL170" s="76">
        <f t="shared" si="63"/>
        <v>1.8224849999999999</v>
      </c>
      <c r="AM170" s="76">
        <f t="shared" si="63"/>
        <v>1.8224849999999999</v>
      </c>
      <c r="AN170" s="76">
        <f t="shared" si="63"/>
        <v>1.8224849999999999</v>
      </c>
      <c r="AO170" s="76">
        <f t="shared" si="63"/>
        <v>1.8589347000000001</v>
      </c>
      <c r="AP170" s="76">
        <f t="shared" si="63"/>
        <v>1.8589347000000001</v>
      </c>
      <c r="AQ170" s="76">
        <f t="shared" si="63"/>
        <v>1.8589347000000001</v>
      </c>
      <c r="AR170" s="76">
        <f t="shared" si="63"/>
        <v>1.8589347000000001</v>
      </c>
      <c r="AS170" s="76">
        <f t="shared" si="63"/>
        <v>1.8589347000000001</v>
      </c>
      <c r="AT170" s="76">
        <f t="shared" si="63"/>
        <v>1.8589347000000001</v>
      </c>
      <c r="AU170" s="76">
        <f t="shared" si="63"/>
        <v>1.8589347000000001</v>
      </c>
      <c r="AV170" s="76">
        <f t="shared" si="63"/>
        <v>1.8589347000000001</v>
      </c>
      <c r="AW170" s="76">
        <f t="shared" si="63"/>
        <v>1.8589347000000001</v>
      </c>
      <c r="AX170" s="76">
        <f t="shared" si="63"/>
        <v>1.8589347000000001</v>
      </c>
      <c r="AY170" s="76">
        <f t="shared" si="63"/>
        <v>1.8589347000000001</v>
      </c>
      <c r="AZ170" s="76">
        <f t="shared" si="63"/>
        <v>1.8589347000000001</v>
      </c>
      <c r="BA170" s="76">
        <f t="shared" si="63"/>
        <v>1.8589347000000001</v>
      </c>
      <c r="BB170" s="76">
        <f t="shared" si="63"/>
        <v>1.8961133940000001</v>
      </c>
      <c r="BC170" s="76">
        <f t="shared" si="63"/>
        <v>1.8961133940000001</v>
      </c>
      <c r="BD170" s="76">
        <f t="shared" si="63"/>
        <v>1.8961133940000001</v>
      </c>
      <c r="BE170" s="76">
        <f t="shared" si="63"/>
        <v>1.8961133940000001</v>
      </c>
      <c r="BF170" s="76">
        <f t="shared" si="63"/>
        <v>1.8961133940000001</v>
      </c>
      <c r="BG170" s="76">
        <f t="shared" si="63"/>
        <v>1.8961133940000001</v>
      </c>
      <c r="BH170" s="76">
        <f t="shared" si="63"/>
        <v>1.8961133940000001</v>
      </c>
      <c r="BI170" s="76">
        <f t="shared" si="63"/>
        <v>1.8961133940000001</v>
      </c>
      <c r="BJ170" s="76">
        <f t="shared" si="63"/>
        <v>1.8961133940000001</v>
      </c>
      <c r="BK170" s="76">
        <f t="shared" si="63"/>
        <v>1.8961133940000001</v>
      </c>
      <c r="BL170" s="76">
        <f t="shared" si="63"/>
        <v>1.8961133940000001</v>
      </c>
      <c r="BM170" s="76">
        <f t="shared" si="63"/>
        <v>1.8961133940000001</v>
      </c>
      <c r="BN170" s="76">
        <f t="shared" si="63"/>
        <v>1.8961133940000001</v>
      </c>
    </row>
    <row r="171" spans="2:68" x14ac:dyDescent="0.2">
      <c r="B171" s="76" t="s">
        <v>23</v>
      </c>
      <c r="C171" s="76" t="s">
        <v>28</v>
      </c>
      <c r="J171" s="76">
        <f t="shared" ref="J171:BN171" si="64">J139</f>
        <v>5.4533333333333331</v>
      </c>
      <c r="K171" s="76">
        <f t="shared" si="64"/>
        <v>8.36</v>
      </c>
      <c r="L171" s="76">
        <f t="shared" si="64"/>
        <v>11.266666666666667</v>
      </c>
      <c r="M171" s="76">
        <f t="shared" si="64"/>
        <v>14.173333333333334</v>
      </c>
      <c r="N171" s="76">
        <f>N139</f>
        <v>39.25333333333333</v>
      </c>
      <c r="O171" s="76">
        <f t="shared" si="64"/>
        <v>17.093333333333334</v>
      </c>
      <c r="P171" s="76">
        <f t="shared" si="64"/>
        <v>20</v>
      </c>
      <c r="Q171" s="76">
        <f t="shared" si="64"/>
        <v>20</v>
      </c>
      <c r="R171" s="76">
        <f t="shared" si="64"/>
        <v>20</v>
      </c>
      <c r="S171" s="76">
        <f t="shared" si="64"/>
        <v>20</v>
      </c>
      <c r="T171" s="76">
        <f t="shared" si="64"/>
        <v>20</v>
      </c>
      <c r="U171" s="76">
        <f t="shared" si="64"/>
        <v>20</v>
      </c>
      <c r="V171" s="76">
        <f t="shared" si="64"/>
        <v>20</v>
      </c>
      <c r="W171" s="76">
        <f t="shared" si="64"/>
        <v>20</v>
      </c>
      <c r="X171" s="76">
        <f t="shared" si="64"/>
        <v>20</v>
      </c>
      <c r="Y171" s="76">
        <f t="shared" si="64"/>
        <v>20</v>
      </c>
      <c r="Z171" s="76">
        <f t="shared" si="64"/>
        <v>20</v>
      </c>
      <c r="AA171" s="76">
        <f t="shared" si="64"/>
        <v>237.09333333333333</v>
      </c>
      <c r="AB171" s="76">
        <f t="shared" si="64"/>
        <v>20</v>
      </c>
      <c r="AC171" s="76">
        <f t="shared" si="64"/>
        <v>20</v>
      </c>
      <c r="AD171" s="76">
        <f t="shared" si="64"/>
        <v>21.053333333333335</v>
      </c>
      <c r="AE171" s="76">
        <f t="shared" si="64"/>
        <v>22.106666666666666</v>
      </c>
      <c r="AF171" s="76">
        <f t="shared" si="64"/>
        <v>23.146666666666668</v>
      </c>
      <c r="AG171" s="76">
        <f t="shared" si="64"/>
        <v>24.2</v>
      </c>
      <c r="AH171" s="76">
        <f t="shared" si="64"/>
        <v>25.253333333333334</v>
      </c>
      <c r="AI171" s="76">
        <f t="shared" si="64"/>
        <v>26.306666666666668</v>
      </c>
      <c r="AJ171" s="76">
        <f t="shared" si="64"/>
        <v>27.36</v>
      </c>
      <c r="AK171" s="76">
        <f t="shared" si="64"/>
        <v>28.413333333333334</v>
      </c>
      <c r="AL171" s="76">
        <f t="shared" si="64"/>
        <v>29.48</v>
      </c>
      <c r="AM171" s="76">
        <f t="shared" si="64"/>
        <v>30.533333333333335</v>
      </c>
      <c r="AN171" s="76">
        <f>AN139</f>
        <v>297.85333333333335</v>
      </c>
      <c r="AO171" s="76">
        <f t="shared" si="64"/>
        <v>31.573333333333334</v>
      </c>
      <c r="AP171" s="76">
        <f t="shared" si="64"/>
        <v>32.626666666666665</v>
      </c>
      <c r="AQ171" s="76">
        <f t="shared" si="64"/>
        <v>33.68</v>
      </c>
      <c r="AR171" s="76">
        <f t="shared" si="64"/>
        <v>34.733333333333334</v>
      </c>
      <c r="AS171" s="76">
        <f t="shared" si="64"/>
        <v>35.786666666666669</v>
      </c>
      <c r="AT171" s="76">
        <f t="shared" si="64"/>
        <v>36.840000000000003</v>
      </c>
      <c r="AU171" s="76">
        <f t="shared" si="64"/>
        <v>37.893333333333331</v>
      </c>
      <c r="AV171" s="76">
        <f t="shared" si="64"/>
        <v>39.999999441861334</v>
      </c>
      <c r="AW171" s="76">
        <f t="shared" si="64"/>
        <v>39.999999441861334</v>
      </c>
      <c r="AX171" s="76">
        <f t="shared" si="64"/>
        <v>39.999999441861334</v>
      </c>
      <c r="AY171" s="76">
        <f t="shared" si="64"/>
        <v>39.999999441861334</v>
      </c>
      <c r="AZ171" s="76">
        <f t="shared" si="64"/>
        <v>39.999999441861334</v>
      </c>
      <c r="BA171" s="76">
        <f t="shared" si="64"/>
        <v>443.13333054264001</v>
      </c>
      <c r="BB171" s="76">
        <f t="shared" si="64"/>
        <v>36.927777545219996</v>
      </c>
      <c r="BC171" s="76">
        <f t="shared" si="64"/>
        <v>36.927777545219996</v>
      </c>
      <c r="BD171" s="76">
        <f t="shared" si="64"/>
        <v>36.927777545219996</v>
      </c>
      <c r="BE171" s="76">
        <f t="shared" si="64"/>
        <v>36.927777545219996</v>
      </c>
      <c r="BF171" s="76">
        <f t="shared" si="64"/>
        <v>36.927777545219996</v>
      </c>
      <c r="BG171" s="76">
        <f t="shared" si="64"/>
        <v>36.927777545219996</v>
      </c>
      <c r="BH171" s="76">
        <f t="shared" si="64"/>
        <v>36.927777545219996</v>
      </c>
      <c r="BI171" s="76">
        <f t="shared" si="64"/>
        <v>36.927777545219996</v>
      </c>
      <c r="BJ171" s="76">
        <f t="shared" si="64"/>
        <v>36.927777545219996</v>
      </c>
      <c r="BK171" s="76">
        <f t="shared" si="64"/>
        <v>36.927777545219996</v>
      </c>
      <c r="BL171" s="76">
        <f t="shared" si="64"/>
        <v>36.927777545219996</v>
      </c>
      <c r="BM171" s="76">
        <f t="shared" si="64"/>
        <v>36.927777545219996</v>
      </c>
      <c r="BN171" s="76">
        <f t="shared" si="64"/>
        <v>443.13333054264001</v>
      </c>
    </row>
    <row r="172" spans="2:68" hidden="1" x14ac:dyDescent="0.2">
      <c r="B172" s="76" t="s">
        <v>42</v>
      </c>
      <c r="C172" s="76" t="s">
        <v>49</v>
      </c>
      <c r="J172" s="76">
        <f t="shared" ref="J172:BN172" si="65">J140</f>
        <v>0</v>
      </c>
      <c r="K172" s="76">
        <f t="shared" si="65"/>
        <v>0</v>
      </c>
      <c r="L172" s="76">
        <f t="shared" si="65"/>
        <v>0</v>
      </c>
      <c r="M172" s="76">
        <f t="shared" si="65"/>
        <v>0</v>
      </c>
      <c r="N172" s="76">
        <f t="shared" si="65"/>
        <v>0</v>
      </c>
      <c r="O172" s="76">
        <f t="shared" si="65"/>
        <v>0</v>
      </c>
      <c r="P172" s="76">
        <f t="shared" si="65"/>
        <v>0</v>
      </c>
      <c r="Q172" s="76">
        <f t="shared" si="65"/>
        <v>0</v>
      </c>
      <c r="R172" s="76">
        <f t="shared" si="65"/>
        <v>0</v>
      </c>
      <c r="S172" s="76">
        <f t="shared" si="65"/>
        <v>0</v>
      </c>
      <c r="T172" s="76">
        <f t="shared" si="65"/>
        <v>0</v>
      </c>
      <c r="U172" s="76">
        <f t="shared" si="65"/>
        <v>0</v>
      </c>
      <c r="V172" s="76">
        <f t="shared" si="65"/>
        <v>0</v>
      </c>
      <c r="W172" s="76">
        <f t="shared" si="65"/>
        <v>0</v>
      </c>
      <c r="X172" s="76">
        <f t="shared" si="65"/>
        <v>0</v>
      </c>
      <c r="Y172" s="76">
        <f t="shared" si="65"/>
        <v>0</v>
      </c>
      <c r="Z172" s="76">
        <f t="shared" si="65"/>
        <v>0</v>
      </c>
      <c r="AA172" s="76">
        <f t="shared" si="65"/>
        <v>0</v>
      </c>
      <c r="AB172" s="76">
        <f t="shared" si="65"/>
        <v>0</v>
      </c>
      <c r="AC172" s="76">
        <f t="shared" si="65"/>
        <v>0</v>
      </c>
      <c r="AD172" s="76">
        <f t="shared" si="65"/>
        <v>0</v>
      </c>
      <c r="AE172" s="76">
        <f t="shared" si="65"/>
        <v>0</v>
      </c>
      <c r="AF172" s="76">
        <f t="shared" si="65"/>
        <v>0</v>
      </c>
      <c r="AG172" s="76">
        <f t="shared" si="65"/>
        <v>0</v>
      </c>
      <c r="AH172" s="76">
        <f t="shared" si="65"/>
        <v>0</v>
      </c>
      <c r="AI172" s="76">
        <f t="shared" si="65"/>
        <v>0</v>
      </c>
      <c r="AJ172" s="76">
        <f t="shared" si="65"/>
        <v>0</v>
      </c>
      <c r="AK172" s="76">
        <f t="shared" si="65"/>
        <v>0</v>
      </c>
      <c r="AL172" s="76">
        <f t="shared" si="65"/>
        <v>0</v>
      </c>
      <c r="AM172" s="76">
        <f t="shared" si="65"/>
        <v>0</v>
      </c>
      <c r="AN172" s="76">
        <f t="shared" si="65"/>
        <v>0</v>
      </c>
      <c r="AO172" s="76">
        <f t="shared" si="65"/>
        <v>0</v>
      </c>
      <c r="AP172" s="76">
        <f t="shared" si="65"/>
        <v>0</v>
      </c>
      <c r="AQ172" s="76">
        <f t="shared" si="65"/>
        <v>0</v>
      </c>
      <c r="AR172" s="76">
        <f t="shared" si="65"/>
        <v>0</v>
      </c>
      <c r="AS172" s="76">
        <f t="shared" si="65"/>
        <v>0</v>
      </c>
      <c r="AT172" s="76">
        <f t="shared" si="65"/>
        <v>0</v>
      </c>
      <c r="AU172" s="76">
        <f t="shared" si="65"/>
        <v>0</v>
      </c>
      <c r="AV172" s="76">
        <f t="shared" si="65"/>
        <v>0</v>
      </c>
      <c r="AW172" s="76">
        <f t="shared" si="65"/>
        <v>0</v>
      </c>
      <c r="AX172" s="76">
        <f t="shared" si="65"/>
        <v>0</v>
      </c>
      <c r="AY172" s="76">
        <f t="shared" si="65"/>
        <v>0</v>
      </c>
      <c r="AZ172" s="76">
        <f t="shared" si="65"/>
        <v>0</v>
      </c>
      <c r="BA172" s="76">
        <f t="shared" si="65"/>
        <v>0</v>
      </c>
      <c r="BB172" s="76">
        <f t="shared" si="65"/>
        <v>0</v>
      </c>
      <c r="BC172" s="76">
        <f t="shared" si="65"/>
        <v>0</v>
      </c>
      <c r="BD172" s="76">
        <f t="shared" si="65"/>
        <v>0</v>
      </c>
      <c r="BE172" s="76">
        <f t="shared" si="65"/>
        <v>0</v>
      </c>
      <c r="BF172" s="76">
        <f t="shared" si="65"/>
        <v>0</v>
      </c>
      <c r="BG172" s="76">
        <f t="shared" si="65"/>
        <v>0</v>
      </c>
      <c r="BH172" s="76">
        <f t="shared" si="65"/>
        <v>0</v>
      </c>
      <c r="BI172" s="76">
        <f t="shared" si="65"/>
        <v>0</v>
      </c>
      <c r="BJ172" s="76">
        <f t="shared" si="65"/>
        <v>0</v>
      </c>
      <c r="BK172" s="76">
        <f t="shared" si="65"/>
        <v>0</v>
      </c>
      <c r="BL172" s="76">
        <f t="shared" si="65"/>
        <v>0</v>
      </c>
      <c r="BM172" s="76">
        <f t="shared" si="65"/>
        <v>0</v>
      </c>
      <c r="BN172" s="76">
        <f t="shared" si="65"/>
        <v>0</v>
      </c>
    </row>
    <row r="173" spans="2:68" hidden="1" x14ac:dyDescent="0.2">
      <c r="B173" s="76" t="s">
        <v>43</v>
      </c>
      <c r="C173" s="76" t="s">
        <v>35</v>
      </c>
      <c r="J173" s="76">
        <f t="shared" ref="J173:BN173" si="66">J166</f>
        <v>30</v>
      </c>
      <c r="K173" s="76">
        <f t="shared" si="66"/>
        <v>31</v>
      </c>
      <c r="L173" s="76">
        <f t="shared" si="66"/>
        <v>30</v>
      </c>
      <c r="M173" s="76">
        <f t="shared" si="66"/>
        <v>31</v>
      </c>
      <c r="N173" s="76">
        <f t="shared" si="66"/>
        <v>30.571428571428573</v>
      </c>
      <c r="O173" s="76">
        <f t="shared" si="66"/>
        <v>31</v>
      </c>
      <c r="P173" s="76">
        <f t="shared" si="66"/>
        <v>28</v>
      </c>
      <c r="Q173" s="76">
        <f t="shared" si="66"/>
        <v>31</v>
      </c>
      <c r="R173" s="76">
        <f t="shared" si="66"/>
        <v>30</v>
      </c>
      <c r="S173" s="76">
        <f t="shared" si="66"/>
        <v>31</v>
      </c>
      <c r="T173" s="76">
        <f t="shared" si="66"/>
        <v>30</v>
      </c>
      <c r="U173" s="76">
        <f t="shared" si="66"/>
        <v>31</v>
      </c>
      <c r="V173" s="76">
        <f t="shared" si="66"/>
        <v>31</v>
      </c>
      <c r="W173" s="76">
        <f t="shared" si="66"/>
        <v>30</v>
      </c>
      <c r="X173" s="76">
        <f t="shared" si="66"/>
        <v>31</v>
      </c>
      <c r="Y173" s="76">
        <f t="shared" si="66"/>
        <v>30</v>
      </c>
      <c r="Z173" s="76">
        <f t="shared" si="66"/>
        <v>31</v>
      </c>
      <c r="AA173" s="76">
        <f t="shared" si="66"/>
        <v>30.416666666666668</v>
      </c>
      <c r="AB173" s="76">
        <f t="shared" si="66"/>
        <v>31</v>
      </c>
      <c r="AC173" s="76">
        <f t="shared" si="66"/>
        <v>28</v>
      </c>
      <c r="AD173" s="76">
        <f t="shared" si="66"/>
        <v>31</v>
      </c>
      <c r="AE173" s="76">
        <f t="shared" si="66"/>
        <v>30</v>
      </c>
      <c r="AF173" s="76">
        <f t="shared" si="66"/>
        <v>31</v>
      </c>
      <c r="AG173" s="76">
        <f t="shared" si="66"/>
        <v>30</v>
      </c>
      <c r="AH173" s="76">
        <f t="shared" si="66"/>
        <v>31</v>
      </c>
      <c r="AI173" s="76">
        <f t="shared" si="66"/>
        <v>31</v>
      </c>
      <c r="AJ173" s="76">
        <f t="shared" si="66"/>
        <v>30</v>
      </c>
      <c r="AK173" s="76">
        <f t="shared" si="66"/>
        <v>31</v>
      </c>
      <c r="AL173" s="76">
        <f t="shared" si="66"/>
        <v>30</v>
      </c>
      <c r="AM173" s="76">
        <f t="shared" si="66"/>
        <v>31</v>
      </c>
      <c r="AN173" s="76">
        <f t="shared" si="66"/>
        <v>30.416666666666668</v>
      </c>
      <c r="AO173" s="76">
        <f t="shared" si="66"/>
        <v>31</v>
      </c>
      <c r="AP173" s="76">
        <f t="shared" si="66"/>
        <v>29</v>
      </c>
      <c r="AQ173" s="76">
        <f t="shared" si="66"/>
        <v>31</v>
      </c>
      <c r="AR173" s="76">
        <f t="shared" si="66"/>
        <v>30</v>
      </c>
      <c r="AS173" s="76">
        <f t="shared" si="66"/>
        <v>31</v>
      </c>
      <c r="AT173" s="76">
        <f t="shared" si="66"/>
        <v>30</v>
      </c>
      <c r="AU173" s="76">
        <f t="shared" si="66"/>
        <v>31</v>
      </c>
      <c r="AV173" s="76">
        <f t="shared" si="66"/>
        <v>31</v>
      </c>
      <c r="AW173" s="76">
        <f t="shared" si="66"/>
        <v>30</v>
      </c>
      <c r="AX173" s="76">
        <f t="shared" si="66"/>
        <v>31</v>
      </c>
      <c r="AY173" s="76">
        <f t="shared" si="66"/>
        <v>30</v>
      </c>
      <c r="AZ173" s="76">
        <f t="shared" si="66"/>
        <v>31</v>
      </c>
      <c r="BA173" s="76">
        <f t="shared" si="66"/>
        <v>30.5</v>
      </c>
      <c r="BB173" s="76">
        <f t="shared" si="66"/>
        <v>31</v>
      </c>
      <c r="BC173" s="76">
        <f t="shared" si="66"/>
        <v>28</v>
      </c>
      <c r="BD173" s="76">
        <f t="shared" si="66"/>
        <v>31</v>
      </c>
      <c r="BE173" s="76">
        <f t="shared" si="66"/>
        <v>30</v>
      </c>
      <c r="BF173" s="76">
        <f t="shared" si="66"/>
        <v>31</v>
      </c>
      <c r="BG173" s="76">
        <f t="shared" si="66"/>
        <v>30</v>
      </c>
      <c r="BH173" s="76">
        <f t="shared" si="66"/>
        <v>31</v>
      </c>
      <c r="BI173" s="76">
        <f t="shared" si="66"/>
        <v>31</v>
      </c>
      <c r="BJ173" s="76">
        <f t="shared" si="66"/>
        <v>30</v>
      </c>
      <c r="BK173" s="76">
        <f t="shared" si="66"/>
        <v>31</v>
      </c>
      <c r="BL173" s="76">
        <f t="shared" si="66"/>
        <v>30</v>
      </c>
      <c r="BM173" s="76">
        <f t="shared" si="66"/>
        <v>31</v>
      </c>
      <c r="BN173" s="76">
        <f t="shared" si="66"/>
        <v>30.416666666666668</v>
      </c>
    </row>
    <row r="174" spans="2:68" x14ac:dyDescent="0.2">
      <c r="B174" s="78" t="s">
        <v>96</v>
      </c>
      <c r="C174" s="334" t="s">
        <v>78</v>
      </c>
      <c r="D174" s="78"/>
      <c r="E174" s="78"/>
      <c r="F174" s="78"/>
      <c r="G174" s="78"/>
      <c r="H174" s="78"/>
      <c r="I174" s="78"/>
      <c r="J174" s="78">
        <f>J171*J170</f>
        <v>9.543333333333333</v>
      </c>
      <c r="K174" s="78">
        <f t="shared" ref="K174:AZ174" si="67">K171*K170</f>
        <v>14.629999999999999</v>
      </c>
      <c r="L174" s="78">
        <f t="shared" si="67"/>
        <v>19.716666666666669</v>
      </c>
      <c r="M174" s="78">
        <f t="shared" si="67"/>
        <v>24.803333333333335</v>
      </c>
      <c r="N174" s="78">
        <f>SUM(F174:M174)</f>
        <v>68.693333333333328</v>
      </c>
      <c r="O174" s="78">
        <f t="shared" si="67"/>
        <v>29.913333333333334</v>
      </c>
      <c r="P174" s="78">
        <f t="shared" si="67"/>
        <v>35</v>
      </c>
      <c r="Q174" s="78">
        <f t="shared" si="67"/>
        <v>35.734999999999999</v>
      </c>
      <c r="R174" s="78">
        <f t="shared" si="67"/>
        <v>35.734999999999999</v>
      </c>
      <c r="S174" s="78">
        <f t="shared" si="67"/>
        <v>35.734999999999999</v>
      </c>
      <c r="T174" s="78">
        <f t="shared" si="67"/>
        <v>35.734999999999999</v>
      </c>
      <c r="U174" s="78">
        <f t="shared" si="67"/>
        <v>35.734999999999999</v>
      </c>
      <c r="V174" s="78">
        <f t="shared" si="67"/>
        <v>35.734999999999999</v>
      </c>
      <c r="W174" s="78">
        <f t="shared" si="67"/>
        <v>35.734999999999999</v>
      </c>
      <c r="X174" s="78">
        <f t="shared" si="67"/>
        <v>35.734999999999999</v>
      </c>
      <c r="Y174" s="78">
        <f t="shared" si="67"/>
        <v>35.734999999999999</v>
      </c>
      <c r="Z174" s="78">
        <f t="shared" si="67"/>
        <v>35.734999999999999</v>
      </c>
      <c r="AA174" s="78">
        <f>SUM(O174:Z174)</f>
        <v>422.26333333333343</v>
      </c>
      <c r="AB174" s="78">
        <f t="shared" si="67"/>
        <v>36.4497</v>
      </c>
      <c r="AC174" s="78">
        <f t="shared" si="67"/>
        <v>36.4497</v>
      </c>
      <c r="AD174" s="78">
        <f t="shared" si="67"/>
        <v>38.369384199999999</v>
      </c>
      <c r="AE174" s="78">
        <f t="shared" si="67"/>
        <v>40.289068399999998</v>
      </c>
      <c r="AF174" s="78">
        <f t="shared" si="67"/>
        <v>42.184452800000003</v>
      </c>
      <c r="AG174" s="78">
        <f t="shared" si="67"/>
        <v>44.104136999999994</v>
      </c>
      <c r="AH174" s="78">
        <f t="shared" si="67"/>
        <v>46.0238212</v>
      </c>
      <c r="AI174" s="78">
        <f t="shared" si="67"/>
        <v>47.943505399999999</v>
      </c>
      <c r="AJ174" s="78">
        <f t="shared" si="67"/>
        <v>49.863189599999998</v>
      </c>
      <c r="AK174" s="78">
        <f t="shared" si="67"/>
        <v>51.782873799999997</v>
      </c>
      <c r="AL174" s="78">
        <f t="shared" si="67"/>
        <v>53.726857799999998</v>
      </c>
      <c r="AM174" s="78">
        <f t="shared" si="67"/>
        <v>55.646542000000004</v>
      </c>
      <c r="AN174" s="78">
        <f>SUM(AB174:AM174)</f>
        <v>542.8332322</v>
      </c>
      <c r="AO174" s="78">
        <f t="shared" si="67"/>
        <v>58.692764928000003</v>
      </c>
      <c r="AP174" s="78">
        <f t="shared" si="67"/>
        <v>60.650842812</v>
      </c>
      <c r="AQ174" s="78">
        <f t="shared" si="67"/>
        <v>62.608920695999998</v>
      </c>
      <c r="AR174" s="78">
        <f t="shared" si="67"/>
        <v>64.566998580000003</v>
      </c>
      <c r="AS174" s="78">
        <f t="shared" si="67"/>
        <v>66.525076464000009</v>
      </c>
      <c r="AT174" s="78">
        <f t="shared" si="67"/>
        <v>68.483154348000014</v>
      </c>
      <c r="AU174" s="78">
        <f t="shared" si="67"/>
        <v>70.441232232000004</v>
      </c>
      <c r="AV174" s="78">
        <f t="shared" si="67"/>
        <v>74.357386962456673</v>
      </c>
      <c r="AW174" s="78">
        <f t="shared" si="67"/>
        <v>74.357386962456673</v>
      </c>
      <c r="AX174" s="78">
        <f t="shared" si="67"/>
        <v>74.357386962456673</v>
      </c>
      <c r="AY174" s="78">
        <f t="shared" si="67"/>
        <v>74.357386962456673</v>
      </c>
      <c r="AZ174" s="78">
        <f t="shared" si="67"/>
        <v>74.357386962456673</v>
      </c>
      <c r="BA174" s="78">
        <f>SUM(AO174:AZ174)</f>
        <v>823.75592487228334</v>
      </c>
      <c r="BB174" s="78">
        <f>IF(SUM($G$173:BB173)&lt;=BB172,0,BB171*BB170)</f>
        <v>70.019253614144077</v>
      </c>
      <c r="BC174" s="78">
        <f>IF(SUM($G$173:BC173)&lt;=BC172,0,BC171*BC170)</f>
        <v>70.019253614144077</v>
      </c>
      <c r="BD174" s="78">
        <f>IF(SUM($G$173:BD173)&lt;=BD172,0,BD171*BD170)</f>
        <v>70.019253614144077</v>
      </c>
      <c r="BE174" s="78">
        <f>IF(SUM($G$173:BE173)&lt;=BE172,0,BE171*BE170)</f>
        <v>70.019253614144077</v>
      </c>
      <c r="BF174" s="78">
        <f>IF(SUM($G$173:BF173)&lt;=BF172,0,BF171*BF170)</f>
        <v>70.019253614144077</v>
      </c>
      <c r="BG174" s="78">
        <f>IF(SUM($G$173:BG173)&lt;=BG172,0,BG171*BG170)</f>
        <v>70.019253614144077</v>
      </c>
      <c r="BH174" s="78">
        <f>IF(SUM($G$173:BH173)&lt;=BH172,0,BH171*BH170)</f>
        <v>70.019253614144077</v>
      </c>
      <c r="BI174" s="78">
        <f>IF(SUM($G$173:BI173)&lt;=BI172,0,BI171*BI170)</f>
        <v>70.019253614144077</v>
      </c>
      <c r="BJ174" s="78">
        <f>IF(SUM($G$173:BJ173)&lt;=BJ172,0,BJ171*BJ170)</f>
        <v>70.019253614144077</v>
      </c>
      <c r="BK174" s="78">
        <f>IF(SUM($G$173:BK173)&lt;=BK172,0,BK171*BK170)</f>
        <v>70.019253614144077</v>
      </c>
      <c r="BL174" s="78">
        <f>IF(SUM($G$173:BL173)&lt;=BL172,0,BL171*BL170)</f>
        <v>70.019253614144077</v>
      </c>
      <c r="BM174" s="78">
        <f>IF(SUM($G$173:BM173)&lt;=BM172,0,BM171*BM170)</f>
        <v>70.019253614144077</v>
      </c>
      <c r="BN174" s="78">
        <f>SUM(BB174:BM174)</f>
        <v>840.23104336972892</v>
      </c>
    </row>
    <row r="175" spans="2:68" x14ac:dyDescent="0.2">
      <c r="B175" s="80"/>
      <c r="C175" s="336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</row>
    <row r="176" spans="2:68" x14ac:dyDescent="0.2">
      <c r="B176" s="78" t="s">
        <v>97</v>
      </c>
      <c r="C176" s="334" t="s">
        <v>78</v>
      </c>
      <c r="D176" s="78"/>
      <c r="E176" s="78"/>
      <c r="F176" s="78"/>
      <c r="G176" s="78"/>
      <c r="H176" s="78"/>
      <c r="I176" s="78"/>
      <c r="J176" s="78">
        <f t="shared" ref="J176:BN176" si="68">J174+J167+J160+J153</f>
        <v>52.5</v>
      </c>
      <c r="K176" s="78">
        <f t="shared" si="68"/>
        <v>80.5</v>
      </c>
      <c r="L176" s="78">
        <f t="shared" si="68"/>
        <v>108.5</v>
      </c>
      <c r="M176" s="78">
        <f t="shared" si="68"/>
        <v>136.5</v>
      </c>
      <c r="N176" s="78">
        <f>N174+N167+N160+N153</f>
        <v>378</v>
      </c>
      <c r="O176" s="78">
        <f t="shared" si="68"/>
        <v>164.5</v>
      </c>
      <c r="P176" s="78">
        <f t="shared" si="68"/>
        <v>192.50000268604236</v>
      </c>
      <c r="Q176" s="78">
        <f t="shared" si="68"/>
        <v>196.54250274244924</v>
      </c>
      <c r="R176" s="78">
        <f t="shared" si="68"/>
        <v>196.54250274244924</v>
      </c>
      <c r="S176" s="78">
        <f t="shared" si="68"/>
        <v>196.54250274244924</v>
      </c>
      <c r="T176" s="78">
        <f t="shared" si="68"/>
        <v>196.54250274244924</v>
      </c>
      <c r="U176" s="78">
        <f t="shared" si="68"/>
        <v>196.54250274244924</v>
      </c>
      <c r="V176" s="78">
        <f t="shared" si="68"/>
        <v>196.54250274244924</v>
      </c>
      <c r="W176" s="78">
        <f t="shared" si="68"/>
        <v>196.54250274244924</v>
      </c>
      <c r="X176" s="78">
        <f t="shared" si="68"/>
        <v>196.54250274244924</v>
      </c>
      <c r="Y176" s="78">
        <f t="shared" si="68"/>
        <v>196.54250274244924</v>
      </c>
      <c r="Z176" s="78">
        <f>Z174+Z167+Z160+Z153</f>
        <v>196.54250274244924</v>
      </c>
      <c r="AA176" s="78">
        <f t="shared" si="68"/>
        <v>2322.4250301105353</v>
      </c>
      <c r="AB176" s="78">
        <f t="shared" si="68"/>
        <v>200.47335279729825</v>
      </c>
      <c r="AC176" s="78">
        <f t="shared" si="68"/>
        <v>200.47335279729825</v>
      </c>
      <c r="AD176" s="78">
        <f t="shared" si="68"/>
        <v>211.01946319999999</v>
      </c>
      <c r="AE176" s="78">
        <f t="shared" si="68"/>
        <v>221.5655764</v>
      </c>
      <c r="AF176" s="78">
        <f t="shared" si="68"/>
        <v>232.11168959999998</v>
      </c>
      <c r="AG176" s="78">
        <f t="shared" si="68"/>
        <v>242.65780280000001</v>
      </c>
      <c r="AH176" s="78">
        <f t="shared" si="68"/>
        <v>253.20391599999999</v>
      </c>
      <c r="AI176" s="78">
        <f t="shared" si="68"/>
        <v>263.75002920000003</v>
      </c>
      <c r="AJ176" s="78">
        <f t="shared" si="68"/>
        <v>274.29614240000001</v>
      </c>
      <c r="AK176" s="78">
        <f t="shared" si="68"/>
        <v>284.84225560000004</v>
      </c>
      <c r="AL176" s="78">
        <f t="shared" si="68"/>
        <v>295.38836879999997</v>
      </c>
      <c r="AM176" s="78">
        <f t="shared" si="68"/>
        <v>305.934482</v>
      </c>
      <c r="AN176" s="78">
        <f t="shared" si="68"/>
        <v>2985.7164315945965</v>
      </c>
      <c r="AO176" s="78">
        <f t="shared" si="68"/>
        <v>322.81020710400003</v>
      </c>
      <c r="AP176" s="78">
        <f t="shared" si="68"/>
        <v>333.56724256799998</v>
      </c>
      <c r="AQ176" s="78">
        <f t="shared" si="68"/>
        <v>344.324278032</v>
      </c>
      <c r="AR176" s="78">
        <f t="shared" si="68"/>
        <v>355.08131349600001</v>
      </c>
      <c r="AS176" s="78">
        <f t="shared" si="68"/>
        <v>365.83834896000002</v>
      </c>
      <c r="AT176" s="78">
        <f>AT174+AT167+AT160+AT153</f>
        <v>376.59538442400003</v>
      </c>
      <c r="AU176" s="78">
        <f t="shared" si="68"/>
        <v>387.35241988799999</v>
      </c>
      <c r="AV176" s="78">
        <f t="shared" si="68"/>
        <v>408.96563400000002</v>
      </c>
      <c r="AW176" s="78">
        <f t="shared" si="68"/>
        <v>408.96563400000002</v>
      </c>
      <c r="AX176" s="78">
        <f t="shared" si="68"/>
        <v>408.96563400000002</v>
      </c>
      <c r="AY176" s="78">
        <f t="shared" si="68"/>
        <v>408.96563400000002</v>
      </c>
      <c r="AZ176" s="78">
        <f t="shared" si="68"/>
        <v>408.96563400000002</v>
      </c>
      <c r="BA176" s="78">
        <f t="shared" si="68"/>
        <v>4530.3973644719999</v>
      </c>
      <c r="BB176" s="78">
        <f t="shared" si="68"/>
        <v>385.08377598011998</v>
      </c>
      <c r="BC176" s="78">
        <f t="shared" si="68"/>
        <v>385.08377598011998</v>
      </c>
      <c r="BD176" s="78">
        <f t="shared" si="68"/>
        <v>385.08377598011998</v>
      </c>
      <c r="BE176" s="78">
        <f t="shared" si="68"/>
        <v>385.08377598011998</v>
      </c>
      <c r="BF176" s="78">
        <f t="shared" si="68"/>
        <v>385.08377598011998</v>
      </c>
      <c r="BG176" s="78">
        <f t="shared" si="68"/>
        <v>385.08377598011998</v>
      </c>
      <c r="BH176" s="78">
        <f t="shared" si="68"/>
        <v>385.08377598011998</v>
      </c>
      <c r="BI176" s="78">
        <f t="shared" si="68"/>
        <v>385.08377598011998</v>
      </c>
      <c r="BJ176" s="78">
        <f t="shared" si="68"/>
        <v>385.08377598011998</v>
      </c>
      <c r="BK176" s="78">
        <f t="shared" si="68"/>
        <v>385.08377598011998</v>
      </c>
      <c r="BL176" s="78">
        <f t="shared" si="68"/>
        <v>385.08377598011998</v>
      </c>
      <c r="BM176" s="78">
        <f t="shared" si="68"/>
        <v>385.08377598011998</v>
      </c>
      <c r="BN176" s="78">
        <f t="shared" si="68"/>
        <v>4621.0053117614398</v>
      </c>
      <c r="BP176" s="337"/>
    </row>
    <row r="177" spans="2:66" x14ac:dyDescent="0.2">
      <c r="B177" s="80"/>
      <c r="C177" s="336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</row>
    <row r="178" spans="2:66" x14ac:dyDescent="0.2">
      <c r="B178" s="78" t="s">
        <v>98</v>
      </c>
      <c r="C178" s="334" t="s">
        <v>78</v>
      </c>
      <c r="D178" s="78"/>
      <c r="E178" s="78"/>
      <c r="F178" s="78"/>
      <c r="G178" s="78"/>
      <c r="H178" s="78"/>
      <c r="I178" s="78"/>
      <c r="J178" s="78">
        <f t="shared" ref="J178:BN178" si="69">J176+J146+J106+J76+J71</f>
        <v>2836.579615384615</v>
      </c>
      <c r="K178" s="78">
        <f t="shared" si="69"/>
        <v>3747.8220786409629</v>
      </c>
      <c r="L178" s="78">
        <f t="shared" si="69"/>
        <v>5068.6645418973121</v>
      </c>
      <c r="M178" s="78">
        <f t="shared" si="69"/>
        <v>5945.773671820325</v>
      </c>
      <c r="N178" s="78">
        <f>N176+N146+N106+N76+N71</f>
        <v>17598.839907743211</v>
      </c>
      <c r="O178" s="78">
        <f t="shared" si="69"/>
        <v>7317.8161350766732</v>
      </c>
      <c r="P178" s="78">
        <f>P176+P146+P106+P76+P71</f>
        <v>8502.1253622443983</v>
      </c>
      <c r="Q178" s="78">
        <f t="shared" si="69"/>
        <v>8753.7616347092244</v>
      </c>
      <c r="R178" s="78">
        <f t="shared" si="69"/>
        <v>8561.7616248859831</v>
      </c>
      <c r="S178" s="78">
        <f t="shared" si="69"/>
        <v>8796.4282817294097</v>
      </c>
      <c r="T178" s="78">
        <f t="shared" si="69"/>
        <v>8604.4282719061684</v>
      </c>
      <c r="U178" s="78">
        <f t="shared" si="69"/>
        <v>8583.0949287495951</v>
      </c>
      <c r="V178" s="78">
        <f t="shared" si="69"/>
        <v>8647.0949189263538</v>
      </c>
      <c r="W178" s="78">
        <f t="shared" si="69"/>
        <v>8625.7615757697804</v>
      </c>
      <c r="X178" s="78">
        <f t="shared" si="69"/>
        <v>8689.7615659465391</v>
      </c>
      <c r="Y178" s="78">
        <f t="shared" si="69"/>
        <v>8753.7615561232979</v>
      </c>
      <c r="Z178" s="78">
        <f t="shared" si="69"/>
        <v>8561.7615463000584</v>
      </c>
      <c r="AA178" s="78">
        <f>AA176+AA146+AA106+AA76+AA71</f>
        <v>102397.55740236749</v>
      </c>
      <c r="AB178" s="78">
        <f t="shared" si="69"/>
        <v>8979.0512524508194</v>
      </c>
      <c r="AC178" s="78">
        <f t="shared" si="69"/>
        <v>9149.1498412616274</v>
      </c>
      <c r="AD178" s="78">
        <f t="shared" si="69"/>
        <v>9428.4175009404917</v>
      </c>
      <c r="AE178" s="78">
        <f t="shared" si="69"/>
        <v>9762.7000253097212</v>
      </c>
      <c r="AF178" s="78">
        <f t="shared" si="69"/>
        <v>10151.997296878953</v>
      </c>
      <c r="AG178" s="78">
        <f t="shared" si="69"/>
        <v>10401.910915648183</v>
      </c>
      <c r="AH178" s="78">
        <f t="shared" si="69"/>
        <v>10901.237681617413</v>
      </c>
      <c r="AI178" s="78">
        <f t="shared" si="69"/>
        <v>11358.379994786646</v>
      </c>
      <c r="AJ178" s="78">
        <f t="shared" si="69"/>
        <v>11481.740255155877</v>
      </c>
      <c r="AK178" s="78">
        <f t="shared" si="69"/>
        <v>12048.912062725107</v>
      </c>
      <c r="AL178" s="78">
        <f t="shared" si="69"/>
        <v>12768.297817494338</v>
      </c>
      <c r="AM178" s="78">
        <f t="shared" si="69"/>
        <v>12959.503119463567</v>
      </c>
      <c r="AN178" s="78">
        <f t="shared" si="69"/>
        <v>129391.29776373273</v>
      </c>
      <c r="AO178" s="78">
        <f t="shared" si="69"/>
        <v>13751.590070405453</v>
      </c>
      <c r="AP178" s="78">
        <f t="shared" si="69"/>
        <v>14150.86282110207</v>
      </c>
      <c r="AQ178" s="78">
        <f t="shared" si="69"/>
        <v>14407.964245942683</v>
      </c>
      <c r="AR178" s="78">
        <f t="shared" si="69"/>
        <v>15117.753448927302</v>
      </c>
      <c r="AS178" s="78">
        <f t="shared" si="69"/>
        <v>15387.941774055915</v>
      </c>
      <c r="AT178" s="78">
        <f>AT176+AT146+AT106+AT76+AT71</f>
        <v>15813.388325328528</v>
      </c>
      <c r="AU178" s="78">
        <f t="shared" si="69"/>
        <v>16195.806734745145</v>
      </c>
      <c r="AV178" s="78">
        <f t="shared" si="69"/>
        <v>17138.83742089407</v>
      </c>
      <c r="AW178" s="78">
        <f t="shared" si="69"/>
        <v>16990.122644894069</v>
      </c>
      <c r="AX178" s="78">
        <f t="shared" si="69"/>
        <v>17237.980604894066</v>
      </c>
      <c r="AY178" s="78">
        <f t="shared" si="69"/>
        <v>17089.265828894066</v>
      </c>
      <c r="AZ178" s="78">
        <f t="shared" si="69"/>
        <v>17138.837420894066</v>
      </c>
      <c r="BA178" s="78">
        <f t="shared" si="69"/>
        <v>190420.35134097742</v>
      </c>
      <c r="BB178" s="78">
        <f t="shared" si="69"/>
        <v>14378.472708547313</v>
      </c>
      <c r="BC178" s="78">
        <f t="shared" si="69"/>
        <v>14378.472708547313</v>
      </c>
      <c r="BD178" s="78">
        <f t="shared" si="69"/>
        <v>14378.472708547313</v>
      </c>
      <c r="BE178" s="78">
        <f t="shared" si="69"/>
        <v>14378.472708547313</v>
      </c>
      <c r="BF178" s="78">
        <f t="shared" si="69"/>
        <v>14378.472708547313</v>
      </c>
      <c r="BG178" s="78">
        <f t="shared" si="69"/>
        <v>14378.472708547313</v>
      </c>
      <c r="BH178" s="78">
        <f t="shared" si="69"/>
        <v>14378.472708547313</v>
      </c>
      <c r="BI178" s="78">
        <f t="shared" si="69"/>
        <v>14378.472708547313</v>
      </c>
      <c r="BJ178" s="78">
        <f t="shared" si="69"/>
        <v>14378.472708547313</v>
      </c>
      <c r="BK178" s="78">
        <f t="shared" si="69"/>
        <v>14378.472708547313</v>
      </c>
      <c r="BL178" s="78">
        <f t="shared" si="69"/>
        <v>14378.472708547313</v>
      </c>
      <c r="BM178" s="78">
        <f t="shared" si="69"/>
        <v>14378.472708547313</v>
      </c>
      <c r="BN178" s="78">
        <f t="shared" si="69"/>
        <v>172541.67250256779</v>
      </c>
    </row>
    <row r="179" spans="2:66" x14ac:dyDescent="0.2">
      <c r="B179" s="80"/>
      <c r="C179" s="336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</row>
    <row r="180" spans="2:66" x14ac:dyDescent="0.2">
      <c r="B180" s="78" t="s">
        <v>195</v>
      </c>
      <c r="C180" s="334" t="s">
        <v>78</v>
      </c>
      <c r="D180" s="78"/>
      <c r="E180" s="78"/>
      <c r="F180" s="78"/>
      <c r="G180" s="78"/>
      <c r="H180" s="78"/>
      <c r="I180" s="78"/>
      <c r="J180" s="78">
        <f>J178+J65+J50</f>
        <v>35903.820797176617</v>
      </c>
      <c r="K180" s="78">
        <f t="shared" ref="K180:BA180" si="70">K178+K65+K50</f>
        <v>54441.696185056964</v>
      </c>
      <c r="L180" s="78">
        <f t="shared" si="70"/>
        <v>73399.397651289313</v>
      </c>
      <c r="M180" s="78">
        <f t="shared" si="70"/>
        <v>91910.399321836332</v>
      </c>
      <c r="N180" s="78">
        <f t="shared" si="70"/>
        <v>255655.31395535922</v>
      </c>
      <c r="O180" s="78">
        <f t="shared" si="70"/>
        <v>110920.50420082067</v>
      </c>
      <c r="P180" s="78">
        <f t="shared" si="70"/>
        <v>129713.19410686978</v>
      </c>
      <c r="Q180" s="78">
        <f t="shared" si="70"/>
        <v>132355.84982297171</v>
      </c>
      <c r="R180" s="78">
        <f t="shared" si="70"/>
        <v>132163.84981314847</v>
      </c>
      <c r="S180" s="78">
        <f t="shared" si="70"/>
        <v>132552.92946999188</v>
      </c>
      <c r="T180" s="78">
        <f t="shared" si="70"/>
        <v>132360.92946016864</v>
      </c>
      <c r="U180" s="78">
        <f t="shared" si="70"/>
        <v>132339.59611701209</v>
      </c>
      <c r="V180" s="78">
        <f t="shared" si="70"/>
        <v>132403.59610718885</v>
      </c>
      <c r="W180" s="78">
        <f t="shared" si="70"/>
        <v>132382.26276403226</v>
      </c>
      <c r="X180" s="78">
        <f t="shared" si="70"/>
        <v>132446.26275420902</v>
      </c>
      <c r="Y180" s="78">
        <f t="shared" si="70"/>
        <v>132510.26274438578</v>
      </c>
      <c r="Z180" s="78">
        <f t="shared" si="70"/>
        <v>132318.26273456257</v>
      </c>
      <c r="AA180" s="78">
        <f t="shared" si="70"/>
        <v>1564467.5000953616</v>
      </c>
      <c r="AB180" s="78">
        <f t="shared" si="70"/>
        <v>135210.68246447854</v>
      </c>
      <c r="AC180" s="78">
        <f t="shared" si="70"/>
        <v>135380.78105328936</v>
      </c>
      <c r="AD180" s="78">
        <f t="shared" si="70"/>
        <v>142309.28353957075</v>
      </c>
      <c r="AE180" s="78">
        <f t="shared" si="70"/>
        <v>149287.07718025625</v>
      </c>
      <c r="AF180" s="78">
        <f t="shared" si="70"/>
        <v>156315.19917814172</v>
      </c>
      <c r="AG180" s="78">
        <f t="shared" si="70"/>
        <v>163208.62391322717</v>
      </c>
      <c r="AH180" s="78">
        <f t="shared" si="70"/>
        <v>170343.90148621798</v>
      </c>
      <c r="AI180" s="78">
        <f t="shared" si="70"/>
        <v>177438.83068152316</v>
      </c>
      <c r="AJ180" s="78">
        <f t="shared" si="70"/>
        <v>184198.14174891391</v>
      </c>
      <c r="AK180" s="78">
        <f t="shared" si="70"/>
        <v>191408.82467279938</v>
      </c>
      <c r="AL180" s="78">
        <f t="shared" si="70"/>
        <v>198758.99621300696</v>
      </c>
      <c r="AM180" s="78">
        <f t="shared" si="70"/>
        <v>205586.15232199774</v>
      </c>
      <c r="AN180" s="78">
        <f t="shared" si="70"/>
        <v>2009446.4944534232</v>
      </c>
      <c r="AO180" s="78">
        <f t="shared" si="70"/>
        <v>217010.0849933135</v>
      </c>
      <c r="AP180" s="78">
        <f t="shared" si="70"/>
        <v>224178.02756717207</v>
      </c>
      <c r="AQ180" s="78">
        <f t="shared" si="70"/>
        <v>231211.51033065529</v>
      </c>
      <c r="AR180" s="78">
        <f t="shared" si="70"/>
        <v>238685.75963585087</v>
      </c>
      <c r="AS180" s="78">
        <f t="shared" si="70"/>
        <v>245732.32929962207</v>
      </c>
      <c r="AT180" s="78">
        <f t="shared" si="70"/>
        <v>252926.44567405665</v>
      </c>
      <c r="AU180" s="78">
        <f t="shared" si="70"/>
        <v>260079.40670325194</v>
      </c>
      <c r="AV180" s="78">
        <f t="shared" si="70"/>
        <v>274626.9511549747</v>
      </c>
      <c r="AW180" s="78">
        <f t="shared" si="70"/>
        <v>274478.23637897469</v>
      </c>
      <c r="AX180" s="78">
        <f t="shared" si="70"/>
        <v>274726.09433897468</v>
      </c>
      <c r="AY180" s="78">
        <f t="shared" si="70"/>
        <v>274577.37956297467</v>
      </c>
      <c r="AZ180" s="78">
        <f t="shared" si="70"/>
        <v>274626.9511549747</v>
      </c>
      <c r="BA180" s="78">
        <f t="shared" si="70"/>
        <v>3042859.1767947963</v>
      </c>
      <c r="BB180" s="78" t="e">
        <f>BB178+BB65+#REF!</f>
        <v>#REF!</v>
      </c>
      <c r="BC180" s="78" t="e">
        <f>BC178+BC65+#REF!</f>
        <v>#REF!</v>
      </c>
      <c r="BD180" s="78" t="e">
        <f>BD178+BD65+#REF!</f>
        <v>#REF!</v>
      </c>
      <c r="BE180" s="78" t="e">
        <f>BE178+BE65+#REF!</f>
        <v>#REF!</v>
      </c>
      <c r="BF180" s="78" t="e">
        <f>BF178+BF65+#REF!</f>
        <v>#REF!</v>
      </c>
      <c r="BG180" s="78" t="e">
        <f>BG178+BG65+#REF!</f>
        <v>#REF!</v>
      </c>
      <c r="BH180" s="78" t="e">
        <f>BH178+BH65+#REF!</f>
        <v>#REF!</v>
      </c>
      <c r="BI180" s="78" t="e">
        <f>BI178+BI65+#REF!</f>
        <v>#REF!</v>
      </c>
      <c r="BJ180" s="78" t="e">
        <f>BJ178+BJ65+#REF!</f>
        <v>#REF!</v>
      </c>
      <c r="BK180" s="78" t="e">
        <f>BK178+BK65+#REF!</f>
        <v>#REF!</v>
      </c>
      <c r="BL180" s="78" t="e">
        <f>BL178+BL65+#REF!</f>
        <v>#REF!</v>
      </c>
      <c r="BM180" s="78" t="e">
        <f>BM178+BM65+#REF!</f>
        <v>#REF!</v>
      </c>
      <c r="BN180" s="78" t="e">
        <f>BN178+BN65+#REF!</f>
        <v>#REF!</v>
      </c>
    </row>
    <row r="181" spans="2:66" x14ac:dyDescent="0.2">
      <c r="B181" s="80"/>
      <c r="C181" s="336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</row>
    <row r="182" spans="2:66" x14ac:dyDescent="0.2">
      <c r="B182" s="80" t="s">
        <v>37</v>
      </c>
    </row>
    <row r="183" spans="2:66" x14ac:dyDescent="0.2">
      <c r="B183" s="76" t="str">
        <f>Assumptions!B218</f>
        <v>Product Testing</v>
      </c>
      <c r="C183" s="76" t="s">
        <v>41</v>
      </c>
      <c r="J183" s="76">
        <f>Assumptions!J218</f>
        <v>1000</v>
      </c>
      <c r="K183" s="76">
        <f>Assumptions!K218</f>
        <v>0</v>
      </c>
      <c r="L183" s="76">
        <f>Assumptions!L218</f>
        <v>0</v>
      </c>
      <c r="M183" s="76">
        <f>Assumptions!M218</f>
        <v>0</v>
      </c>
      <c r="N183" s="76">
        <f>Assumptions!N218</f>
        <v>1000</v>
      </c>
      <c r="O183" s="76">
        <f>Assumptions!O218</f>
        <v>0</v>
      </c>
      <c r="P183" s="76">
        <f>Assumptions!P218</f>
        <v>0</v>
      </c>
      <c r="Q183" s="76">
        <f>Assumptions!Q218</f>
        <v>0</v>
      </c>
      <c r="R183" s="76">
        <f>Assumptions!R218</f>
        <v>0</v>
      </c>
      <c r="S183" s="76">
        <f>Assumptions!S218</f>
        <v>0</v>
      </c>
      <c r="T183" s="76">
        <f>Assumptions!T218</f>
        <v>0</v>
      </c>
      <c r="U183" s="76">
        <f>Assumptions!U218</f>
        <v>0</v>
      </c>
      <c r="V183" s="76">
        <f>Assumptions!V218</f>
        <v>0</v>
      </c>
      <c r="W183" s="76">
        <f>Assumptions!W218</f>
        <v>0</v>
      </c>
      <c r="X183" s="76">
        <f>Assumptions!X218</f>
        <v>0</v>
      </c>
      <c r="Y183" s="76">
        <f>Assumptions!Y218</f>
        <v>0</v>
      </c>
      <c r="Z183" s="76">
        <f>Assumptions!Z218</f>
        <v>0</v>
      </c>
      <c r="AA183" s="76">
        <f>Assumptions!AA218</f>
        <v>0</v>
      </c>
      <c r="AB183" s="76">
        <f>Assumptions!AB218</f>
        <v>0</v>
      </c>
      <c r="AC183" s="76">
        <f>Assumptions!AC218</f>
        <v>0</v>
      </c>
      <c r="AD183" s="76">
        <f>Assumptions!AD218</f>
        <v>0</v>
      </c>
      <c r="AE183" s="76">
        <f>Assumptions!AE218</f>
        <v>0</v>
      </c>
      <c r="AF183" s="76">
        <f>Assumptions!AF218</f>
        <v>0</v>
      </c>
      <c r="AG183" s="76">
        <f>Assumptions!AG218</f>
        <v>0</v>
      </c>
      <c r="AH183" s="76">
        <f>Assumptions!AH218</f>
        <v>0</v>
      </c>
      <c r="AI183" s="76">
        <f>Assumptions!AI218</f>
        <v>0</v>
      </c>
      <c r="AJ183" s="76">
        <f>Assumptions!AJ218</f>
        <v>0</v>
      </c>
      <c r="AK183" s="76">
        <f>Assumptions!AK218</f>
        <v>0</v>
      </c>
      <c r="AL183" s="76">
        <f>Assumptions!AL218</f>
        <v>0</v>
      </c>
      <c r="AM183" s="76">
        <f>Assumptions!AM218</f>
        <v>0</v>
      </c>
      <c r="AN183" s="76">
        <f>Assumptions!AN218</f>
        <v>0</v>
      </c>
      <c r="AO183" s="76">
        <f>Assumptions!AO218</f>
        <v>0</v>
      </c>
      <c r="AP183" s="76">
        <f>Assumptions!AP218</f>
        <v>0</v>
      </c>
      <c r="AQ183" s="76">
        <f>Assumptions!AQ218</f>
        <v>0</v>
      </c>
      <c r="AR183" s="76">
        <f>Assumptions!AR218</f>
        <v>0</v>
      </c>
      <c r="AS183" s="76">
        <f>Assumptions!AS218</f>
        <v>0</v>
      </c>
      <c r="AT183" s="76">
        <f>Assumptions!AT218</f>
        <v>0</v>
      </c>
      <c r="AU183" s="76">
        <f>Assumptions!AU218</f>
        <v>0</v>
      </c>
      <c r="AV183" s="76">
        <f>Assumptions!AV218</f>
        <v>0</v>
      </c>
      <c r="AW183" s="76">
        <f>Assumptions!AW218</f>
        <v>0</v>
      </c>
      <c r="AX183" s="76">
        <f>Assumptions!AX218</f>
        <v>0</v>
      </c>
      <c r="AY183" s="76">
        <f>Assumptions!AY218</f>
        <v>0</v>
      </c>
      <c r="AZ183" s="76">
        <f>Assumptions!AZ218</f>
        <v>0</v>
      </c>
      <c r="BA183" s="76">
        <f>Assumptions!BA218</f>
        <v>0</v>
      </c>
      <c r="BB183" s="76">
        <f>Assumptions!BB218</f>
        <v>0</v>
      </c>
      <c r="BC183" s="76">
        <f>Assumptions!BC218</f>
        <v>0</v>
      </c>
      <c r="BD183" s="76">
        <f>Assumptions!BD218</f>
        <v>0</v>
      </c>
      <c r="BE183" s="76">
        <f>Assumptions!BE218</f>
        <v>0</v>
      </c>
      <c r="BF183" s="76">
        <f>Assumptions!BF218</f>
        <v>0</v>
      </c>
      <c r="BG183" s="76">
        <f>Assumptions!BG218</f>
        <v>0</v>
      </c>
      <c r="BH183" s="76">
        <f>Assumptions!BH218</f>
        <v>0</v>
      </c>
      <c r="BI183" s="76">
        <f>Assumptions!BI218</f>
        <v>0</v>
      </c>
      <c r="BJ183" s="76">
        <f>Assumptions!BJ218</f>
        <v>0</v>
      </c>
      <c r="BK183" s="76">
        <f>Assumptions!BK218</f>
        <v>0</v>
      </c>
      <c r="BL183" s="76">
        <f>Assumptions!BL218</f>
        <v>0</v>
      </c>
      <c r="BM183" s="76">
        <f>Assumptions!BM218</f>
        <v>0</v>
      </c>
      <c r="BN183" s="76">
        <f>Assumptions!BN218</f>
        <v>0</v>
      </c>
    </row>
    <row r="184" spans="2:66" x14ac:dyDescent="0.2">
      <c r="B184" s="76" t="str">
        <f>Assumptions!B219</f>
        <v>Accounting Software &amp; Audit Fees</v>
      </c>
      <c r="C184" s="76" t="s">
        <v>41</v>
      </c>
      <c r="J184" s="76">
        <f>Assumptions!J219</f>
        <v>66.666666666666671</v>
      </c>
      <c r="K184" s="76">
        <f>Assumptions!K219</f>
        <v>66.666666666666671</v>
      </c>
      <c r="L184" s="76">
        <f>Assumptions!L219</f>
        <v>66.666666666666671</v>
      </c>
      <c r="M184" s="76">
        <f>Assumptions!M219</f>
        <v>66.666666666666671</v>
      </c>
      <c r="N184" s="76">
        <f>Assumptions!N219</f>
        <v>266.66666666666669</v>
      </c>
      <c r="O184" s="76">
        <f>Assumptions!O219</f>
        <v>66.666666666666671</v>
      </c>
      <c r="P184" s="76">
        <f>Assumptions!P219</f>
        <v>66.666666666666671</v>
      </c>
      <c r="Q184" s="76">
        <f>Assumptions!Q219</f>
        <v>66.666666666666671</v>
      </c>
      <c r="R184" s="76">
        <f>Assumptions!R219</f>
        <v>66.666666666666671</v>
      </c>
      <c r="S184" s="76">
        <f>Assumptions!S219</f>
        <v>66.666666666666671</v>
      </c>
      <c r="T184" s="76">
        <f>Assumptions!T219</f>
        <v>66.666666666666671</v>
      </c>
      <c r="U184" s="76">
        <f>Assumptions!U219</f>
        <v>66.666666666666671</v>
      </c>
      <c r="V184" s="76">
        <f>Assumptions!V219</f>
        <v>66.666666666666671</v>
      </c>
      <c r="W184" s="76">
        <f>Assumptions!W219</f>
        <v>66.666666666666671</v>
      </c>
      <c r="X184" s="76">
        <f>Assumptions!X219</f>
        <v>66.666666666666671</v>
      </c>
      <c r="Y184" s="76">
        <f>Assumptions!Y219</f>
        <v>66.666666666666671</v>
      </c>
      <c r="Z184" s="76">
        <f>Assumptions!Z219</f>
        <v>66.666666666666671</v>
      </c>
      <c r="AA184" s="76">
        <f>Assumptions!AA219</f>
        <v>800</v>
      </c>
      <c r="AB184" s="76">
        <f>Assumptions!AB219</f>
        <v>68</v>
      </c>
      <c r="AC184" s="76">
        <f>Assumptions!AC219</f>
        <v>68</v>
      </c>
      <c r="AD184" s="76">
        <f>Assumptions!AD219</f>
        <v>68</v>
      </c>
      <c r="AE184" s="76">
        <f>Assumptions!AE219</f>
        <v>68</v>
      </c>
      <c r="AF184" s="76">
        <f>Assumptions!AF219</f>
        <v>68</v>
      </c>
      <c r="AG184" s="76">
        <f>Assumptions!AG219</f>
        <v>68</v>
      </c>
      <c r="AH184" s="76">
        <f>Assumptions!AH219</f>
        <v>68</v>
      </c>
      <c r="AI184" s="76">
        <f>Assumptions!AI219</f>
        <v>68</v>
      </c>
      <c r="AJ184" s="76">
        <f>Assumptions!AJ219</f>
        <v>68</v>
      </c>
      <c r="AK184" s="76">
        <f>Assumptions!AK219</f>
        <v>68</v>
      </c>
      <c r="AL184" s="76">
        <f>Assumptions!AL219</f>
        <v>68</v>
      </c>
      <c r="AM184" s="76">
        <f>Assumptions!AM219</f>
        <v>68</v>
      </c>
      <c r="AN184" s="76">
        <f>Assumptions!AN219</f>
        <v>816</v>
      </c>
      <c r="AO184" s="76">
        <f>Assumptions!AO219</f>
        <v>69.36</v>
      </c>
      <c r="AP184" s="76">
        <f>Assumptions!AP219</f>
        <v>69.36</v>
      </c>
      <c r="AQ184" s="76">
        <f>Assumptions!AQ219</f>
        <v>69.36</v>
      </c>
      <c r="AR184" s="76">
        <f>Assumptions!AR219</f>
        <v>69.36</v>
      </c>
      <c r="AS184" s="76">
        <f>Assumptions!AS219</f>
        <v>69.36</v>
      </c>
      <c r="AT184" s="76">
        <f>Assumptions!AT219</f>
        <v>69.36</v>
      </c>
      <c r="AU184" s="76">
        <f>Assumptions!AU219</f>
        <v>69.36</v>
      </c>
      <c r="AV184" s="76">
        <f>Assumptions!AV219</f>
        <v>69.36</v>
      </c>
      <c r="AW184" s="76">
        <f>Assumptions!AW219</f>
        <v>69.36</v>
      </c>
      <c r="AX184" s="76">
        <f>Assumptions!AX219</f>
        <v>69.36</v>
      </c>
      <c r="AY184" s="76">
        <f>Assumptions!AY219</f>
        <v>69.36</v>
      </c>
      <c r="AZ184" s="76">
        <f>Assumptions!AZ219</f>
        <v>69.36</v>
      </c>
      <c r="BA184" s="76">
        <f>Assumptions!BA219</f>
        <v>832.32</v>
      </c>
      <c r="BB184" s="76">
        <f>Assumptions!BB219</f>
        <v>70.747200000000007</v>
      </c>
      <c r="BC184" s="76">
        <f>Assumptions!BC219</f>
        <v>70.747200000000007</v>
      </c>
      <c r="BD184" s="76">
        <f>Assumptions!BD219</f>
        <v>70.747200000000007</v>
      </c>
      <c r="BE184" s="76">
        <f>Assumptions!BE219</f>
        <v>70.747200000000007</v>
      </c>
      <c r="BF184" s="76">
        <f>Assumptions!BF219</f>
        <v>70.747200000000007</v>
      </c>
      <c r="BG184" s="76">
        <f>Assumptions!BG219</f>
        <v>70.747200000000007</v>
      </c>
      <c r="BH184" s="76">
        <f>Assumptions!BH219</f>
        <v>70.747200000000007</v>
      </c>
      <c r="BI184" s="76">
        <f>Assumptions!BI219</f>
        <v>70.747200000000007</v>
      </c>
      <c r="BJ184" s="76">
        <f>Assumptions!BJ219</f>
        <v>70.747200000000007</v>
      </c>
      <c r="BK184" s="76">
        <f>Assumptions!BK219</f>
        <v>70.747200000000007</v>
      </c>
      <c r="BL184" s="76">
        <f>Assumptions!BL219</f>
        <v>70.747200000000007</v>
      </c>
      <c r="BM184" s="76">
        <f>Assumptions!BM219</f>
        <v>70.747200000000007</v>
      </c>
      <c r="BN184" s="76">
        <f>Assumptions!BN219</f>
        <v>848.96640000000002</v>
      </c>
    </row>
    <row r="185" spans="2:66" x14ac:dyDescent="0.2">
      <c r="B185" s="76" t="str">
        <f>Assumptions!B220</f>
        <v>IT Expenses</v>
      </c>
      <c r="C185" s="76" t="s">
        <v>41</v>
      </c>
      <c r="J185" s="76">
        <f>Assumptions!J220</f>
        <v>291.66666666666669</v>
      </c>
      <c r="K185" s="76">
        <f>Assumptions!K220</f>
        <v>291.66666666666669</v>
      </c>
      <c r="L185" s="76">
        <f>Assumptions!L220</f>
        <v>291.66666666666669</v>
      </c>
      <c r="M185" s="76">
        <f>Assumptions!M220</f>
        <v>291.66666666666669</v>
      </c>
      <c r="N185" s="76">
        <f>Assumptions!N220</f>
        <v>1166.6666666666667</v>
      </c>
      <c r="O185" s="76">
        <f>Assumptions!O220</f>
        <v>291.66666666666669</v>
      </c>
      <c r="P185" s="76">
        <f>Assumptions!P220</f>
        <v>291.66666666666669</v>
      </c>
      <c r="Q185" s="76">
        <f>Assumptions!Q220</f>
        <v>291.66666666666669</v>
      </c>
      <c r="R185" s="76">
        <f>Assumptions!R220</f>
        <v>291.66666666666669</v>
      </c>
      <c r="S185" s="76">
        <f>Assumptions!S220</f>
        <v>291.66666666666669</v>
      </c>
      <c r="T185" s="76">
        <f>Assumptions!T220</f>
        <v>291.66666666666669</v>
      </c>
      <c r="U185" s="76">
        <f>Assumptions!U220</f>
        <v>291.66666666666669</v>
      </c>
      <c r="V185" s="76">
        <f>Assumptions!V220</f>
        <v>291.66666666666669</v>
      </c>
      <c r="W185" s="76">
        <f>Assumptions!W220</f>
        <v>291.66666666666669</v>
      </c>
      <c r="X185" s="76">
        <f>Assumptions!X220</f>
        <v>291.66666666666669</v>
      </c>
      <c r="Y185" s="76">
        <f>Assumptions!Y220</f>
        <v>291.66666666666669</v>
      </c>
      <c r="Z185" s="76">
        <f>Assumptions!Z220</f>
        <v>291.66666666666669</v>
      </c>
      <c r="AA185" s="76">
        <f>Assumptions!AA220</f>
        <v>3500</v>
      </c>
      <c r="AB185" s="76">
        <f>Assumptions!AB220</f>
        <v>297.5</v>
      </c>
      <c r="AC185" s="76">
        <f>Assumptions!AC220</f>
        <v>297.5</v>
      </c>
      <c r="AD185" s="76">
        <f>Assumptions!AD220</f>
        <v>297.5</v>
      </c>
      <c r="AE185" s="76">
        <f>Assumptions!AE220</f>
        <v>297.5</v>
      </c>
      <c r="AF185" s="76">
        <f>Assumptions!AF220</f>
        <v>297.5</v>
      </c>
      <c r="AG185" s="76">
        <f>Assumptions!AG220</f>
        <v>297.5</v>
      </c>
      <c r="AH185" s="76">
        <f>Assumptions!AH220</f>
        <v>297.5</v>
      </c>
      <c r="AI185" s="76">
        <f>Assumptions!AI220</f>
        <v>297.5</v>
      </c>
      <c r="AJ185" s="76">
        <f>Assumptions!AJ220</f>
        <v>297.5</v>
      </c>
      <c r="AK185" s="76">
        <f>Assumptions!AK220</f>
        <v>297.5</v>
      </c>
      <c r="AL185" s="76">
        <f>Assumptions!AL220</f>
        <v>297.5</v>
      </c>
      <c r="AM185" s="76">
        <f>Assumptions!AM220</f>
        <v>297.5</v>
      </c>
      <c r="AN185" s="76">
        <f>Assumptions!AN220</f>
        <v>3570</v>
      </c>
      <c r="AO185" s="76">
        <f>Assumptions!AO220</f>
        <v>303.45</v>
      </c>
      <c r="AP185" s="76">
        <f>Assumptions!AP220</f>
        <v>303.45</v>
      </c>
      <c r="AQ185" s="76">
        <f>Assumptions!AQ220</f>
        <v>303.45</v>
      </c>
      <c r="AR185" s="76">
        <f>Assumptions!AR220</f>
        <v>303.45</v>
      </c>
      <c r="AS185" s="76">
        <f>Assumptions!AS220</f>
        <v>303.45</v>
      </c>
      <c r="AT185" s="76">
        <f>Assumptions!AT220</f>
        <v>303.45</v>
      </c>
      <c r="AU185" s="76">
        <f>Assumptions!AU220</f>
        <v>303.45</v>
      </c>
      <c r="AV185" s="76">
        <f>Assumptions!AV220</f>
        <v>303.45</v>
      </c>
      <c r="AW185" s="76">
        <f>Assumptions!AW220</f>
        <v>303.45</v>
      </c>
      <c r="AX185" s="76">
        <f>Assumptions!AX220</f>
        <v>303.45</v>
      </c>
      <c r="AY185" s="76">
        <f>Assumptions!AY220</f>
        <v>303.45</v>
      </c>
      <c r="AZ185" s="76">
        <f>Assumptions!AZ220</f>
        <v>303.45</v>
      </c>
      <c r="BA185" s="76">
        <f>Assumptions!BA220</f>
        <v>3641.4</v>
      </c>
      <c r="BB185" s="76">
        <f>Assumptions!BB220</f>
        <v>309.51900000000001</v>
      </c>
      <c r="BC185" s="76">
        <f>Assumptions!BC220</f>
        <v>309.51900000000001</v>
      </c>
      <c r="BD185" s="76">
        <f>Assumptions!BD220</f>
        <v>309.51900000000001</v>
      </c>
      <c r="BE185" s="76">
        <f>Assumptions!BE220</f>
        <v>309.51900000000001</v>
      </c>
      <c r="BF185" s="76">
        <f>Assumptions!BF220</f>
        <v>309.51900000000001</v>
      </c>
      <c r="BG185" s="76">
        <f>Assumptions!BG220</f>
        <v>309.51900000000001</v>
      </c>
      <c r="BH185" s="76">
        <f>Assumptions!BH220</f>
        <v>309.51900000000001</v>
      </c>
      <c r="BI185" s="76">
        <f>Assumptions!BI220</f>
        <v>309.51900000000001</v>
      </c>
      <c r="BJ185" s="76">
        <f>Assumptions!BJ220</f>
        <v>309.51900000000001</v>
      </c>
      <c r="BK185" s="76">
        <f>Assumptions!BK220</f>
        <v>309.51900000000001</v>
      </c>
      <c r="BL185" s="76">
        <f>Assumptions!BL220</f>
        <v>309.51900000000001</v>
      </c>
      <c r="BM185" s="76">
        <f>Assumptions!BM220</f>
        <v>309.51900000000001</v>
      </c>
      <c r="BN185" s="76">
        <f>Assumptions!BN220</f>
        <v>3714.2280000000001</v>
      </c>
    </row>
    <row r="186" spans="2:66" x14ac:dyDescent="0.2">
      <c r="B186" s="76" t="str">
        <f>Assumptions!B221</f>
        <v>Miscellaneous</v>
      </c>
      <c r="C186" s="76" t="s">
        <v>41</v>
      </c>
      <c r="J186" s="76">
        <f>Assumptions!J221</f>
        <v>1666.6666666666667</v>
      </c>
      <c r="K186" s="76">
        <f>Assumptions!K221</f>
        <v>1666.6666666666667</v>
      </c>
      <c r="L186" s="76">
        <f>Assumptions!L221</f>
        <v>1666.6666666666667</v>
      </c>
      <c r="M186" s="76">
        <f>Assumptions!M221</f>
        <v>1666.6666666666667</v>
      </c>
      <c r="N186" s="76">
        <f>Assumptions!N221</f>
        <v>6666.666666666667</v>
      </c>
      <c r="O186" s="76">
        <f>Assumptions!O221</f>
        <v>1666.6666666666667</v>
      </c>
      <c r="P186" s="76">
        <f>Assumptions!P221</f>
        <v>1666.6666666666667</v>
      </c>
      <c r="Q186" s="76">
        <f>Assumptions!Q221</f>
        <v>1666.6666666666667</v>
      </c>
      <c r="R186" s="76">
        <f>Assumptions!R221</f>
        <v>1666.6666666666667</v>
      </c>
      <c r="S186" s="76">
        <f>Assumptions!S221</f>
        <v>1666.6666666666667</v>
      </c>
      <c r="T186" s="76">
        <f>Assumptions!T221</f>
        <v>1666.6666666666667</v>
      </c>
      <c r="U186" s="76">
        <f>Assumptions!U221</f>
        <v>1666.6666666666667</v>
      </c>
      <c r="V186" s="76">
        <f>Assumptions!V221</f>
        <v>1666.6666666666667</v>
      </c>
      <c r="W186" s="76">
        <f>Assumptions!W221</f>
        <v>1666.6666666666667</v>
      </c>
      <c r="X186" s="76">
        <f>Assumptions!X221</f>
        <v>1666.6666666666667</v>
      </c>
      <c r="Y186" s="76">
        <f>Assumptions!Y221</f>
        <v>1666.6666666666667</v>
      </c>
      <c r="Z186" s="76">
        <f>Assumptions!Z221</f>
        <v>1666.6666666666667</v>
      </c>
      <c r="AA186" s="76">
        <f>Assumptions!AA221</f>
        <v>20000</v>
      </c>
      <c r="AB186" s="76">
        <f>Assumptions!AB221</f>
        <v>1700</v>
      </c>
      <c r="AC186" s="76">
        <f>Assumptions!AC221</f>
        <v>1700</v>
      </c>
      <c r="AD186" s="76">
        <f>Assumptions!AD221</f>
        <v>1700</v>
      </c>
      <c r="AE186" s="76">
        <f>Assumptions!AE221</f>
        <v>1700</v>
      </c>
      <c r="AF186" s="76">
        <f>Assumptions!AF221</f>
        <v>1700</v>
      </c>
      <c r="AG186" s="76">
        <f>Assumptions!AG221</f>
        <v>1700</v>
      </c>
      <c r="AH186" s="76">
        <f>Assumptions!AH221</f>
        <v>1700</v>
      </c>
      <c r="AI186" s="76">
        <f>Assumptions!AI221</f>
        <v>1700</v>
      </c>
      <c r="AJ186" s="76">
        <f>Assumptions!AJ221</f>
        <v>1700</v>
      </c>
      <c r="AK186" s="76">
        <f>Assumptions!AK221</f>
        <v>1700</v>
      </c>
      <c r="AL186" s="76">
        <f>Assumptions!AL221</f>
        <v>1700</v>
      </c>
      <c r="AM186" s="76">
        <f>Assumptions!AM221</f>
        <v>1700</v>
      </c>
      <c r="AN186" s="76">
        <f>Assumptions!AN221</f>
        <v>20400</v>
      </c>
      <c r="AO186" s="76">
        <f>Assumptions!AO221</f>
        <v>1734</v>
      </c>
      <c r="AP186" s="76">
        <f>Assumptions!AP221</f>
        <v>1734</v>
      </c>
      <c r="AQ186" s="76">
        <f>Assumptions!AQ221</f>
        <v>1734</v>
      </c>
      <c r="AR186" s="76">
        <f>Assumptions!AR221</f>
        <v>1734</v>
      </c>
      <c r="AS186" s="76">
        <f>Assumptions!AS221</f>
        <v>1734</v>
      </c>
      <c r="AT186" s="76">
        <f>Assumptions!AT221</f>
        <v>1734</v>
      </c>
      <c r="AU186" s="76">
        <f>Assumptions!AU221</f>
        <v>1734</v>
      </c>
      <c r="AV186" s="76">
        <f>Assumptions!AV221</f>
        <v>1734</v>
      </c>
      <c r="AW186" s="76">
        <f>Assumptions!AW221</f>
        <v>1734</v>
      </c>
      <c r="AX186" s="76">
        <f>Assumptions!AX221</f>
        <v>1734</v>
      </c>
      <c r="AY186" s="76">
        <f>Assumptions!AY221</f>
        <v>1734</v>
      </c>
      <c r="AZ186" s="76">
        <f>Assumptions!AZ221</f>
        <v>1734</v>
      </c>
      <c r="BA186" s="76">
        <f>Assumptions!BA221</f>
        <v>20808</v>
      </c>
      <c r="BB186" s="76">
        <f>Assumptions!BB221</f>
        <v>1768.68</v>
      </c>
      <c r="BC186" s="76">
        <f>Assumptions!BC221</f>
        <v>1768.68</v>
      </c>
      <c r="BD186" s="76">
        <f>Assumptions!BD221</f>
        <v>1768.68</v>
      </c>
      <c r="BE186" s="76">
        <f>Assumptions!BE221</f>
        <v>1768.68</v>
      </c>
      <c r="BF186" s="76">
        <f>Assumptions!BF221</f>
        <v>1768.68</v>
      </c>
      <c r="BG186" s="76">
        <f>Assumptions!BG221</f>
        <v>1768.68</v>
      </c>
      <c r="BH186" s="76">
        <f>Assumptions!BH221</f>
        <v>1768.68</v>
      </c>
      <c r="BI186" s="76">
        <f>Assumptions!BI221</f>
        <v>1768.68</v>
      </c>
      <c r="BJ186" s="76">
        <f>Assumptions!BJ221</f>
        <v>1768.68</v>
      </c>
      <c r="BK186" s="76">
        <f>Assumptions!BK221</f>
        <v>1768.68</v>
      </c>
      <c r="BL186" s="76">
        <f>Assumptions!BL221</f>
        <v>1768.68</v>
      </c>
      <c r="BM186" s="76">
        <f>Assumptions!BM221</f>
        <v>1768.68</v>
      </c>
      <c r="BN186" s="76">
        <f>Assumptions!BN221</f>
        <v>21224.16</v>
      </c>
    </row>
    <row r="187" spans="2:66" x14ac:dyDescent="0.2">
      <c r="B187" s="76" t="str">
        <f>Assumptions!B222</f>
        <v>Bank Charges</v>
      </c>
      <c r="C187" s="76" t="s">
        <v>41</v>
      </c>
      <c r="J187" s="76">
        <f>Assumptions!J222*'Output '!J27</f>
        <v>410.00094039180698</v>
      </c>
      <c r="K187" s="76">
        <f>Assumptions!K222*'Output '!K27</f>
        <v>628.71026352659339</v>
      </c>
      <c r="L187" s="76">
        <f>Assumptions!L222*'Output '!L27</f>
        <v>847.35937398866668</v>
      </c>
      <c r="M187" s="76">
        <f>Assumptions!M222*'Output '!M27</f>
        <v>1066.0686971234527</v>
      </c>
      <c r="N187" s="76">
        <f>Assumptions!N222*'Output '!N27</f>
        <v>2952.1392750305199</v>
      </c>
      <c r="O187" s="76">
        <f>Assumptions!O222*'Output '!O27</f>
        <v>1284.7328153417793</v>
      </c>
      <c r="P187" s="76">
        <f>Assumptions!P222*'Output '!P27</f>
        <v>1503.3819439466004</v>
      </c>
      <c r="Q187" s="76">
        <f>Assumptions!Q222*'Output '!Q27</f>
        <v>1534.9529647694787</v>
      </c>
      <c r="R187" s="76">
        <f>Assumptions!R222*'Output '!R27</f>
        <v>1534.9529647694787</v>
      </c>
      <c r="S187" s="76">
        <f>Assumptions!S222*'Output '!S27</f>
        <v>1534.9529647694787</v>
      </c>
      <c r="T187" s="76">
        <f>Assumptions!T222*'Output '!T27</f>
        <v>1534.9529647694787</v>
      </c>
      <c r="U187" s="76">
        <f>Assumptions!U222*'Output '!U27</f>
        <v>1534.9529647694787</v>
      </c>
      <c r="V187" s="76">
        <f>Assumptions!V222*'Output '!V27</f>
        <v>1534.9529647694787</v>
      </c>
      <c r="W187" s="76">
        <f>Assumptions!W222*'Output '!W27</f>
        <v>1534.9529647694787</v>
      </c>
      <c r="X187" s="76">
        <f>Assumptions!X222*'Output '!X27</f>
        <v>1534.9529647694787</v>
      </c>
      <c r="Y187" s="76">
        <f>Assumptions!Y222*'Output '!Y27</f>
        <v>1534.9529647694787</v>
      </c>
      <c r="Z187" s="76">
        <f>Assumptions!Z222*'Output '!Z27</f>
        <v>1534.9529647694787</v>
      </c>
      <c r="AA187" s="76">
        <f>Assumptions!AA222*'Output '!AA27</f>
        <v>18137.644406983167</v>
      </c>
      <c r="AB187" s="76">
        <f>Assumptions!AB222*'Output '!AB27</f>
        <v>1565.6520240648686</v>
      </c>
      <c r="AC187" s="76">
        <f>Assumptions!AC222*'Output '!AC27</f>
        <v>1565.6520240648686</v>
      </c>
      <c r="AD187" s="76">
        <f>Assumptions!AD222*'Output '!AD27</f>
        <v>1648.0276115099957</v>
      </c>
      <c r="AE187" s="76">
        <f>Assumptions!AE222*'Output '!AE27</f>
        <v>1730.4032178493444</v>
      </c>
      <c r="AF187" s="76">
        <f>Assumptions!AF222*'Output '!AF27</f>
        <v>1812.809734592214</v>
      </c>
      <c r="AG187" s="76">
        <f>Assumptions!AG222*'Output '!AG27</f>
        <v>1895.1853409315627</v>
      </c>
      <c r="AH187" s="76">
        <f>Assumptions!AH222*'Output '!AH27</f>
        <v>1977.5609472709114</v>
      </c>
      <c r="AI187" s="76">
        <f>Assumptions!AI222*'Output '!AI27</f>
        <v>2059.8738469286423</v>
      </c>
      <c r="AJ187" s="76">
        <f>Assumptions!AJ222*'Output '!AJ27</f>
        <v>2142.2494532679907</v>
      </c>
      <c r="AK187" s="76">
        <f>Assumptions!AK222*'Output '!AK27</f>
        <v>2224.6250596073392</v>
      </c>
      <c r="AL187" s="76">
        <f>Assumptions!AL222*'Output '!AL27</f>
        <v>2306.8605090805108</v>
      </c>
      <c r="AM187" s="76">
        <f>Assumptions!AM222*'Output '!AM27</f>
        <v>2389.2361154198593</v>
      </c>
      <c r="AN187" s="76">
        <f>Assumptions!AN222*'Output '!AN27</f>
        <v>23318.135884588111</v>
      </c>
      <c r="AO187" s="76">
        <f>Assumptions!AO222*'Output '!AO27</f>
        <v>2521.0754848059837</v>
      </c>
      <c r="AP187" s="76">
        <f>Assumptions!AP222*'Output '!AP27</f>
        <v>2605.0986032721189</v>
      </c>
      <c r="AQ187" s="76">
        <f>Assumptions!AQ222*'Output '!AQ27</f>
        <v>2689.1217217382546</v>
      </c>
      <c r="AR187" s="76">
        <f>Assumptions!AR222*'Output '!AR27</f>
        <v>2773.097369627731</v>
      </c>
      <c r="AS187" s="76">
        <f>Assumptions!AS222*'Output '!AS27</f>
        <v>2857.1204880938662</v>
      </c>
      <c r="AT187" s="76">
        <f>Assumptions!AT222*'Output '!AT27</f>
        <v>2941.1436065600014</v>
      </c>
      <c r="AU187" s="76">
        <f>Assumptions!AU222*'Output '!AU27</f>
        <v>3025.1027642108875</v>
      </c>
      <c r="AV187" s="76">
        <f>Assumptions!AV222*'Output '!AV27</f>
        <v>3193.9300845259336</v>
      </c>
      <c r="AW187" s="76">
        <f>Assumptions!AW222*'Output '!AW27</f>
        <v>3193.9300845259336</v>
      </c>
      <c r="AX187" s="76">
        <f>Assumptions!AX222*'Output '!AX27</f>
        <v>3193.9300845259336</v>
      </c>
      <c r="AY187" s="76">
        <f>Assumptions!AY222*'Output '!AY27</f>
        <v>3193.9300845259336</v>
      </c>
      <c r="AZ187" s="76">
        <f>Assumptions!AZ222*'Output '!AZ27</f>
        <v>3193.9300845259336</v>
      </c>
      <c r="BA187" s="76">
        <f>Assumptions!BA222*'Output '!BA27</f>
        <v>35381.41046093851</v>
      </c>
      <c r="BB187" s="76">
        <f>Assumptions!BB222*'Output '!BB27</f>
        <v>3007.4198891797728</v>
      </c>
      <c r="BC187" s="76">
        <f>Assumptions!BC222*'Output '!BC27</f>
        <v>3007.4198891797728</v>
      </c>
      <c r="BD187" s="76">
        <f>Assumptions!BD222*'Output '!BD27</f>
        <v>3007.4198891797728</v>
      </c>
      <c r="BE187" s="76">
        <f>Assumptions!BE222*'Output '!BE27</f>
        <v>3007.4198891797728</v>
      </c>
      <c r="BF187" s="76">
        <f>Assumptions!BF222*'Output '!BF27</f>
        <v>3007.4198891797728</v>
      </c>
      <c r="BG187" s="76">
        <f>Assumptions!BG222*'Output '!BG27</f>
        <v>3007.4198891797728</v>
      </c>
      <c r="BH187" s="76">
        <f>Assumptions!BH222*'Output '!BH27</f>
        <v>3007.4198891797728</v>
      </c>
      <c r="BI187" s="76">
        <f>Assumptions!BI222*'Output '!BI27</f>
        <v>3007.4198891797728</v>
      </c>
      <c r="BJ187" s="76">
        <f>Assumptions!BJ222*'Output '!BJ27</f>
        <v>3007.4198891797728</v>
      </c>
      <c r="BK187" s="76">
        <f>Assumptions!BK222*'Output '!BK27</f>
        <v>3007.4198891797728</v>
      </c>
      <c r="BL187" s="76">
        <f>Assumptions!BL222*'Output '!BL27</f>
        <v>3007.4198891797728</v>
      </c>
      <c r="BM187" s="76">
        <f>Assumptions!BM222*'Output '!BM27</f>
        <v>3007.4198891797728</v>
      </c>
      <c r="BN187" s="76">
        <f>Assumptions!BN222*'Output '!BN27</f>
        <v>36089.038670157279</v>
      </c>
    </row>
    <row r="188" spans="2:66" x14ac:dyDescent="0.2">
      <c r="N188" s="338"/>
    </row>
    <row r="189" spans="2:66" x14ac:dyDescent="0.2">
      <c r="B189" s="80" t="s">
        <v>39</v>
      </c>
    </row>
    <row r="190" spans="2:66" x14ac:dyDescent="0.2">
      <c r="B190" s="76" t="s">
        <v>40</v>
      </c>
      <c r="C190" s="76" t="s">
        <v>41</v>
      </c>
      <c r="J190" s="76">
        <f>K190</f>
        <v>5193.6862625615659</v>
      </c>
      <c r="K190" s="76">
        <f>L190</f>
        <v>5193.6862625615659</v>
      </c>
      <c r="L190" s="76">
        <f>M190</f>
        <v>5193.6862625615659</v>
      </c>
      <c r="M190" s="328">
        <f>O190</f>
        <v>5193.6862625615659</v>
      </c>
      <c r="N190" s="328">
        <f>SUM(J190:M190)</f>
        <v>20774.745050246263</v>
      </c>
      <c r="O190" s="76">
        <f>P190</f>
        <v>5193.6862625615659</v>
      </c>
      <c r="P190" s="76">
        <f t="shared" ref="P190:X190" si="71">Q190</f>
        <v>5193.6862625615659</v>
      </c>
      <c r="Q190" s="76">
        <f t="shared" si="71"/>
        <v>5193.6862625615659</v>
      </c>
      <c r="R190" s="76">
        <f t="shared" si="71"/>
        <v>5193.6862625615659</v>
      </c>
      <c r="S190" s="76">
        <f t="shared" si="71"/>
        <v>5193.6862625615659</v>
      </c>
      <c r="T190" s="76">
        <f t="shared" si="71"/>
        <v>5193.6862625615659</v>
      </c>
      <c r="U190" s="76">
        <f t="shared" si="71"/>
        <v>5193.6862625615659</v>
      </c>
      <c r="V190" s="76">
        <f t="shared" si="71"/>
        <v>5193.6862625615659</v>
      </c>
      <c r="W190" s="76">
        <f t="shared" si="71"/>
        <v>5193.6862625615659</v>
      </c>
      <c r="X190" s="76">
        <f t="shared" si="71"/>
        <v>5193.6862625615659</v>
      </c>
      <c r="Y190" s="76">
        <f>Z190</f>
        <v>5193.6862625615659</v>
      </c>
      <c r="Z190" s="76">
        <f>AA190/12</f>
        <v>5193.6862625615659</v>
      </c>
      <c r="AA190" s="76">
        <f>Assumptions!AA226*'Model '!AA26</f>
        <v>62324.235150738794</v>
      </c>
      <c r="AB190" s="76">
        <f>AN190/12</f>
        <v>5193.6862625615659</v>
      </c>
      <c r="AC190" s="76">
        <f>AB190</f>
        <v>5193.6862625615659</v>
      </c>
      <c r="AD190" s="76">
        <f t="shared" ref="AD190:AM190" si="72">AC190</f>
        <v>5193.6862625615659</v>
      </c>
      <c r="AE190" s="76">
        <f t="shared" si="72"/>
        <v>5193.6862625615659</v>
      </c>
      <c r="AF190" s="76">
        <f t="shared" si="72"/>
        <v>5193.6862625615659</v>
      </c>
      <c r="AG190" s="76">
        <f t="shared" si="72"/>
        <v>5193.6862625615659</v>
      </c>
      <c r="AH190" s="76">
        <f t="shared" si="72"/>
        <v>5193.6862625615659</v>
      </c>
      <c r="AI190" s="76">
        <f t="shared" si="72"/>
        <v>5193.6862625615659</v>
      </c>
      <c r="AJ190" s="76">
        <f t="shared" si="72"/>
        <v>5193.6862625615659</v>
      </c>
      <c r="AK190" s="76">
        <f t="shared" si="72"/>
        <v>5193.6862625615659</v>
      </c>
      <c r="AL190" s="76">
        <f t="shared" si="72"/>
        <v>5193.6862625615659</v>
      </c>
      <c r="AM190" s="76">
        <f t="shared" si="72"/>
        <v>5193.6862625615659</v>
      </c>
      <c r="AN190" s="76">
        <f>AA190*(1+AN193)</f>
        <v>62324.235150738794</v>
      </c>
      <c r="AO190" s="76">
        <f>BA190/12</f>
        <v>5193.6862625615659</v>
      </c>
      <c r="AP190" s="76">
        <f>AO190</f>
        <v>5193.6862625615659</v>
      </c>
      <c r="AQ190" s="76">
        <f t="shared" ref="AQ190:AZ190" si="73">AP190</f>
        <v>5193.6862625615659</v>
      </c>
      <c r="AR190" s="76">
        <f t="shared" si="73"/>
        <v>5193.6862625615659</v>
      </c>
      <c r="AS190" s="76">
        <f t="shared" si="73"/>
        <v>5193.6862625615659</v>
      </c>
      <c r="AT190" s="76">
        <f t="shared" si="73"/>
        <v>5193.6862625615659</v>
      </c>
      <c r="AU190" s="76">
        <f t="shared" si="73"/>
        <v>5193.6862625615659</v>
      </c>
      <c r="AV190" s="76">
        <f t="shared" si="73"/>
        <v>5193.6862625615659</v>
      </c>
      <c r="AW190" s="76">
        <f t="shared" si="73"/>
        <v>5193.6862625615659</v>
      </c>
      <c r="AX190" s="76">
        <f t="shared" si="73"/>
        <v>5193.6862625615659</v>
      </c>
      <c r="AY190" s="76">
        <f t="shared" si="73"/>
        <v>5193.6862625615659</v>
      </c>
      <c r="AZ190" s="76">
        <f t="shared" si="73"/>
        <v>5193.6862625615659</v>
      </c>
      <c r="BA190" s="76">
        <f>AN190*(1+BA193)</f>
        <v>62324.235150738794</v>
      </c>
      <c r="BB190" s="76">
        <f>BN190/12</f>
        <v>5193.6862625615659</v>
      </c>
      <c r="BC190" s="76">
        <f>BB190</f>
        <v>5193.6862625615659</v>
      </c>
      <c r="BD190" s="76">
        <f t="shared" ref="BD190:BM190" si="74">BC190</f>
        <v>5193.6862625615659</v>
      </c>
      <c r="BE190" s="76">
        <f t="shared" si="74"/>
        <v>5193.6862625615659</v>
      </c>
      <c r="BF190" s="76">
        <f t="shared" si="74"/>
        <v>5193.6862625615659</v>
      </c>
      <c r="BG190" s="76">
        <f t="shared" si="74"/>
        <v>5193.6862625615659</v>
      </c>
      <c r="BH190" s="76">
        <f t="shared" si="74"/>
        <v>5193.6862625615659</v>
      </c>
      <c r="BI190" s="76">
        <f t="shared" si="74"/>
        <v>5193.6862625615659</v>
      </c>
      <c r="BJ190" s="76">
        <f t="shared" si="74"/>
        <v>5193.6862625615659</v>
      </c>
      <c r="BK190" s="76">
        <f t="shared" si="74"/>
        <v>5193.6862625615659</v>
      </c>
      <c r="BL190" s="76">
        <f t="shared" si="74"/>
        <v>5193.6862625615659</v>
      </c>
      <c r="BM190" s="76">
        <f t="shared" si="74"/>
        <v>5193.6862625615659</v>
      </c>
      <c r="BN190" s="76">
        <f>BA190*(1+BN193)</f>
        <v>62324.235150738794</v>
      </c>
    </row>
    <row r="191" spans="2:66" x14ac:dyDescent="0.2">
      <c r="B191" s="76" t="s">
        <v>135</v>
      </c>
      <c r="C191" s="76" t="s">
        <v>41</v>
      </c>
      <c r="J191" s="76">
        <f t="shared" ref="J191:L191" si="75">K191</f>
        <v>2200</v>
      </c>
      <c r="K191" s="76">
        <f t="shared" si="75"/>
        <v>2200</v>
      </c>
      <c r="L191" s="76">
        <f t="shared" si="75"/>
        <v>2200</v>
      </c>
      <c r="M191" s="328">
        <f>O191</f>
        <v>2200</v>
      </c>
      <c r="N191" s="328">
        <f>SUM(J191:M191)</f>
        <v>8800</v>
      </c>
      <c r="O191" s="76">
        <f t="shared" ref="O191:X191" si="76">P191</f>
        <v>2200</v>
      </c>
      <c r="P191" s="76">
        <f t="shared" si="76"/>
        <v>2200</v>
      </c>
      <c r="Q191" s="76">
        <f t="shared" si="76"/>
        <v>2200</v>
      </c>
      <c r="R191" s="76">
        <f t="shared" si="76"/>
        <v>2200</v>
      </c>
      <c r="S191" s="76">
        <f t="shared" si="76"/>
        <v>2200</v>
      </c>
      <c r="T191" s="76">
        <f t="shared" si="76"/>
        <v>2200</v>
      </c>
      <c r="U191" s="76">
        <f t="shared" si="76"/>
        <v>2200</v>
      </c>
      <c r="V191" s="76">
        <f t="shared" si="76"/>
        <v>2200</v>
      </c>
      <c r="W191" s="76">
        <f t="shared" si="76"/>
        <v>2200</v>
      </c>
      <c r="X191" s="76">
        <f t="shared" si="76"/>
        <v>2200</v>
      </c>
      <c r="Y191" s="76">
        <f>Z191</f>
        <v>2200</v>
      </c>
      <c r="Z191" s="76">
        <f>AA191/12</f>
        <v>2200</v>
      </c>
      <c r="AA191" s="76">
        <f>Assumptions!AA227</f>
        <v>26400</v>
      </c>
      <c r="AB191" s="76">
        <f>AN191/12</f>
        <v>2200</v>
      </c>
      <c r="AC191" s="76">
        <f t="shared" ref="AC191:AM191" si="77">AB191</f>
        <v>2200</v>
      </c>
      <c r="AD191" s="76">
        <f t="shared" si="77"/>
        <v>2200</v>
      </c>
      <c r="AE191" s="76">
        <f t="shared" si="77"/>
        <v>2200</v>
      </c>
      <c r="AF191" s="76">
        <f t="shared" si="77"/>
        <v>2200</v>
      </c>
      <c r="AG191" s="76">
        <f t="shared" si="77"/>
        <v>2200</v>
      </c>
      <c r="AH191" s="76">
        <f t="shared" si="77"/>
        <v>2200</v>
      </c>
      <c r="AI191" s="76">
        <f t="shared" si="77"/>
        <v>2200</v>
      </c>
      <c r="AJ191" s="76">
        <f t="shared" si="77"/>
        <v>2200</v>
      </c>
      <c r="AK191" s="76">
        <f t="shared" si="77"/>
        <v>2200</v>
      </c>
      <c r="AL191" s="76">
        <f t="shared" si="77"/>
        <v>2200</v>
      </c>
      <c r="AM191" s="76">
        <f t="shared" si="77"/>
        <v>2200</v>
      </c>
      <c r="AN191" s="76">
        <f>AA191*(1+$AN$193)</f>
        <v>26400</v>
      </c>
      <c r="AO191" s="76">
        <f>BA191/12</f>
        <v>2200</v>
      </c>
      <c r="AP191" s="76">
        <f t="shared" ref="AP191:AZ191" si="78">AO191</f>
        <v>2200</v>
      </c>
      <c r="AQ191" s="76">
        <f t="shared" si="78"/>
        <v>2200</v>
      </c>
      <c r="AR191" s="76">
        <f t="shared" si="78"/>
        <v>2200</v>
      </c>
      <c r="AS191" s="76">
        <f t="shared" si="78"/>
        <v>2200</v>
      </c>
      <c r="AT191" s="76">
        <f t="shared" si="78"/>
        <v>2200</v>
      </c>
      <c r="AU191" s="76">
        <f t="shared" si="78"/>
        <v>2200</v>
      </c>
      <c r="AV191" s="76">
        <f t="shared" si="78"/>
        <v>2200</v>
      </c>
      <c r="AW191" s="76">
        <f t="shared" si="78"/>
        <v>2200</v>
      </c>
      <c r="AX191" s="76">
        <f t="shared" si="78"/>
        <v>2200</v>
      </c>
      <c r="AY191" s="76">
        <f t="shared" si="78"/>
        <v>2200</v>
      </c>
      <c r="AZ191" s="76">
        <f t="shared" si="78"/>
        <v>2200</v>
      </c>
      <c r="BA191" s="76">
        <f>AN191*(1+$BA$193)</f>
        <v>26400</v>
      </c>
      <c r="BB191" s="76">
        <f>BN191/12</f>
        <v>2200</v>
      </c>
      <c r="BC191" s="76">
        <f t="shared" ref="BC191:BM191" si="79">BB191</f>
        <v>2200</v>
      </c>
      <c r="BD191" s="76">
        <f t="shared" si="79"/>
        <v>2200</v>
      </c>
      <c r="BE191" s="76">
        <f t="shared" si="79"/>
        <v>2200</v>
      </c>
      <c r="BF191" s="76">
        <f t="shared" si="79"/>
        <v>2200</v>
      </c>
      <c r="BG191" s="76">
        <f t="shared" si="79"/>
        <v>2200</v>
      </c>
      <c r="BH191" s="76">
        <f t="shared" si="79"/>
        <v>2200</v>
      </c>
      <c r="BI191" s="76">
        <f t="shared" si="79"/>
        <v>2200</v>
      </c>
      <c r="BJ191" s="76">
        <f t="shared" si="79"/>
        <v>2200</v>
      </c>
      <c r="BK191" s="76">
        <f t="shared" si="79"/>
        <v>2200</v>
      </c>
      <c r="BL191" s="76">
        <f t="shared" si="79"/>
        <v>2200</v>
      </c>
      <c r="BM191" s="76">
        <f t="shared" si="79"/>
        <v>2200</v>
      </c>
      <c r="BN191" s="76">
        <f>BA191*(1+$BN$193)</f>
        <v>26400</v>
      </c>
    </row>
    <row r="192" spans="2:66" hidden="1" x14ac:dyDescent="0.2">
      <c r="B192" s="76" t="s">
        <v>136</v>
      </c>
      <c r="C192" s="76" t="s">
        <v>41</v>
      </c>
      <c r="J192" s="76">
        <f t="shared" ref="J192:L192" si="80">K192</f>
        <v>0</v>
      </c>
      <c r="K192" s="76">
        <f t="shared" si="80"/>
        <v>0</v>
      </c>
      <c r="L192" s="76">
        <f t="shared" si="80"/>
        <v>0</v>
      </c>
      <c r="M192" s="339"/>
      <c r="N192" s="328">
        <f>SUM(G192:M192)</f>
        <v>0</v>
      </c>
      <c r="O192" s="76">
        <f>L192*(1+$AA$193)</f>
        <v>0</v>
      </c>
      <c r="P192" s="76">
        <f t="shared" ref="P192:Z192" si="81">O192</f>
        <v>0</v>
      </c>
      <c r="Q192" s="76">
        <f t="shared" si="81"/>
        <v>0</v>
      </c>
      <c r="R192" s="76">
        <f t="shared" si="81"/>
        <v>0</v>
      </c>
      <c r="S192" s="76">
        <f t="shared" si="81"/>
        <v>0</v>
      </c>
      <c r="T192" s="76">
        <f t="shared" si="81"/>
        <v>0</v>
      </c>
      <c r="U192" s="76">
        <f t="shared" si="81"/>
        <v>0</v>
      </c>
      <c r="V192" s="76">
        <f t="shared" si="81"/>
        <v>0</v>
      </c>
      <c r="W192" s="76">
        <f t="shared" si="81"/>
        <v>0</v>
      </c>
      <c r="X192" s="76">
        <f t="shared" si="81"/>
        <v>0</v>
      </c>
      <c r="Y192" s="76">
        <f t="shared" si="81"/>
        <v>0</v>
      </c>
      <c r="Z192" s="76">
        <f t="shared" si="81"/>
        <v>0</v>
      </c>
      <c r="AA192" s="76">
        <f>SUM(O192:Z192)</f>
        <v>0</v>
      </c>
      <c r="AB192" s="76">
        <f>AN192/12</f>
        <v>0</v>
      </c>
      <c r="AC192" s="76">
        <f t="shared" ref="AC192:AM192" si="82">AB192</f>
        <v>0</v>
      </c>
      <c r="AD192" s="76">
        <f t="shared" si="82"/>
        <v>0</v>
      </c>
      <c r="AE192" s="76">
        <f t="shared" si="82"/>
        <v>0</v>
      </c>
      <c r="AF192" s="76">
        <f t="shared" si="82"/>
        <v>0</v>
      </c>
      <c r="AG192" s="76">
        <f t="shared" si="82"/>
        <v>0</v>
      </c>
      <c r="AH192" s="76">
        <f t="shared" si="82"/>
        <v>0</v>
      </c>
      <c r="AI192" s="76">
        <f t="shared" si="82"/>
        <v>0</v>
      </c>
      <c r="AJ192" s="76">
        <f t="shared" si="82"/>
        <v>0</v>
      </c>
      <c r="AK192" s="76">
        <f t="shared" si="82"/>
        <v>0</v>
      </c>
      <c r="AL192" s="76">
        <f t="shared" si="82"/>
        <v>0</v>
      </c>
      <c r="AM192" s="76">
        <f t="shared" si="82"/>
        <v>0</v>
      </c>
      <c r="AN192" s="76">
        <f>AA192*(1+$AN$193)</f>
        <v>0</v>
      </c>
      <c r="AO192" s="76">
        <f>BA192/12</f>
        <v>0</v>
      </c>
      <c r="AP192" s="76">
        <f t="shared" ref="AP192:AZ192" si="83">AO192</f>
        <v>0</v>
      </c>
      <c r="AQ192" s="76">
        <f t="shared" si="83"/>
        <v>0</v>
      </c>
      <c r="AR192" s="76">
        <f t="shared" si="83"/>
        <v>0</v>
      </c>
      <c r="AS192" s="76">
        <f t="shared" si="83"/>
        <v>0</v>
      </c>
      <c r="AT192" s="76">
        <f t="shared" si="83"/>
        <v>0</v>
      </c>
      <c r="AU192" s="76">
        <f t="shared" si="83"/>
        <v>0</v>
      </c>
      <c r="AV192" s="76">
        <f t="shared" si="83"/>
        <v>0</v>
      </c>
      <c r="AW192" s="76">
        <f t="shared" si="83"/>
        <v>0</v>
      </c>
      <c r="AX192" s="76">
        <f t="shared" si="83"/>
        <v>0</v>
      </c>
      <c r="AY192" s="76">
        <f t="shared" si="83"/>
        <v>0</v>
      </c>
      <c r="AZ192" s="76">
        <f t="shared" si="83"/>
        <v>0</v>
      </c>
      <c r="BA192" s="76">
        <f>AN192*(1+$BA$193)</f>
        <v>0</v>
      </c>
      <c r="BB192" s="76">
        <f>BN192/12</f>
        <v>0</v>
      </c>
      <c r="BC192" s="76">
        <f t="shared" ref="BC192:BM192" si="84">BB192</f>
        <v>0</v>
      </c>
      <c r="BD192" s="76">
        <f t="shared" si="84"/>
        <v>0</v>
      </c>
      <c r="BE192" s="76">
        <f t="shared" si="84"/>
        <v>0</v>
      </c>
      <c r="BF192" s="76">
        <f t="shared" si="84"/>
        <v>0</v>
      </c>
      <c r="BG192" s="76">
        <f t="shared" si="84"/>
        <v>0</v>
      </c>
      <c r="BH192" s="76">
        <f t="shared" si="84"/>
        <v>0</v>
      </c>
      <c r="BI192" s="76">
        <f t="shared" si="84"/>
        <v>0</v>
      </c>
      <c r="BJ192" s="76">
        <f t="shared" si="84"/>
        <v>0</v>
      </c>
      <c r="BK192" s="76">
        <f t="shared" si="84"/>
        <v>0</v>
      </c>
      <c r="BL192" s="76">
        <f t="shared" si="84"/>
        <v>0</v>
      </c>
      <c r="BM192" s="76">
        <f t="shared" si="84"/>
        <v>0</v>
      </c>
      <c r="BN192" s="76">
        <f>BA192*(1+$BN$193)</f>
        <v>0</v>
      </c>
    </row>
    <row r="193" spans="14:66" x14ac:dyDescent="0.2">
      <c r="N193" s="163"/>
      <c r="O193" s="163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3"/>
      <c r="AE193" s="163"/>
      <c r="AF193" s="163"/>
      <c r="AG193" s="163"/>
      <c r="AH193" s="163"/>
      <c r="AI193" s="163"/>
      <c r="AJ193" s="163"/>
      <c r="AK193" s="163"/>
      <c r="AL193" s="163"/>
      <c r="AM193" s="163"/>
      <c r="AN193" s="163"/>
      <c r="AO193" s="163"/>
      <c r="AP193" s="163"/>
      <c r="AQ193" s="163"/>
      <c r="AR193" s="163"/>
      <c r="AS193" s="163"/>
      <c r="AT193" s="163"/>
      <c r="AU193" s="163"/>
      <c r="AV193" s="163"/>
      <c r="AW193" s="163"/>
      <c r="AX193" s="163"/>
      <c r="AY193" s="163"/>
      <c r="AZ193" s="163"/>
      <c r="BA193" s="163"/>
      <c r="BB193" s="163"/>
      <c r="BC193" s="163"/>
      <c r="BD193" s="163"/>
      <c r="BE193" s="163"/>
      <c r="BF193" s="163"/>
      <c r="BG193" s="163"/>
      <c r="BH193" s="163"/>
      <c r="BI193" s="163"/>
      <c r="BJ193" s="163"/>
      <c r="BK193" s="163"/>
      <c r="BL193" s="163"/>
      <c r="BM193" s="163"/>
      <c r="BN193" s="16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EE85C-CC56-462B-A6F5-17437ED9EB13}">
  <dimension ref="B2:BR183"/>
  <sheetViews>
    <sheetView showGridLines="0" topLeftCell="A67" zoomScale="83" zoomScaleNormal="83" workbookViewId="0">
      <selection activeCell="AA76" sqref="AA76"/>
    </sheetView>
  </sheetViews>
  <sheetFormatPr baseColWidth="10" defaultColWidth="15.6640625" defaultRowHeight="15" outlineLevelRow="1" outlineLevelCol="1" x14ac:dyDescent="0.2"/>
  <cols>
    <col min="1" max="1" width="9.1640625" customWidth="1"/>
    <col min="2" max="2" width="52.83203125" bestFit="1" customWidth="1"/>
    <col min="3" max="5" width="9.1640625" customWidth="1"/>
    <col min="6" max="9" width="11.6640625" hidden="1" customWidth="1" outlineLevel="1"/>
    <col min="10" max="10" width="12.1640625" customWidth="1" collapsed="1"/>
    <col min="11" max="13" width="11.6640625" customWidth="1"/>
    <col min="14" max="14" width="12.5" bestFit="1" customWidth="1"/>
    <col min="15" max="26" width="11.6640625" hidden="1" customWidth="1" outlineLevel="1"/>
    <col min="27" max="27" width="13.5" bestFit="1" customWidth="1" collapsed="1"/>
    <col min="28" max="39" width="11.6640625" hidden="1" customWidth="1" outlineLevel="1"/>
    <col min="40" max="40" width="13.5" bestFit="1" customWidth="1" collapsed="1"/>
    <col min="41" max="52" width="11.6640625" hidden="1" customWidth="1" outlineLevel="1"/>
    <col min="53" max="53" width="13.5" bestFit="1" customWidth="1" collapsed="1"/>
    <col min="54" max="64" width="11.6640625" hidden="1" customWidth="1" outlineLevel="1"/>
    <col min="65" max="65" width="11.83203125" hidden="1" customWidth="1" outlineLevel="1"/>
    <col min="66" max="66" width="13.5" hidden="1" customWidth="1" outlineLevel="1"/>
    <col min="67" max="67" width="15.6640625" collapsed="1"/>
  </cols>
  <sheetData>
    <row r="2" spans="2:70" ht="28" x14ac:dyDescent="0.35">
      <c r="B2" s="5" t="str">
        <f>'Cover Page'!$B$6</f>
        <v>Solea</v>
      </c>
    </row>
    <row r="3" spans="2:70" x14ac:dyDescent="0.2">
      <c r="B3" s="6" t="str">
        <f>UPPER("currently running: "&amp;CHOOSE(Scenarios!$C$8,Scenarios!$B$15,Scenarios!$B$16,Scenarios!$B$17)&amp;" Scenario")</f>
        <v>CURRENTLY RUNNING: BASE CASE SCENARIO</v>
      </c>
    </row>
    <row r="4" spans="2:70" x14ac:dyDescent="0.2">
      <c r="B4" s="6" t="s">
        <v>137</v>
      </c>
    </row>
    <row r="5" spans="2:70" x14ac:dyDescent="0.2">
      <c r="B5" s="9" t="s">
        <v>2</v>
      </c>
      <c r="C5" s="9" t="s">
        <v>3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</row>
    <row r="6" spans="2:70" x14ac:dyDescent="0.2">
      <c r="B6" s="10" t="s">
        <v>59</v>
      </c>
      <c r="C6" s="10"/>
      <c r="D6" s="10"/>
      <c r="E6" s="10"/>
      <c r="F6" s="11">
        <v>45808</v>
      </c>
      <c r="G6" s="11">
        <v>45838</v>
      </c>
      <c r="H6" s="11">
        <f t="shared" ref="H6:M6" si="0">EOMONTH(EDATE(G6,1),0)</f>
        <v>45869</v>
      </c>
      <c r="I6" s="11">
        <f t="shared" si="0"/>
        <v>45900</v>
      </c>
      <c r="J6" s="11">
        <f t="shared" si="0"/>
        <v>45930</v>
      </c>
      <c r="K6" s="11">
        <f t="shared" si="0"/>
        <v>45961</v>
      </c>
      <c r="L6" s="11">
        <f t="shared" si="0"/>
        <v>45991</v>
      </c>
      <c r="M6" s="11">
        <f t="shared" si="0"/>
        <v>46022</v>
      </c>
      <c r="N6" s="10">
        <v>2025</v>
      </c>
      <c r="O6" s="11">
        <f>EOMONTH(EDATE(M6,1),0)</f>
        <v>46053</v>
      </c>
      <c r="P6" s="11">
        <f>EOMONTH(EDATE(O6,1),0)</f>
        <v>46081</v>
      </c>
      <c r="Q6" s="11">
        <f t="shared" ref="Q6:Z6" si="1">EOMONTH(EDATE(P6,1),0)</f>
        <v>46112</v>
      </c>
      <c r="R6" s="11">
        <f t="shared" si="1"/>
        <v>46142</v>
      </c>
      <c r="S6" s="11">
        <f t="shared" si="1"/>
        <v>46173</v>
      </c>
      <c r="T6" s="11">
        <f t="shared" si="1"/>
        <v>46203</v>
      </c>
      <c r="U6" s="11">
        <f t="shared" si="1"/>
        <v>46234</v>
      </c>
      <c r="V6" s="11">
        <f t="shared" si="1"/>
        <v>46265</v>
      </c>
      <c r="W6" s="11">
        <f t="shared" si="1"/>
        <v>46295</v>
      </c>
      <c r="X6" s="11">
        <f t="shared" si="1"/>
        <v>46326</v>
      </c>
      <c r="Y6" s="11">
        <f t="shared" si="1"/>
        <v>46356</v>
      </c>
      <c r="Z6" s="11">
        <f t="shared" si="1"/>
        <v>46387</v>
      </c>
      <c r="AA6" s="10">
        <v>2026</v>
      </c>
      <c r="AB6" s="11">
        <f>EOMONTH(EDATE(Z6,1),0)</f>
        <v>46418</v>
      </c>
      <c r="AC6" s="11">
        <f>EOMONTH(EDATE(AB6,1),0)</f>
        <v>46446</v>
      </c>
      <c r="AD6" s="11">
        <f t="shared" ref="AD6:AM6" si="2">EOMONTH(EDATE(AC6,1),0)</f>
        <v>46477</v>
      </c>
      <c r="AE6" s="11">
        <f t="shared" si="2"/>
        <v>46507</v>
      </c>
      <c r="AF6" s="11">
        <f t="shared" si="2"/>
        <v>46538</v>
      </c>
      <c r="AG6" s="11">
        <f t="shared" si="2"/>
        <v>46568</v>
      </c>
      <c r="AH6" s="11">
        <f t="shared" si="2"/>
        <v>46599</v>
      </c>
      <c r="AI6" s="11">
        <f t="shared" si="2"/>
        <v>46630</v>
      </c>
      <c r="AJ6" s="11">
        <f t="shared" si="2"/>
        <v>46660</v>
      </c>
      <c r="AK6" s="11">
        <f t="shared" si="2"/>
        <v>46691</v>
      </c>
      <c r="AL6" s="11">
        <f t="shared" si="2"/>
        <v>46721</v>
      </c>
      <c r="AM6" s="11">
        <f t="shared" si="2"/>
        <v>46752</v>
      </c>
      <c r="AN6" s="10">
        <v>2027</v>
      </c>
      <c r="AO6" s="11">
        <f>EOMONTH(EDATE(AM6,1),0)</f>
        <v>46783</v>
      </c>
      <c r="AP6" s="11">
        <f>EOMONTH(EDATE(AO6,1),0)</f>
        <v>46812</v>
      </c>
      <c r="AQ6" s="11">
        <f t="shared" ref="AQ6:AZ6" si="3">EOMONTH(EDATE(AP6,1),0)</f>
        <v>46843</v>
      </c>
      <c r="AR6" s="11">
        <f t="shared" si="3"/>
        <v>46873</v>
      </c>
      <c r="AS6" s="11">
        <f t="shared" si="3"/>
        <v>46904</v>
      </c>
      <c r="AT6" s="11">
        <f t="shared" si="3"/>
        <v>46934</v>
      </c>
      <c r="AU6" s="11">
        <f t="shared" si="3"/>
        <v>46965</v>
      </c>
      <c r="AV6" s="11">
        <f t="shared" si="3"/>
        <v>46996</v>
      </c>
      <c r="AW6" s="11">
        <f t="shared" si="3"/>
        <v>47026</v>
      </c>
      <c r="AX6" s="11">
        <f t="shared" si="3"/>
        <v>47057</v>
      </c>
      <c r="AY6" s="11">
        <f t="shared" si="3"/>
        <v>47087</v>
      </c>
      <c r="AZ6" s="11">
        <f t="shared" si="3"/>
        <v>47118</v>
      </c>
      <c r="BA6" s="10">
        <v>2028</v>
      </c>
      <c r="BB6" s="11">
        <f>EOMONTH(EDATE(AZ6,1),0)</f>
        <v>47149</v>
      </c>
      <c r="BC6" s="11">
        <f>EOMONTH(EDATE(BB6,1),0)</f>
        <v>47177</v>
      </c>
      <c r="BD6" s="11">
        <f t="shared" ref="BD6:BM6" si="4">EOMONTH(EDATE(BC6,1),0)</f>
        <v>47208</v>
      </c>
      <c r="BE6" s="11">
        <f t="shared" si="4"/>
        <v>47238</v>
      </c>
      <c r="BF6" s="11">
        <f t="shared" si="4"/>
        <v>47269</v>
      </c>
      <c r="BG6" s="11">
        <f t="shared" si="4"/>
        <v>47299</v>
      </c>
      <c r="BH6" s="11">
        <f t="shared" si="4"/>
        <v>47330</v>
      </c>
      <c r="BI6" s="11">
        <f t="shared" si="4"/>
        <v>47361</v>
      </c>
      <c r="BJ6" s="11">
        <f t="shared" si="4"/>
        <v>47391</v>
      </c>
      <c r="BK6" s="11">
        <f t="shared" si="4"/>
        <v>47422</v>
      </c>
      <c r="BL6" s="11">
        <f t="shared" si="4"/>
        <v>47452</v>
      </c>
      <c r="BM6" s="11">
        <f t="shared" si="4"/>
        <v>47483</v>
      </c>
      <c r="BN6" s="10">
        <v>2029</v>
      </c>
    </row>
    <row r="7" spans="2:70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</row>
    <row r="8" spans="2:70" x14ac:dyDescent="0.2">
      <c r="B8" s="6"/>
    </row>
    <row r="9" spans="2:70" x14ac:dyDescent="0.2">
      <c r="B9" s="147" t="s">
        <v>11</v>
      </c>
      <c r="C9" s="148" t="s">
        <v>12</v>
      </c>
      <c r="D9" s="148"/>
      <c r="E9" s="148"/>
      <c r="F9" s="148"/>
      <c r="G9" s="149">
        <f>Assumptions!G22</f>
        <v>2250</v>
      </c>
      <c r="H9" s="149">
        <f>Assumptions!H22</f>
        <v>2250</v>
      </c>
      <c r="I9" s="149">
        <f>Assumptions!I22</f>
        <v>2250</v>
      </c>
      <c r="J9" s="149">
        <f>Assumptions!J22</f>
        <v>2250</v>
      </c>
      <c r="K9" s="149">
        <f>Assumptions!K22</f>
        <v>3450.0000230232213</v>
      </c>
      <c r="L9" s="149">
        <f>Assumptions!L22</f>
        <v>4650.0000460464416</v>
      </c>
      <c r="M9" s="149">
        <f>Assumptions!M22</f>
        <v>5850.0000690696615</v>
      </c>
      <c r="N9" s="149">
        <f>Assumptions!N22</f>
        <v>16200.000138139325</v>
      </c>
      <c r="O9" s="149">
        <f>Assumptions!O22</f>
        <v>7050.0000920928815</v>
      </c>
      <c r="P9" s="149">
        <f>Assumptions!P22</f>
        <v>8250.0001151161014</v>
      </c>
      <c r="Q9" s="149">
        <f>Assumptions!Q22</f>
        <v>8250.0001151161014</v>
      </c>
      <c r="R9" s="149">
        <f>Assumptions!R22</f>
        <v>8250.0001151161014</v>
      </c>
      <c r="S9" s="149">
        <f>Assumptions!S22</f>
        <v>8250.0001151161014</v>
      </c>
      <c r="T9" s="149">
        <f>Assumptions!T22</f>
        <v>8250.0001151161014</v>
      </c>
      <c r="U9" s="149">
        <f>Assumptions!U22</f>
        <v>8250.0001151161014</v>
      </c>
      <c r="V9" s="149">
        <f>Assumptions!V22</f>
        <v>8250.0001151161014</v>
      </c>
      <c r="W9" s="149">
        <f>Assumptions!W22</f>
        <v>8250.0001151161014</v>
      </c>
      <c r="X9" s="149">
        <f>Assumptions!X22</f>
        <v>8250.0001151161014</v>
      </c>
      <c r="Y9" s="149">
        <f>Assumptions!Y22</f>
        <v>8250.0001151161014</v>
      </c>
      <c r="Z9" s="149">
        <f>Assumptions!Z22</f>
        <v>8250.0001151161014</v>
      </c>
      <c r="AA9" s="149">
        <f>Assumptions!AA22</f>
        <v>97800.001266277119</v>
      </c>
      <c r="AB9" s="149">
        <f>Assumptions!AB22</f>
        <v>8250.0001151161014</v>
      </c>
      <c r="AC9" s="149">
        <f>Assumptions!AC22</f>
        <v>8250.0001151161014</v>
      </c>
      <c r="AD9" s="149">
        <f>Assumptions!AD22</f>
        <v>8684</v>
      </c>
      <c r="AE9" s="149">
        <f>Assumptions!AE22</f>
        <v>9118</v>
      </c>
      <c r="AF9" s="149">
        <f>Assumptions!AF22</f>
        <v>9552</v>
      </c>
      <c r="AG9" s="149">
        <f>Assumptions!AG22</f>
        <v>9986</v>
      </c>
      <c r="AH9" s="149">
        <f>Assumptions!AH22</f>
        <v>10420</v>
      </c>
      <c r="AI9" s="149">
        <f>Assumptions!AI22</f>
        <v>10854</v>
      </c>
      <c r="AJ9" s="149">
        <f>Assumptions!AJ22</f>
        <v>11288</v>
      </c>
      <c r="AK9" s="149">
        <f>Assumptions!AK22</f>
        <v>11722</v>
      </c>
      <c r="AL9" s="149">
        <f>Assumptions!AL22</f>
        <v>12156</v>
      </c>
      <c r="AM9" s="149">
        <f>Assumptions!AM22</f>
        <v>12590</v>
      </c>
      <c r="AN9" s="149">
        <f>Assumptions!AN22</f>
        <v>122870.0002302322</v>
      </c>
      <c r="AO9" s="149">
        <f>Assumptions!AO22</f>
        <v>13024</v>
      </c>
      <c r="AP9" s="149">
        <f>Assumptions!AP22</f>
        <v>13458</v>
      </c>
      <c r="AQ9" s="149">
        <f>Assumptions!AQ22</f>
        <v>13892</v>
      </c>
      <c r="AR9" s="149">
        <f>Assumptions!AR22</f>
        <v>14326</v>
      </c>
      <c r="AS9" s="149">
        <f>Assumptions!AS22</f>
        <v>14760</v>
      </c>
      <c r="AT9" s="149">
        <f>Assumptions!AT22</f>
        <v>15194</v>
      </c>
      <c r="AU9" s="149">
        <f>Assumptions!AU22</f>
        <v>15628</v>
      </c>
      <c r="AV9" s="149">
        <f>Assumptions!AV22</f>
        <v>16500</v>
      </c>
      <c r="AW9" s="149">
        <f>Assumptions!AW22</f>
        <v>16500</v>
      </c>
      <c r="AX9" s="149">
        <f>Assumptions!AX22</f>
        <v>16500</v>
      </c>
      <c r="AY9" s="149">
        <f>Assumptions!AY22</f>
        <v>16500</v>
      </c>
      <c r="AZ9" s="149">
        <f>Assumptions!AZ22</f>
        <v>16500</v>
      </c>
      <c r="BA9" s="149">
        <f>Assumptions!BA22</f>
        <v>182782</v>
      </c>
      <c r="BB9" s="149">
        <f>Assumptions!BB22</f>
        <v>15231.833333333332</v>
      </c>
      <c r="BC9" s="149">
        <f>Assumptions!BC22</f>
        <v>15231.833333333332</v>
      </c>
      <c r="BD9" s="149">
        <f>Assumptions!BD22</f>
        <v>15231.833333333332</v>
      </c>
      <c r="BE9" s="149">
        <f>Assumptions!BE22</f>
        <v>15231.833333333332</v>
      </c>
      <c r="BF9" s="149">
        <f>Assumptions!BF22</f>
        <v>15231.833333333332</v>
      </c>
      <c r="BG9" s="149">
        <f>Assumptions!BG22</f>
        <v>15231.833333333332</v>
      </c>
      <c r="BH9" s="149">
        <f>Assumptions!BH22</f>
        <v>15231.833333333332</v>
      </c>
      <c r="BI9" s="149">
        <f>Assumptions!BI22</f>
        <v>15231.833333333332</v>
      </c>
      <c r="BJ9" s="149">
        <f>Assumptions!BJ22</f>
        <v>15231.833333333332</v>
      </c>
      <c r="BK9" s="149">
        <f>Assumptions!BK22</f>
        <v>15231.833333333332</v>
      </c>
      <c r="BL9" s="149">
        <f>Assumptions!BL22</f>
        <v>15231.833333333332</v>
      </c>
      <c r="BM9" s="149">
        <f>Assumptions!BM22</f>
        <v>15231.833333333332</v>
      </c>
      <c r="BN9" s="150">
        <f>Assumptions!BN22</f>
        <v>182782</v>
      </c>
      <c r="BP9" s="155"/>
    </row>
    <row r="10" spans="2:70" x14ac:dyDescent="0.2">
      <c r="B10" s="151" t="s">
        <v>178</v>
      </c>
      <c r="C10" s="152" t="s">
        <v>13</v>
      </c>
      <c r="D10" s="152"/>
      <c r="E10" s="152"/>
      <c r="F10" s="152"/>
      <c r="G10" s="153">
        <v>0.25</v>
      </c>
      <c r="H10" s="153">
        <v>0.25</v>
      </c>
      <c r="I10" s="153">
        <v>0.25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f>AA10</f>
        <v>0.23</v>
      </c>
      <c r="P10" s="153">
        <f>O10</f>
        <v>0.23</v>
      </c>
      <c r="Q10" s="153">
        <f t="shared" ref="Q10:Z10" si="5">P10</f>
        <v>0.23</v>
      </c>
      <c r="R10" s="153">
        <f t="shared" si="5"/>
        <v>0.23</v>
      </c>
      <c r="S10" s="153">
        <f t="shared" si="5"/>
        <v>0.23</v>
      </c>
      <c r="T10" s="153">
        <f t="shared" si="5"/>
        <v>0.23</v>
      </c>
      <c r="U10" s="153">
        <f t="shared" si="5"/>
        <v>0.23</v>
      </c>
      <c r="V10" s="153">
        <f t="shared" si="5"/>
        <v>0.23</v>
      </c>
      <c r="W10" s="153">
        <f t="shared" si="5"/>
        <v>0.23</v>
      </c>
      <c r="X10" s="153">
        <f t="shared" si="5"/>
        <v>0.23</v>
      </c>
      <c r="Y10" s="153">
        <f t="shared" si="5"/>
        <v>0.23</v>
      </c>
      <c r="Z10" s="153">
        <f t="shared" si="5"/>
        <v>0.23</v>
      </c>
      <c r="AA10" s="153">
        <v>0.23</v>
      </c>
      <c r="AB10" s="153">
        <f>AN10</f>
        <v>0.23</v>
      </c>
      <c r="AC10" s="153">
        <f>AB10</f>
        <v>0.23</v>
      </c>
      <c r="AD10" s="153">
        <f t="shared" ref="AD10:AM10" si="6">AC10</f>
        <v>0.23</v>
      </c>
      <c r="AE10" s="153">
        <f t="shared" si="6"/>
        <v>0.23</v>
      </c>
      <c r="AF10" s="153">
        <f t="shared" si="6"/>
        <v>0.23</v>
      </c>
      <c r="AG10" s="153">
        <f t="shared" si="6"/>
        <v>0.23</v>
      </c>
      <c r="AH10" s="153">
        <f t="shared" si="6"/>
        <v>0.23</v>
      </c>
      <c r="AI10" s="153">
        <f t="shared" si="6"/>
        <v>0.23</v>
      </c>
      <c r="AJ10" s="153">
        <f t="shared" si="6"/>
        <v>0.23</v>
      </c>
      <c r="AK10" s="153">
        <f t="shared" si="6"/>
        <v>0.23</v>
      </c>
      <c r="AL10" s="153">
        <f t="shared" si="6"/>
        <v>0.23</v>
      </c>
      <c r="AM10" s="153">
        <f t="shared" si="6"/>
        <v>0.23</v>
      </c>
      <c r="AN10" s="153">
        <v>0.23</v>
      </c>
      <c r="AO10" s="153">
        <v>0.25</v>
      </c>
      <c r="AP10" s="153">
        <v>0.25</v>
      </c>
      <c r="AQ10" s="153">
        <v>0.25</v>
      </c>
      <c r="AR10" s="153">
        <v>0.25</v>
      </c>
      <c r="AS10" s="153">
        <v>0.25</v>
      </c>
      <c r="AT10" s="153">
        <v>0.25</v>
      </c>
      <c r="AU10" s="153">
        <v>0.25</v>
      </c>
      <c r="AV10" s="153">
        <v>0.25</v>
      </c>
      <c r="AW10" s="153">
        <v>0.25</v>
      </c>
      <c r="AX10" s="153">
        <v>0.25</v>
      </c>
      <c r="AY10" s="153">
        <v>0.25</v>
      </c>
      <c r="AZ10" s="153">
        <v>0.25</v>
      </c>
      <c r="BA10" s="153">
        <v>0.25</v>
      </c>
      <c r="BB10" s="153">
        <v>0.25</v>
      </c>
      <c r="BC10" s="153">
        <v>0.25</v>
      </c>
      <c r="BD10" s="153">
        <v>0.25</v>
      </c>
      <c r="BE10" s="153">
        <v>0.25</v>
      </c>
      <c r="BF10" s="153">
        <v>0.25</v>
      </c>
      <c r="BG10" s="153">
        <v>0.25</v>
      </c>
      <c r="BH10" s="153">
        <v>0.25</v>
      </c>
      <c r="BI10" s="153">
        <v>0.25</v>
      </c>
      <c r="BJ10" s="153">
        <v>0.25</v>
      </c>
      <c r="BK10" s="153">
        <v>0.25</v>
      </c>
      <c r="BL10" s="153">
        <v>0.25</v>
      </c>
      <c r="BM10" s="153">
        <v>0.25</v>
      </c>
      <c r="BN10" s="154">
        <v>0.25</v>
      </c>
      <c r="BP10" s="156"/>
    </row>
    <row r="12" spans="2:70" x14ac:dyDescent="0.2">
      <c r="B12" s="6" t="s">
        <v>166</v>
      </c>
    </row>
    <row r="13" spans="2:70" hidden="1" outlineLevel="1" x14ac:dyDescent="0.2">
      <c r="B13" s="139" t="s">
        <v>6</v>
      </c>
      <c r="C13" t="s">
        <v>41</v>
      </c>
      <c r="G13" s="76">
        <f>'Output '!G23</f>
        <v>0</v>
      </c>
      <c r="H13" s="76">
        <f>'Output '!H23</f>
        <v>0</v>
      </c>
      <c r="I13" s="76">
        <f>'Output '!I23</f>
        <v>0</v>
      </c>
      <c r="J13" s="76">
        <f>'Output '!J23</f>
        <v>9676.8801914672731</v>
      </c>
      <c r="K13" s="76">
        <f>'Output '!K23</f>
        <v>14830.528111027204</v>
      </c>
      <c r="L13" s="76">
        <f>'Output '!L23</f>
        <v>19999.93642177845</v>
      </c>
      <c r="M13" s="76">
        <f>'Output '!M23</f>
        <v>25153.584341338381</v>
      </c>
      <c r="N13" s="76">
        <f>'Output '!N23</f>
        <v>69660.929065611315</v>
      </c>
      <c r="O13" s="76">
        <f>'Output '!O23</f>
        <v>30291.471869706998</v>
      </c>
      <c r="P13" s="76">
        <f>'Output '!P23</f>
        <v>35460.881994733041</v>
      </c>
      <c r="Q13" s="76">
        <f>'Output '!Q23</f>
        <v>36205.560516622434</v>
      </c>
      <c r="R13" s="76">
        <f>'Output '!R23</f>
        <v>36205.560516622434</v>
      </c>
      <c r="S13" s="76">
        <f>'Output '!S23</f>
        <v>36205.560516622434</v>
      </c>
      <c r="T13" s="76">
        <f>'Output '!T23</f>
        <v>36205.560516622434</v>
      </c>
      <c r="U13" s="76">
        <f>'Output '!U23</f>
        <v>36205.560516622434</v>
      </c>
      <c r="V13" s="76">
        <f>'Output '!V23</f>
        <v>36205.560516622434</v>
      </c>
      <c r="W13" s="76">
        <f>'Output '!W23</f>
        <v>36205.560516622434</v>
      </c>
      <c r="X13" s="76">
        <f>'Output '!X23</f>
        <v>36205.560516622434</v>
      </c>
      <c r="Y13" s="76">
        <f>'Output '!Y23</f>
        <v>36205.560516622434</v>
      </c>
      <c r="Z13" s="76">
        <f>'Output '!Z23</f>
        <v>36205.560516622434</v>
      </c>
      <c r="AA13" s="76">
        <f>'Output '!AA23</f>
        <v>427807.95903066441</v>
      </c>
      <c r="AB13" s="76">
        <f>'Output '!AB23</f>
        <v>36929.671726954875</v>
      </c>
      <c r="AC13" s="76">
        <f>'Output '!AC23</f>
        <v>36929.671726954875</v>
      </c>
      <c r="AD13" s="76">
        <f>'Output '!AD23</f>
        <v>38866.425855678986</v>
      </c>
      <c r="AE13" s="76">
        <f>'Output '!AE23</f>
        <v>40803.181873825153</v>
      </c>
      <c r="AF13" s="76">
        <f>'Output '!AF23</f>
        <v>42756.351078565778</v>
      </c>
      <c r="AG13" s="76">
        <f>'Output '!AG23</f>
        <v>44693.107096711938</v>
      </c>
      <c r="AH13" s="76">
        <f>'Output '!AH23</f>
        <v>46629.863114858104</v>
      </c>
      <c r="AI13" s="76">
        <f>'Output '!AI23</f>
        <v>48583.032319598729</v>
      </c>
      <c r="AJ13" s="76">
        <f>'Output '!AJ23</f>
        <v>50519.788337744896</v>
      </c>
      <c r="AK13" s="76">
        <f>'Output '!AK23</f>
        <v>52456.544355891063</v>
      </c>
      <c r="AL13" s="76">
        <f>'Output '!AL23</f>
        <v>54409.713560631688</v>
      </c>
      <c r="AM13" s="76">
        <f>'Output '!AM23</f>
        <v>56346.469578777855</v>
      </c>
      <c r="AN13" s="76">
        <f>'Output '!AN23</f>
        <v>549923.82062619389</v>
      </c>
      <c r="AO13" s="76">
        <f>'Output '!AO23</f>
        <v>59465.631559188849</v>
      </c>
      <c r="AP13" s="76">
        <f>'Output '!AP23</f>
        <v>61441.122697697938</v>
      </c>
      <c r="AQ13" s="76">
        <f>'Output '!AQ23</f>
        <v>63416.613836207027</v>
      </c>
      <c r="AR13" s="76">
        <f>'Output '!AR23</f>
        <v>65408.846425042459</v>
      </c>
      <c r="AS13" s="76">
        <f>'Output '!AS23</f>
        <v>67384.337563551555</v>
      </c>
      <c r="AT13" s="76">
        <f>'Output '!AT23</f>
        <v>69359.828702060637</v>
      </c>
      <c r="AU13" s="76">
        <f>'Output '!AU23</f>
        <v>71352.061290896076</v>
      </c>
      <c r="AV13" s="76">
        <f>'Output '!AV23</f>
        <v>75336.529271782172</v>
      </c>
      <c r="AW13" s="76">
        <f>'Output '!AW23</f>
        <v>75336.529271782172</v>
      </c>
      <c r="AX13" s="76">
        <f>'Output '!AX23</f>
        <v>75336.529271782172</v>
      </c>
      <c r="AY13" s="76">
        <f>'Output '!AY23</f>
        <v>75336.529271782172</v>
      </c>
      <c r="AZ13" s="76">
        <f>'Output '!AZ23</f>
        <v>75336.529271782172</v>
      </c>
      <c r="BA13" s="76">
        <f>'Output '!BA23</f>
        <v>834511.08843355521</v>
      </c>
      <c r="BB13" s="76">
        <f>'Output '!BB23</f>
        <v>70933.442516852185</v>
      </c>
      <c r="BC13" s="76">
        <f>'Output '!BC23</f>
        <v>70933.442516852185</v>
      </c>
      <c r="BD13" s="76">
        <f>'Output '!BD23</f>
        <v>70933.442516852185</v>
      </c>
      <c r="BE13" s="76">
        <f>'Output '!BE23</f>
        <v>70933.442516852185</v>
      </c>
      <c r="BF13" s="76">
        <f>'Output '!BF23</f>
        <v>70933.442516852185</v>
      </c>
      <c r="BG13" s="76">
        <f>'Output '!BG23</f>
        <v>70933.442516852185</v>
      </c>
      <c r="BH13" s="76">
        <f>'Output '!BH23</f>
        <v>70933.442516852185</v>
      </c>
      <c r="BI13" s="76">
        <f>'Output '!BI23</f>
        <v>70933.442516852185</v>
      </c>
      <c r="BJ13" s="76">
        <f>'Output '!BJ23</f>
        <v>70933.442516852185</v>
      </c>
      <c r="BK13" s="76">
        <f>'Output '!BK23</f>
        <v>70933.442516852185</v>
      </c>
      <c r="BL13" s="76">
        <f>'Output '!BL23</f>
        <v>70933.442516852185</v>
      </c>
      <c r="BM13" s="76">
        <f>'Output '!BM23</f>
        <v>70933.442516852185</v>
      </c>
      <c r="BN13" s="76">
        <f>'Output '!BN23</f>
        <v>851201.31020222628</v>
      </c>
      <c r="BP13" s="255"/>
      <c r="BQ13" s="255"/>
      <c r="BR13" s="255"/>
    </row>
    <row r="14" spans="2:70" hidden="1" outlineLevel="1" x14ac:dyDescent="0.2">
      <c r="B14" s="139" t="s">
        <v>7</v>
      </c>
      <c r="C14" t="s">
        <v>41</v>
      </c>
      <c r="G14" s="76">
        <f>'Output '!G24</f>
        <v>0</v>
      </c>
      <c r="H14" s="76">
        <f>'Output '!H24</f>
        <v>0</v>
      </c>
      <c r="I14" s="76">
        <f>'Output '!I24</f>
        <v>0</v>
      </c>
      <c r="J14" s="76">
        <f>'Output '!J24</f>
        <v>17817.396622455741</v>
      </c>
      <c r="K14" s="76">
        <f>'Output '!K24</f>
        <v>27335.981370638088</v>
      </c>
      <c r="L14" s="76">
        <f>'Output '!L24</f>
        <v>36832.784460357776</v>
      </c>
      <c r="M14" s="76">
        <f>'Output '!M24</f>
        <v>46351.36920854012</v>
      </c>
      <c r="N14" s="76">
        <f>'Output '!N24</f>
        <v>128337.53166199173</v>
      </c>
      <c r="O14" s="76">
        <f>'Output '!O24</f>
        <v>55848.172298259808</v>
      </c>
      <c r="P14" s="76">
        <f>'Output '!P24</f>
        <v>65344.975387979495</v>
      </c>
      <c r="Q14" s="76">
        <f>'Output '!Q24</f>
        <v>66717.219871127061</v>
      </c>
      <c r="R14" s="76">
        <f>'Output '!R24</f>
        <v>66717.219871127061</v>
      </c>
      <c r="S14" s="76">
        <f>'Output '!S24</f>
        <v>66717.219871127061</v>
      </c>
      <c r="T14" s="76">
        <f>'Output '!T24</f>
        <v>66717.219871127061</v>
      </c>
      <c r="U14" s="76">
        <f>'Output '!U24</f>
        <v>66717.219871127061</v>
      </c>
      <c r="V14" s="76">
        <f>'Output '!V24</f>
        <v>66717.219871127061</v>
      </c>
      <c r="W14" s="76">
        <f>'Output '!W24</f>
        <v>66717.219871127061</v>
      </c>
      <c r="X14" s="76">
        <f>'Output '!X24</f>
        <v>66717.219871127061</v>
      </c>
      <c r="Y14" s="76">
        <f>'Output '!Y24</f>
        <v>66717.219871127061</v>
      </c>
      <c r="Z14" s="76">
        <f>'Output '!Z24</f>
        <v>66717.219871127061</v>
      </c>
      <c r="AA14" s="76">
        <f>'Output '!AA24</f>
        <v>788365.3463975098</v>
      </c>
      <c r="AB14" s="76">
        <f>'Output '!AB24</f>
        <v>68051.564268549599</v>
      </c>
      <c r="AC14" s="76">
        <f>'Output '!AC24</f>
        <v>68051.564268549599</v>
      </c>
      <c r="AD14" s="76">
        <f>'Output '!AD24</f>
        <v>71635.613320026532</v>
      </c>
      <c r="AE14" s="76">
        <f>'Output '!AE24</f>
        <v>75219.66237150348</v>
      </c>
      <c r="AF14" s="76">
        <f>'Output '!AF24</f>
        <v>78803.711422980428</v>
      </c>
      <c r="AG14" s="76">
        <f>'Output '!AG24</f>
        <v>82387.760474457376</v>
      </c>
      <c r="AH14" s="76">
        <f>'Output '!AH24</f>
        <v>85971.809525934324</v>
      </c>
      <c r="AI14" s="76">
        <f>'Output '!AI24</f>
        <v>89533.17472265508</v>
      </c>
      <c r="AJ14" s="76">
        <f>'Output '!AJ24</f>
        <v>93117.223774132028</v>
      </c>
      <c r="AK14" s="76">
        <f>'Output '!AK24</f>
        <v>96701.272825608976</v>
      </c>
      <c r="AL14" s="76">
        <f>'Output '!AL24</f>
        <v>100262.63802232973</v>
      </c>
      <c r="AM14" s="76">
        <f>'Output '!AM24</f>
        <v>103846.68707380668</v>
      </c>
      <c r="AN14" s="76">
        <f>'Output '!AN24</f>
        <v>1013582.6820705339</v>
      </c>
      <c r="AO14" s="76">
        <f>'Output '!AO24</f>
        <v>109579.35084778929</v>
      </c>
      <c r="AP14" s="76">
        <f>'Output '!AP24</f>
        <v>113235.08088029578</v>
      </c>
      <c r="AQ14" s="76">
        <f>'Output '!AQ24</f>
        <v>116890.81091280226</v>
      </c>
      <c r="AR14" s="76">
        <f>'Output '!AR24</f>
        <v>120546.54094530875</v>
      </c>
      <c r="AS14" s="76">
        <f>'Output '!AS24</f>
        <v>124202.27097781523</v>
      </c>
      <c r="AT14" s="76">
        <f>'Output '!AT24</f>
        <v>127858.00101032171</v>
      </c>
      <c r="AU14" s="76">
        <f>'Output '!AU24</f>
        <v>131490.59351097688</v>
      </c>
      <c r="AV14" s="76">
        <f>'Output '!AV24</f>
        <v>138825.18917074849</v>
      </c>
      <c r="AW14" s="76">
        <f>'Output '!AW24</f>
        <v>138825.18917074849</v>
      </c>
      <c r="AX14" s="76">
        <f>'Output '!AX24</f>
        <v>138825.18917074849</v>
      </c>
      <c r="AY14" s="76">
        <f>'Output '!AY24</f>
        <v>138825.18917074849</v>
      </c>
      <c r="AZ14" s="76">
        <f>'Output '!AZ24</f>
        <v>138825.18917074849</v>
      </c>
      <c r="BA14" s="76">
        <f>'Output '!BA24</f>
        <v>1537928.5949390524</v>
      </c>
      <c r="BB14" s="76">
        <f>'Output '!BB24</f>
        <v>130723.93056981944</v>
      </c>
      <c r="BC14" s="76">
        <f>'Output '!BC24</f>
        <v>130723.93056981944</v>
      </c>
      <c r="BD14" s="76">
        <f>'Output '!BD24</f>
        <v>130723.93056981944</v>
      </c>
      <c r="BE14" s="76">
        <f>'Output '!BE24</f>
        <v>130723.93056981944</v>
      </c>
      <c r="BF14" s="76">
        <f>'Output '!BF24</f>
        <v>130723.93056981944</v>
      </c>
      <c r="BG14" s="76">
        <f>'Output '!BG24</f>
        <v>130723.93056981944</v>
      </c>
      <c r="BH14" s="76">
        <f>'Output '!BH24</f>
        <v>130723.93056981944</v>
      </c>
      <c r="BI14" s="76">
        <f>'Output '!BI24</f>
        <v>130723.93056981944</v>
      </c>
      <c r="BJ14" s="76">
        <f>'Output '!BJ24</f>
        <v>130723.93056981944</v>
      </c>
      <c r="BK14" s="76">
        <f>'Output '!BK24</f>
        <v>130723.93056981944</v>
      </c>
      <c r="BL14" s="76">
        <f>'Output '!BL24</f>
        <v>130723.93056981944</v>
      </c>
      <c r="BM14" s="76">
        <f>'Output '!BM24</f>
        <v>130723.93056981944</v>
      </c>
      <c r="BN14" s="76">
        <f>'Output '!BN24</f>
        <v>1568687.1668378334</v>
      </c>
      <c r="BP14" s="255"/>
      <c r="BQ14" s="255"/>
      <c r="BR14" s="255"/>
    </row>
    <row r="15" spans="2:70" hidden="1" outlineLevel="1" x14ac:dyDescent="0.2">
      <c r="B15" s="139" t="s">
        <v>167</v>
      </c>
      <c r="C15" t="s">
        <v>41</v>
      </c>
      <c r="G15" s="76">
        <f>'Output '!G25</f>
        <v>0</v>
      </c>
      <c r="H15" s="76">
        <f>'Output '!H25</f>
        <v>0</v>
      </c>
      <c r="I15" s="76">
        <f>'Output '!I25</f>
        <v>0</v>
      </c>
      <c r="J15" s="76">
        <f>'Output '!J25</f>
        <v>8273.7707760611011</v>
      </c>
      <c r="K15" s="76">
        <f>'Output '!K25</f>
        <v>12683.75128750687</v>
      </c>
      <c r="L15" s="76">
        <f>'Output '!L25</f>
        <v>17093.731798952642</v>
      </c>
      <c r="M15" s="76">
        <f>'Output '!M25</f>
        <v>21503.712310398409</v>
      </c>
      <c r="N15" s="76">
        <f>'Output '!N25</f>
        <v>59554.966172919019</v>
      </c>
      <c r="O15" s="76">
        <f>'Output '!O25</f>
        <v>25933.922090245309</v>
      </c>
      <c r="P15" s="76">
        <f>'Output '!P25</f>
        <v>30343.902601691076</v>
      </c>
      <c r="Q15" s="76">
        <f>'Output '!Q25</f>
        <v>30981.124556326587</v>
      </c>
      <c r="R15" s="76">
        <f>'Output '!R25</f>
        <v>30981.124556326587</v>
      </c>
      <c r="S15" s="76">
        <f>'Output '!S25</f>
        <v>30981.124556326587</v>
      </c>
      <c r="T15" s="76">
        <f>'Output '!T25</f>
        <v>30981.124556326587</v>
      </c>
      <c r="U15" s="76">
        <f>'Output '!U25</f>
        <v>30981.124556326587</v>
      </c>
      <c r="V15" s="76">
        <f>'Output '!V25</f>
        <v>30981.124556326587</v>
      </c>
      <c r="W15" s="76">
        <f>'Output '!W25</f>
        <v>30981.124556326587</v>
      </c>
      <c r="X15" s="76">
        <f>'Output '!X25</f>
        <v>30981.124556326587</v>
      </c>
      <c r="Y15" s="76">
        <f>'Output '!Y25</f>
        <v>30981.124556326587</v>
      </c>
      <c r="Z15" s="76">
        <f>'Output '!Z25</f>
        <v>30981.124556326587</v>
      </c>
      <c r="AA15" s="76">
        <f>'Output '!AA25</f>
        <v>366089.0702552023</v>
      </c>
      <c r="AB15" s="76">
        <f>'Output '!AB25</f>
        <v>31600.747047453118</v>
      </c>
      <c r="AC15" s="76">
        <f>'Output '!AC25</f>
        <v>31600.747047453118</v>
      </c>
      <c r="AD15" s="76">
        <f>'Output '!AD25</f>
        <v>33265.053058618985</v>
      </c>
      <c r="AE15" s="76">
        <f>'Output '!AE25</f>
        <v>34929.359069784849</v>
      </c>
      <c r="AF15" s="76">
        <f>'Output '!AF25</f>
        <v>36593.665080950712</v>
      </c>
      <c r="AG15" s="76">
        <f>'Output '!AG25</f>
        <v>38257.971092116575</v>
      </c>
      <c r="AH15" s="76">
        <f>'Output '!AH25</f>
        <v>39922.277103282438</v>
      </c>
      <c r="AI15" s="76">
        <f>'Output '!AI25</f>
        <v>41586.583114448302</v>
      </c>
      <c r="AJ15" s="76">
        <f>'Output '!AJ25</f>
        <v>43250.889125614172</v>
      </c>
      <c r="AK15" s="76">
        <f>'Output '!AK25</f>
        <v>44915.195136780036</v>
      </c>
      <c r="AL15" s="76">
        <f>'Output '!AL25</f>
        <v>46558.433983247596</v>
      </c>
      <c r="AM15" s="76">
        <f>'Output '!AM25</f>
        <v>48222.739994413459</v>
      </c>
      <c r="AN15" s="76">
        <f>'Output '!AN25</f>
        <v>470703.66085416335</v>
      </c>
      <c r="AO15" s="76">
        <f>'Output '!AO25</f>
        <v>50884.786925690911</v>
      </c>
      <c r="AP15" s="76">
        <f>'Output '!AP25</f>
        <v>52582.379057080092</v>
      </c>
      <c r="AQ15" s="76">
        <f>'Output '!AQ25</f>
        <v>54279.971188469273</v>
      </c>
      <c r="AR15" s="76">
        <f>'Output '!AR25</f>
        <v>55956.074811866187</v>
      </c>
      <c r="AS15" s="76">
        <f>'Output '!AS25</f>
        <v>57653.666943255368</v>
      </c>
      <c r="AT15" s="76">
        <f>'Output '!AT25</f>
        <v>59351.259074644557</v>
      </c>
      <c r="AU15" s="76">
        <f>'Output '!AU25</f>
        <v>61048.851206033738</v>
      </c>
      <c r="AV15" s="76">
        <f>'Output '!AV25</f>
        <v>64465.523077286831</v>
      </c>
      <c r="AW15" s="76">
        <f>'Output '!AW25</f>
        <v>64465.523077286831</v>
      </c>
      <c r="AX15" s="76">
        <f>'Output '!AX25</f>
        <v>64465.523077286831</v>
      </c>
      <c r="AY15" s="76">
        <f>'Output '!AY25</f>
        <v>64465.523077286831</v>
      </c>
      <c r="AZ15" s="76">
        <f>'Output '!AZ25</f>
        <v>64465.523077286831</v>
      </c>
      <c r="BA15" s="76">
        <f>'Output '!BA25</f>
        <v>714084.60459347419</v>
      </c>
      <c r="BB15" s="76">
        <f>'Output '!BB25</f>
        <v>60697.19139044531</v>
      </c>
      <c r="BC15" s="76">
        <f>'Output '!BC25</f>
        <v>60697.19139044531</v>
      </c>
      <c r="BD15" s="76">
        <f>'Output '!BD25</f>
        <v>60697.19139044531</v>
      </c>
      <c r="BE15" s="76">
        <f>'Output '!BE25</f>
        <v>60697.19139044531</v>
      </c>
      <c r="BF15" s="76">
        <f>'Output '!BF25</f>
        <v>60697.19139044531</v>
      </c>
      <c r="BG15" s="76">
        <f>'Output '!BG25</f>
        <v>60697.19139044531</v>
      </c>
      <c r="BH15" s="76">
        <f>'Output '!BH25</f>
        <v>60697.19139044531</v>
      </c>
      <c r="BI15" s="76">
        <f>'Output '!BI25</f>
        <v>60697.19139044531</v>
      </c>
      <c r="BJ15" s="76">
        <f>'Output '!BJ25</f>
        <v>60697.19139044531</v>
      </c>
      <c r="BK15" s="76">
        <f>'Output '!BK25</f>
        <v>60697.19139044531</v>
      </c>
      <c r="BL15" s="76">
        <f>'Output '!BL25</f>
        <v>60697.19139044531</v>
      </c>
      <c r="BM15" s="76">
        <f>'Output '!BM25</f>
        <v>60697.19139044531</v>
      </c>
      <c r="BN15" s="76">
        <f>'Output '!BN25</f>
        <v>728366.29668534372</v>
      </c>
      <c r="BP15" s="255"/>
      <c r="BQ15" s="255"/>
      <c r="BR15" s="255"/>
    </row>
    <row r="16" spans="2:70" hidden="1" outlineLevel="1" x14ac:dyDescent="0.2">
      <c r="B16" s="140" t="s">
        <v>122</v>
      </c>
      <c r="C16" s="114" t="s">
        <v>41</v>
      </c>
      <c r="D16" s="114"/>
      <c r="E16" s="114"/>
      <c r="F16" s="114"/>
      <c r="G16" s="121">
        <f>'Output '!G26</f>
        <v>0</v>
      </c>
      <c r="H16" s="121">
        <f>'Output '!H26</f>
        <v>0</v>
      </c>
      <c r="I16" s="121">
        <f>'Output '!I26</f>
        <v>0</v>
      </c>
      <c r="J16" s="121">
        <f>'Output '!J26</f>
        <v>5232.0464491965813</v>
      </c>
      <c r="K16" s="121">
        <f>'Output '!K26</f>
        <v>8020.7655834871794</v>
      </c>
      <c r="L16" s="121">
        <f>'Output '!L26</f>
        <v>10809.484717777777</v>
      </c>
      <c r="M16" s="121">
        <f>'Output '!M26</f>
        <v>13598.203852068375</v>
      </c>
      <c r="N16" s="121">
        <f>'Output '!N26</f>
        <v>37660.500602529915</v>
      </c>
      <c r="O16" s="121">
        <f>'Output '!O26</f>
        <v>16399.715275965813</v>
      </c>
      <c r="P16" s="121">
        <f>'Output '!P26</f>
        <v>19188.43441025641</v>
      </c>
      <c r="Q16" s="121">
        <f>'Output '!Q26</f>
        <v>19591.391532871792</v>
      </c>
      <c r="R16" s="121">
        <f>'Output '!R26</f>
        <v>19591.391532871792</v>
      </c>
      <c r="S16" s="121">
        <f>'Output '!S26</f>
        <v>19591.391532871792</v>
      </c>
      <c r="T16" s="121">
        <f>'Output '!T26</f>
        <v>19591.391532871792</v>
      </c>
      <c r="U16" s="121">
        <f>'Output '!U26</f>
        <v>19591.391532871792</v>
      </c>
      <c r="V16" s="121">
        <f>'Output '!V26</f>
        <v>19591.391532871792</v>
      </c>
      <c r="W16" s="121">
        <f>'Output '!W26</f>
        <v>19591.391532871792</v>
      </c>
      <c r="X16" s="121">
        <f>'Output '!X26</f>
        <v>19591.391532871792</v>
      </c>
      <c r="Y16" s="121">
        <f>'Output '!Y26</f>
        <v>19591.391532871792</v>
      </c>
      <c r="Z16" s="121">
        <f>'Output '!Z26</f>
        <v>19591.391532871792</v>
      </c>
      <c r="AA16" s="121">
        <f>'Output '!AA26</f>
        <v>231502.0650149401</v>
      </c>
      <c r="AB16" s="121">
        <f>'Output '!AB26</f>
        <v>19983.219363529228</v>
      </c>
      <c r="AC16" s="121">
        <f>'Output '!AC26</f>
        <v>19983.219363529228</v>
      </c>
      <c r="AD16" s="121">
        <f>'Output '!AD26</f>
        <v>21035.668916675102</v>
      </c>
      <c r="AE16" s="121">
        <f>'Output '!AE26</f>
        <v>22088.118469820973</v>
      </c>
      <c r="AF16" s="121">
        <f>'Output '!AF26</f>
        <v>23127.245876724493</v>
      </c>
      <c r="AG16" s="121">
        <f>'Output '!AG26</f>
        <v>24179.695429870368</v>
      </c>
      <c r="AH16" s="121">
        <f>'Output '!AH26</f>
        <v>25232.144983016238</v>
      </c>
      <c r="AI16" s="121">
        <f>'Output '!AI26</f>
        <v>26284.594536162112</v>
      </c>
      <c r="AJ16" s="121">
        <f>'Output '!AJ26</f>
        <v>27337.044089307983</v>
      </c>
      <c r="AK16" s="121">
        <f>'Output '!AK26</f>
        <v>28389.493642453857</v>
      </c>
      <c r="AL16" s="121">
        <f>'Output '!AL26</f>
        <v>29455.265341842081</v>
      </c>
      <c r="AM16" s="121">
        <f>'Output '!AM26</f>
        <v>30507.714894987956</v>
      </c>
      <c r="AN16" s="121">
        <f>'Output '!AN26</f>
        <v>297603.4249079196</v>
      </c>
      <c r="AO16" s="121">
        <f>'Output '!AO26</f>
        <v>32177.779147929305</v>
      </c>
      <c r="AP16" s="121">
        <f>'Output '!AP26</f>
        <v>33251.277692138094</v>
      </c>
      <c r="AQ16" s="121">
        <f>'Output '!AQ26</f>
        <v>34324.776236346886</v>
      </c>
      <c r="AR16" s="121">
        <f>'Output '!AR26</f>
        <v>35398.274780555679</v>
      </c>
      <c r="AS16" s="121">
        <f>'Output '!AS26</f>
        <v>36471.773324764465</v>
      </c>
      <c r="AT16" s="121">
        <f>'Output '!AT26</f>
        <v>37545.271868973257</v>
      </c>
      <c r="AU16" s="121">
        <f>'Output '!AU26</f>
        <v>38618.77041318205</v>
      </c>
      <c r="AV16" s="121">
        <f>'Output '!AV26</f>
        <v>40765.766932775849</v>
      </c>
      <c r="AW16" s="121">
        <f>'Output '!AW26</f>
        <v>40765.766932775849</v>
      </c>
      <c r="AX16" s="121">
        <f>'Output '!AX26</f>
        <v>40765.766932775849</v>
      </c>
      <c r="AY16" s="121">
        <f>'Output '!AY26</f>
        <v>40765.766932775849</v>
      </c>
      <c r="AZ16" s="121">
        <f>'Output '!AZ26</f>
        <v>40765.766932775849</v>
      </c>
      <c r="BA16" s="121">
        <f>'Output '!BA26</f>
        <v>451616.75812776899</v>
      </c>
      <c r="BB16" s="121">
        <f>'Output '!BB26</f>
        <v>38387.424440860363</v>
      </c>
      <c r="BC16" s="121">
        <f>'Output '!BC26</f>
        <v>38387.424440860363</v>
      </c>
      <c r="BD16" s="121">
        <f>'Output '!BD26</f>
        <v>38387.424440860363</v>
      </c>
      <c r="BE16" s="121">
        <f>'Output '!BE26</f>
        <v>38387.424440860363</v>
      </c>
      <c r="BF16" s="121">
        <f>'Output '!BF26</f>
        <v>38387.424440860363</v>
      </c>
      <c r="BG16" s="121">
        <f>'Output '!BG26</f>
        <v>38387.424440860363</v>
      </c>
      <c r="BH16" s="121">
        <f>'Output '!BH26</f>
        <v>38387.424440860363</v>
      </c>
      <c r="BI16" s="121">
        <f>'Output '!BI26</f>
        <v>38387.424440860363</v>
      </c>
      <c r="BJ16" s="121">
        <f>'Output '!BJ26</f>
        <v>38387.424440860363</v>
      </c>
      <c r="BK16" s="121">
        <f>'Output '!BK26</f>
        <v>38387.424440860363</v>
      </c>
      <c r="BL16" s="121">
        <f>'Output '!BL26</f>
        <v>38387.424440860363</v>
      </c>
      <c r="BM16" s="121">
        <f>'Output '!BM26</f>
        <v>38387.424440860363</v>
      </c>
      <c r="BN16" s="121">
        <f>'Output '!BN26</f>
        <v>460649.09329032432</v>
      </c>
      <c r="BP16" s="255"/>
      <c r="BQ16" s="255"/>
      <c r="BR16" s="255"/>
    </row>
    <row r="17" spans="2:68" collapsed="1" x14ac:dyDescent="0.2">
      <c r="B17" s="143" t="s">
        <v>168</v>
      </c>
      <c r="C17" t="s">
        <v>41</v>
      </c>
      <c r="G17" s="76">
        <f>SUM(G13:G16)</f>
        <v>0</v>
      </c>
      <c r="H17" s="76">
        <f t="shared" ref="H17:BN17" si="7">SUM(H13:H16)</f>
        <v>0</v>
      </c>
      <c r="I17" s="76">
        <f t="shared" si="7"/>
        <v>0</v>
      </c>
      <c r="J17" s="76">
        <f>SUM(J13:J16)</f>
        <v>41000.094039180694</v>
      </c>
      <c r="K17" s="76">
        <f t="shared" si="7"/>
        <v>62871.026352659341</v>
      </c>
      <c r="L17" s="76">
        <f t="shared" si="7"/>
        <v>84735.937398866663</v>
      </c>
      <c r="M17" s="76">
        <f t="shared" si="7"/>
        <v>106606.86971234527</v>
      </c>
      <c r="N17" s="75">
        <f>SUM(J17:M17)</f>
        <v>295213.92750305193</v>
      </c>
      <c r="O17" s="75">
        <f>SUM(O13:O16)</f>
        <v>128473.28153417792</v>
      </c>
      <c r="P17" s="75">
        <f t="shared" si="7"/>
        <v>150338.19439466004</v>
      </c>
      <c r="Q17" s="75">
        <f t="shared" si="7"/>
        <v>153495.29647694787</v>
      </c>
      <c r="R17" s="75">
        <f t="shared" si="7"/>
        <v>153495.29647694787</v>
      </c>
      <c r="S17" s="75">
        <f t="shared" si="7"/>
        <v>153495.29647694787</v>
      </c>
      <c r="T17" s="75">
        <f t="shared" si="7"/>
        <v>153495.29647694787</v>
      </c>
      <c r="U17" s="75">
        <f t="shared" si="7"/>
        <v>153495.29647694787</v>
      </c>
      <c r="V17" s="75">
        <f t="shared" si="7"/>
        <v>153495.29647694787</v>
      </c>
      <c r="W17" s="75">
        <f t="shared" si="7"/>
        <v>153495.29647694787</v>
      </c>
      <c r="X17" s="75">
        <f t="shared" si="7"/>
        <v>153495.29647694787</v>
      </c>
      <c r="Y17" s="75">
        <f t="shared" si="7"/>
        <v>153495.29647694787</v>
      </c>
      <c r="Z17" s="75">
        <f t="shared" si="7"/>
        <v>153495.29647694787</v>
      </c>
      <c r="AA17" s="75">
        <f t="shared" si="7"/>
        <v>1813764.4406983168</v>
      </c>
      <c r="AB17" s="75">
        <f t="shared" si="7"/>
        <v>156565.20240648685</v>
      </c>
      <c r="AC17" s="75">
        <f t="shared" si="7"/>
        <v>156565.20240648685</v>
      </c>
      <c r="AD17" s="75">
        <f t="shared" si="7"/>
        <v>164802.76115099958</v>
      </c>
      <c r="AE17" s="75">
        <f t="shared" si="7"/>
        <v>173040.32178493444</v>
      </c>
      <c r="AF17" s="75">
        <f t="shared" si="7"/>
        <v>181280.97345922139</v>
      </c>
      <c r="AG17" s="75">
        <f t="shared" si="7"/>
        <v>189518.53409315625</v>
      </c>
      <c r="AH17" s="75">
        <f t="shared" si="7"/>
        <v>197756.09472709114</v>
      </c>
      <c r="AI17" s="75">
        <f t="shared" si="7"/>
        <v>205987.3846928642</v>
      </c>
      <c r="AJ17" s="75">
        <f t="shared" si="7"/>
        <v>214224.94532679906</v>
      </c>
      <c r="AK17" s="75">
        <f t="shared" si="7"/>
        <v>222462.50596073392</v>
      </c>
      <c r="AL17" s="75">
        <f t="shared" si="7"/>
        <v>230686.05090805108</v>
      </c>
      <c r="AM17" s="75">
        <f t="shared" si="7"/>
        <v>238923.61154198594</v>
      </c>
      <c r="AN17" s="75">
        <f t="shared" si="7"/>
        <v>2331813.5884588109</v>
      </c>
      <c r="AO17" s="75">
        <f t="shared" si="7"/>
        <v>252107.54848059837</v>
      </c>
      <c r="AP17" s="75">
        <f t="shared" si="7"/>
        <v>260509.86032721191</v>
      </c>
      <c r="AQ17" s="75">
        <f t="shared" si="7"/>
        <v>268912.17217382544</v>
      </c>
      <c r="AR17" s="75">
        <f t="shared" si="7"/>
        <v>277309.73696277308</v>
      </c>
      <c r="AS17" s="75">
        <f t="shared" si="7"/>
        <v>285712.04880938662</v>
      </c>
      <c r="AT17" s="75">
        <f t="shared" si="7"/>
        <v>294114.36065600015</v>
      </c>
      <c r="AU17" s="75">
        <f t="shared" si="7"/>
        <v>302510.27642108873</v>
      </c>
      <c r="AV17" s="75">
        <f t="shared" si="7"/>
        <v>319393.00845259335</v>
      </c>
      <c r="AW17" s="75">
        <f t="shared" si="7"/>
        <v>319393.00845259335</v>
      </c>
      <c r="AX17" s="75">
        <f t="shared" si="7"/>
        <v>319393.00845259335</v>
      </c>
      <c r="AY17" s="75">
        <f t="shared" si="7"/>
        <v>319393.00845259335</v>
      </c>
      <c r="AZ17" s="75">
        <f t="shared" si="7"/>
        <v>319393.00845259335</v>
      </c>
      <c r="BA17" s="75">
        <f t="shared" si="7"/>
        <v>3538141.0460938509</v>
      </c>
      <c r="BB17" s="75">
        <f t="shared" si="7"/>
        <v>300741.98891797726</v>
      </c>
      <c r="BC17" s="75">
        <f t="shared" si="7"/>
        <v>300741.98891797726</v>
      </c>
      <c r="BD17" s="75">
        <f t="shared" si="7"/>
        <v>300741.98891797726</v>
      </c>
      <c r="BE17" s="75">
        <f t="shared" si="7"/>
        <v>300741.98891797726</v>
      </c>
      <c r="BF17" s="75">
        <f t="shared" si="7"/>
        <v>300741.98891797726</v>
      </c>
      <c r="BG17" s="75">
        <f t="shared" si="7"/>
        <v>300741.98891797726</v>
      </c>
      <c r="BH17" s="75">
        <f t="shared" si="7"/>
        <v>300741.98891797726</v>
      </c>
      <c r="BI17" s="75">
        <f t="shared" si="7"/>
        <v>300741.98891797726</v>
      </c>
      <c r="BJ17" s="75">
        <f t="shared" si="7"/>
        <v>300741.98891797726</v>
      </c>
      <c r="BK17" s="75">
        <f t="shared" si="7"/>
        <v>300741.98891797726</v>
      </c>
      <c r="BL17" s="75">
        <f t="shared" si="7"/>
        <v>300741.98891797726</v>
      </c>
      <c r="BM17" s="75">
        <f t="shared" si="7"/>
        <v>300741.98891797726</v>
      </c>
      <c r="BN17" s="75">
        <f t="shared" si="7"/>
        <v>3608903.8670157278</v>
      </c>
      <c r="BP17" s="76"/>
    </row>
    <row r="18" spans="2:68" x14ac:dyDescent="0.2">
      <c r="B18" s="157" t="s">
        <v>208</v>
      </c>
      <c r="C18" s="53" t="s">
        <v>13</v>
      </c>
      <c r="D18" s="53"/>
      <c r="E18" s="53"/>
      <c r="F18" s="5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>
        <f>AA17/N17-1</f>
        <v>5.143898616299416</v>
      </c>
      <c r="AB18" s="158">
        <f t="shared" ref="AB18:BN18" si="8">AB17/O17-1</f>
        <v>0.21865963519298437</v>
      </c>
      <c r="AC18" s="158">
        <f t="shared" si="8"/>
        <v>4.1420000000000012E-2</v>
      </c>
      <c r="AD18" s="158">
        <f t="shared" si="8"/>
        <v>7.366652225561765E-2</v>
      </c>
      <c r="AE18" s="158">
        <f t="shared" si="8"/>
        <v>0.12733305682055129</v>
      </c>
      <c r="AF18" s="158">
        <f t="shared" si="8"/>
        <v>0.18101972907323849</v>
      </c>
      <c r="AG18" s="158">
        <f t="shared" si="8"/>
        <v>0.23468626363817213</v>
      </c>
      <c r="AH18" s="158">
        <f t="shared" si="8"/>
        <v>0.288352798203106</v>
      </c>
      <c r="AI18" s="158">
        <f t="shared" si="8"/>
        <v>0.34197848025786026</v>
      </c>
      <c r="AJ18" s="158">
        <f t="shared" si="8"/>
        <v>0.39564501482279391</v>
      </c>
      <c r="AK18" s="158">
        <f t="shared" si="8"/>
        <v>0.44931154938772755</v>
      </c>
      <c r="AL18" s="158">
        <f t="shared" si="8"/>
        <v>0.50288677375007262</v>
      </c>
      <c r="AM18" s="158">
        <f t="shared" si="8"/>
        <v>0.55655330831500627</v>
      </c>
      <c r="AN18" s="158">
        <f t="shared" si="8"/>
        <v>0.28562096385627678</v>
      </c>
      <c r="AO18" s="158">
        <f t="shared" si="8"/>
        <v>0.61023998056769346</v>
      </c>
      <c r="AP18" s="158">
        <f t="shared" si="8"/>
        <v>0.66390651513262688</v>
      </c>
      <c r="AQ18" s="158">
        <f t="shared" si="8"/>
        <v>0.6317212787923876</v>
      </c>
      <c r="AR18" s="158">
        <f t="shared" si="8"/>
        <v>0.60257293850523075</v>
      </c>
      <c r="AS18" s="158">
        <f t="shared" si="8"/>
        <v>0.57607300621461355</v>
      </c>
      <c r="AT18" s="158">
        <f t="shared" si="8"/>
        <v>0.55190288941043986</v>
      </c>
      <c r="AU18" s="158">
        <f t="shared" si="8"/>
        <v>0.52971404921077769</v>
      </c>
      <c r="AV18" s="158">
        <f t="shared" si="8"/>
        <v>0.55054645180733597</v>
      </c>
      <c r="AW18" s="158">
        <f t="shared" si="8"/>
        <v>0.49092351483792407</v>
      </c>
      <c r="AX18" s="158">
        <f t="shared" si="8"/>
        <v>0.43571613145888177</v>
      </c>
      <c r="AY18" s="158">
        <f t="shared" si="8"/>
        <v>0.38453542030549515</v>
      </c>
      <c r="AZ18" s="158">
        <f t="shared" si="8"/>
        <v>0.33679968418050876</v>
      </c>
      <c r="BA18" s="158">
        <f t="shared" si="8"/>
        <v>0.51733443170830395</v>
      </c>
      <c r="BB18" s="158">
        <f t="shared" si="8"/>
        <v>0.19291148055855101</v>
      </c>
      <c r="BC18" s="158">
        <f t="shared" si="8"/>
        <v>0.1544361067186939</v>
      </c>
      <c r="BD18" s="158">
        <f t="shared" si="8"/>
        <v>0.11836510220733687</v>
      </c>
      <c r="BE18" s="158">
        <f t="shared" si="8"/>
        <v>8.4498482497748606E-2</v>
      </c>
      <c r="BF18" s="158">
        <f t="shared" si="8"/>
        <v>5.2605202234988324E-2</v>
      </c>
      <c r="BG18" s="158">
        <f t="shared" si="8"/>
        <v>2.2534187882545575E-2</v>
      </c>
      <c r="BH18" s="158">
        <f t="shared" si="8"/>
        <v>-5.845379945539575E-3</v>
      </c>
      <c r="BI18" s="158">
        <f t="shared" si="8"/>
        <v>-5.8395202903711696E-2</v>
      </c>
      <c r="BJ18" s="158">
        <f t="shared" si="8"/>
        <v>-5.8395202903711696E-2</v>
      </c>
      <c r="BK18" s="158">
        <f t="shared" si="8"/>
        <v>-5.8395202903711696E-2</v>
      </c>
      <c r="BL18" s="158">
        <f t="shared" si="8"/>
        <v>-5.8395202903711696E-2</v>
      </c>
      <c r="BM18" s="158">
        <f t="shared" si="8"/>
        <v>-5.8395202903711696E-2</v>
      </c>
      <c r="BN18" s="158">
        <f t="shared" si="8"/>
        <v>2.0000000000000018E-2</v>
      </c>
      <c r="BP18" s="80"/>
    </row>
    <row r="19" spans="2:68" x14ac:dyDescent="0.2"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</row>
    <row r="20" spans="2:68" x14ac:dyDescent="0.2">
      <c r="B20" s="6" t="s">
        <v>161</v>
      </c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</row>
    <row r="21" spans="2:68" hidden="1" outlineLevel="1" x14ac:dyDescent="0.2">
      <c r="B21" s="139" t="s">
        <v>169</v>
      </c>
      <c r="C21" t="s">
        <v>41</v>
      </c>
      <c r="G21" s="76" t="e">
        <f>-'Output '!#REF!</f>
        <v>#REF!</v>
      </c>
      <c r="H21" s="76" t="e">
        <f>-'Output '!#REF!</f>
        <v>#REF!</v>
      </c>
      <c r="I21" s="76" t="e">
        <f>-'Output '!#REF!</f>
        <v>#REF!</v>
      </c>
      <c r="J21" s="76">
        <f>-'Output '!J50</f>
        <v>-23234.741181792</v>
      </c>
      <c r="K21" s="76">
        <f>-'Output '!K50</f>
        <v>-35617.374106415999</v>
      </c>
      <c r="L21" s="76">
        <f>-'Output '!L50</f>
        <v>-48010.233109392</v>
      </c>
      <c r="M21" s="76">
        <f>-'Output '!M50</f>
        <v>-60400.125650015994</v>
      </c>
      <c r="N21" s="76">
        <f>-'Output '!N50</f>
        <v>-167262.47404761601</v>
      </c>
      <c r="O21" s="76">
        <f>-'Output '!O50</f>
        <v>-72794.188065743991</v>
      </c>
      <c r="P21" s="76">
        <f>-'Output '!P50</f>
        <v>-85158.568241568006</v>
      </c>
      <c r="Q21" s="76">
        <f>-'Output '!Q50</f>
        <v>-86792.485174640926</v>
      </c>
      <c r="R21" s="76">
        <f>-'Output '!R50</f>
        <v>-86792.485174640926</v>
      </c>
      <c r="S21" s="76">
        <f>-'Output '!S50</f>
        <v>-86946.898174640926</v>
      </c>
      <c r="T21" s="76">
        <f>-'Output '!T50</f>
        <v>-86946.898174640926</v>
      </c>
      <c r="U21" s="76">
        <f>-'Output '!U50</f>
        <v>-86946.898174640926</v>
      </c>
      <c r="V21" s="76">
        <f>-'Output '!V50</f>
        <v>-86946.898174640926</v>
      </c>
      <c r="W21" s="76">
        <f>-'Output '!W50</f>
        <v>-86946.898174640926</v>
      </c>
      <c r="X21" s="76">
        <f>-'Output '!X50</f>
        <v>-86946.898174640926</v>
      </c>
      <c r="Y21" s="76">
        <f>-'Output '!Y50</f>
        <v>-86946.898174640926</v>
      </c>
      <c r="Z21" s="76">
        <f>-'Output '!Z50</f>
        <v>-86946.898174640926</v>
      </c>
      <c r="AA21" s="76">
        <f>-'Output '!AA50</f>
        <v>-1027112.9120537211</v>
      </c>
      <c r="AB21" s="76">
        <f>-'Output '!AB50</f>
        <v>-88685.836138133731</v>
      </c>
      <c r="AC21" s="76">
        <f>-'Output '!AC50</f>
        <v>-88685.836138133731</v>
      </c>
      <c r="AD21" s="76">
        <f>-'Output '!AD50</f>
        <v>-93359.935145030264</v>
      </c>
      <c r="AE21" s="76">
        <f>-'Output '!AE50</f>
        <v>-98028.309917746519</v>
      </c>
      <c r="AF21" s="76">
        <f>-'Output '!AF50</f>
        <v>-102691.99830046277</v>
      </c>
      <c r="AG21" s="76">
        <f>-'Output '!AG50</f>
        <v>-107360.37307317901</v>
      </c>
      <c r="AH21" s="76">
        <f>-'Output '!AH50</f>
        <v>-112021.18753660057</v>
      </c>
      <c r="AI21" s="76">
        <f>-'Output '!AI50</f>
        <v>-116683.83807513652</v>
      </c>
      <c r="AJ21" s="76">
        <f>-'Output '!AJ50</f>
        <v>-121344.65253855805</v>
      </c>
      <c r="AK21" s="76">
        <f>-'Output '!AK50</f>
        <v>-126013.02731127429</v>
      </c>
      <c r="AL21" s="76">
        <f>-'Output '!AL50</f>
        <v>-130668.67675311262</v>
      </c>
      <c r="AM21" s="76">
        <f>-'Output '!AM50</f>
        <v>-135329.49121653417</v>
      </c>
      <c r="AN21" s="76">
        <f>-'Output '!AN50</f>
        <v>-1320873.1621439024</v>
      </c>
      <c r="AO21" s="76">
        <f>-'Output '!AO50</f>
        <v>-142800.75470671605</v>
      </c>
      <c r="AP21" s="76">
        <f>-'Output '!AP50</f>
        <v>-147554.785459406</v>
      </c>
      <c r="AQ21" s="76">
        <f>-'Output '!AQ50</f>
        <v>-152316.52772757661</v>
      </c>
      <c r="AR21" s="76">
        <f>-'Output '!AR50</f>
        <v>-157066.34875931559</v>
      </c>
      <c r="AS21" s="76">
        <f>-'Output '!AS50</f>
        <v>-161828.09102748617</v>
      </c>
      <c r="AT21" s="76">
        <f>-'Output '!AT50</f>
        <v>-166582.12178017612</v>
      </c>
      <c r="AU21" s="76">
        <f>-'Output '!AU50</f>
        <v>-171338.0253294828</v>
      </c>
      <c r="AV21" s="76">
        <f>-'Output '!AV50</f>
        <v>-180894.69285208063</v>
      </c>
      <c r="AW21" s="76">
        <f>-'Output '!AW50</f>
        <v>-180894.69285208063</v>
      </c>
      <c r="AX21" s="76">
        <f>-'Output '!AX50</f>
        <v>-180894.69285208063</v>
      </c>
      <c r="AY21" s="76">
        <f>-'Output '!AY50</f>
        <v>-180894.69285208063</v>
      </c>
      <c r="AZ21" s="76">
        <f>-'Output '!AZ50</f>
        <v>-180894.69285208063</v>
      </c>
      <c r="BA21" s="76">
        <f>-'Output '!BA50</f>
        <v>-2003960.1190505628</v>
      </c>
      <c r="BB21" s="75" t="e">
        <f>-'Output '!#REF!</f>
        <v>#REF!</v>
      </c>
      <c r="BC21" s="75" t="e">
        <f>-'Output '!#REF!</f>
        <v>#REF!</v>
      </c>
      <c r="BD21" s="75" t="e">
        <f>-'Output '!#REF!</f>
        <v>#REF!</v>
      </c>
      <c r="BE21" s="75" t="e">
        <f>-'Output '!#REF!</f>
        <v>#REF!</v>
      </c>
      <c r="BF21" s="75" t="e">
        <f>-'Output '!#REF!</f>
        <v>#REF!</v>
      </c>
      <c r="BG21" s="75" t="e">
        <f>-'Output '!#REF!</f>
        <v>#REF!</v>
      </c>
      <c r="BH21" s="75" t="e">
        <f>-'Output '!#REF!</f>
        <v>#REF!</v>
      </c>
      <c r="BI21" s="75" t="e">
        <f>-'Output '!#REF!</f>
        <v>#REF!</v>
      </c>
      <c r="BJ21" s="75" t="e">
        <f>-'Output '!#REF!</f>
        <v>#REF!</v>
      </c>
      <c r="BK21" s="75" t="e">
        <f>-'Output '!#REF!</f>
        <v>#REF!</v>
      </c>
      <c r="BL21" s="75" t="e">
        <f>-'Output '!#REF!</f>
        <v>#REF!</v>
      </c>
      <c r="BM21" s="75" t="e">
        <f>-'Output '!#REF!</f>
        <v>#REF!</v>
      </c>
      <c r="BN21" s="75" t="e">
        <f>-'Output '!#REF!</f>
        <v>#REF!</v>
      </c>
      <c r="BP21" s="76"/>
    </row>
    <row r="22" spans="2:68" hidden="1" outlineLevel="1" x14ac:dyDescent="0.2">
      <c r="B22" s="139" t="s">
        <v>115</v>
      </c>
      <c r="C22" t="s">
        <v>41</v>
      </c>
      <c r="G22" s="76">
        <f>-'Output '!G65</f>
        <v>0</v>
      </c>
      <c r="H22" s="76">
        <f>-'Output '!H65</f>
        <v>0</v>
      </c>
      <c r="I22" s="76">
        <f>-'Output '!I65</f>
        <v>0</v>
      </c>
      <c r="J22" s="76">
        <f>-'Output '!J65</f>
        <v>-9832.5</v>
      </c>
      <c r="K22" s="76">
        <f>-'Output '!K65</f>
        <v>-15076.5</v>
      </c>
      <c r="L22" s="76">
        <f>-'Output '!L65</f>
        <v>-20320.500000000004</v>
      </c>
      <c r="M22" s="76">
        <f>-'Output '!M65</f>
        <v>-25564.500000000004</v>
      </c>
      <c r="N22" s="75">
        <f>-'Output '!N65</f>
        <v>-70794</v>
      </c>
      <c r="O22" s="75">
        <f>-'Output '!O65</f>
        <v>-30808.5</v>
      </c>
      <c r="P22" s="75">
        <f>-'Output '!P65</f>
        <v>-36052.500503057367</v>
      </c>
      <c r="Q22" s="75">
        <f>-'Output '!Q65</f>
        <v>-36809.603013621563</v>
      </c>
      <c r="R22" s="75">
        <f>-'Output '!R65</f>
        <v>-36809.603013621563</v>
      </c>
      <c r="S22" s="75">
        <f>-'Output '!S65</f>
        <v>-36809.603013621563</v>
      </c>
      <c r="T22" s="75">
        <f>-'Output '!T65</f>
        <v>-36809.603013621563</v>
      </c>
      <c r="U22" s="75">
        <f>-'Output '!U65</f>
        <v>-36809.603013621563</v>
      </c>
      <c r="V22" s="75">
        <f>-'Output '!V65</f>
        <v>-36809.603013621563</v>
      </c>
      <c r="W22" s="75">
        <f>-'Output '!W65</f>
        <v>-36809.603013621563</v>
      </c>
      <c r="X22" s="75">
        <f>-'Output '!X65</f>
        <v>-36809.603013621563</v>
      </c>
      <c r="Y22" s="75">
        <f>-'Output '!Y65</f>
        <v>-36809.603013621563</v>
      </c>
      <c r="Z22" s="75">
        <f>-'Output '!Z65</f>
        <v>-36809.603013621563</v>
      </c>
      <c r="AA22" s="75">
        <f>-'Output '!AA65</f>
        <v>-434957.030639273</v>
      </c>
      <c r="AB22" s="75">
        <f>-'Output '!AB65</f>
        <v>-37545.795073893998</v>
      </c>
      <c r="AC22" s="75">
        <f>-'Output '!AC65</f>
        <v>-37545.795073893998</v>
      </c>
      <c r="AD22" s="75">
        <f>-'Output '!AD65</f>
        <v>-39520.930893599994</v>
      </c>
      <c r="AE22" s="75">
        <f>-'Output '!AE65</f>
        <v>-41496.067237199997</v>
      </c>
      <c r="AF22" s="75">
        <f>-'Output '!AF65</f>
        <v>-43471.203580799993</v>
      </c>
      <c r="AG22" s="75">
        <f>-'Output '!AG65</f>
        <v>-45446.339924399988</v>
      </c>
      <c r="AH22" s="75">
        <f>-'Output '!AH65</f>
        <v>-47421.476267999999</v>
      </c>
      <c r="AI22" s="75">
        <f>-'Output '!AI65</f>
        <v>-49396.612611599994</v>
      </c>
      <c r="AJ22" s="75">
        <f>-'Output '!AJ65</f>
        <v>-51371.748955199997</v>
      </c>
      <c r="AK22" s="75">
        <f>-'Output '!AK65</f>
        <v>-53346.885298799985</v>
      </c>
      <c r="AL22" s="75">
        <f>-'Output '!AL65</f>
        <v>-55322.021642399995</v>
      </c>
      <c r="AM22" s="75">
        <f>-'Output '!AM65</f>
        <v>-57297.157985999991</v>
      </c>
      <c r="AN22" s="75">
        <f>-'Output '!AN65</f>
        <v>-559182.03454578796</v>
      </c>
      <c r="AO22" s="75">
        <f>-'Output '!AO65</f>
        <v>-60457.740216192004</v>
      </c>
      <c r="AP22" s="75">
        <f>-'Output '!AP65</f>
        <v>-62472.379286664</v>
      </c>
      <c r="AQ22" s="75">
        <f>-'Output '!AQ65</f>
        <v>-64487.018357135996</v>
      </c>
      <c r="AR22" s="75">
        <f>-'Output '!AR65</f>
        <v>-66501.657427607992</v>
      </c>
      <c r="AS22" s="75">
        <f>-'Output '!AS65</f>
        <v>-68516.296498079988</v>
      </c>
      <c r="AT22" s="75">
        <f>-'Output '!AT65</f>
        <v>-70530.935568551999</v>
      </c>
      <c r="AU22" s="75">
        <f>-'Output '!AU65</f>
        <v>-72545.574639023995</v>
      </c>
      <c r="AV22" s="75">
        <f>-'Output '!AV65</f>
        <v>-76593.420881999991</v>
      </c>
      <c r="AW22" s="75">
        <f>-'Output '!AW65</f>
        <v>-76593.420881999991</v>
      </c>
      <c r="AX22" s="75">
        <f>-'Output '!AX65</f>
        <v>-76593.420881999991</v>
      </c>
      <c r="AY22" s="75">
        <f>-'Output '!AY65</f>
        <v>-76593.420881999991</v>
      </c>
      <c r="AZ22" s="75">
        <f>-'Output '!AZ65</f>
        <v>-76593.420881999991</v>
      </c>
      <c r="BA22" s="75">
        <f>-'Output '!BA65</f>
        <v>-848478.70640325593</v>
      </c>
      <c r="BB22" s="75">
        <f>-'Output '!BB65</f>
        <v>-66563.111666666664</v>
      </c>
      <c r="BC22" s="75">
        <f>-'Output '!BC65</f>
        <v>-66563.111666666664</v>
      </c>
      <c r="BD22" s="75">
        <f>-'Output '!BD65</f>
        <v>-66563.111666666664</v>
      </c>
      <c r="BE22" s="75">
        <f>-'Output '!BE65</f>
        <v>-66563.111666666664</v>
      </c>
      <c r="BF22" s="75">
        <f>-'Output '!BF65</f>
        <v>-66563.111666666664</v>
      </c>
      <c r="BG22" s="75">
        <f>-'Output '!BG65</f>
        <v>-66563.111666666664</v>
      </c>
      <c r="BH22" s="75">
        <f>-'Output '!BH65</f>
        <v>-66563.111666666664</v>
      </c>
      <c r="BI22" s="75">
        <f>-'Output '!BI65</f>
        <v>-66563.111666666664</v>
      </c>
      <c r="BJ22" s="75">
        <f>-'Output '!BJ65</f>
        <v>-66563.111666666664</v>
      </c>
      <c r="BK22" s="75">
        <f>-'Output '!BK65</f>
        <v>-66563.111666666664</v>
      </c>
      <c r="BL22" s="75">
        <f>-'Output '!BL65</f>
        <v>-66563.111666666664</v>
      </c>
      <c r="BM22" s="75">
        <f>-'Output '!BM65</f>
        <v>-66563.111666666664</v>
      </c>
      <c r="BN22" s="75">
        <f>-'Output '!BN65</f>
        <v>-798757.34</v>
      </c>
      <c r="BP22" s="76"/>
    </row>
    <row r="23" spans="2:68" hidden="1" outlineLevel="1" x14ac:dyDescent="0.2">
      <c r="B23" s="140" t="s">
        <v>170</v>
      </c>
      <c r="C23" s="114" t="s">
        <v>41</v>
      </c>
      <c r="D23" s="114"/>
      <c r="E23" s="114"/>
      <c r="F23" s="114"/>
      <c r="G23" s="121">
        <f>-'Output '!G178</f>
        <v>0</v>
      </c>
      <c r="H23" s="121">
        <f>-'Output '!H178</f>
        <v>0</v>
      </c>
      <c r="I23" s="121">
        <f>-'Output '!I178</f>
        <v>0</v>
      </c>
      <c r="J23" s="121">
        <f>-'Output '!J178</f>
        <v>-2836.579615384615</v>
      </c>
      <c r="K23" s="121">
        <f>-'Output '!K178</f>
        <v>-3747.8220786409629</v>
      </c>
      <c r="L23" s="121">
        <f>-'Output '!L178</f>
        <v>-5068.6645418973121</v>
      </c>
      <c r="M23" s="121">
        <f>-'Output '!M178</f>
        <v>-5945.773671820325</v>
      </c>
      <c r="N23" s="144">
        <f>-'Output '!N178</f>
        <v>-17598.839907743211</v>
      </c>
      <c r="O23" s="144">
        <f>-'Output '!O178</f>
        <v>-7317.8161350766732</v>
      </c>
      <c r="P23" s="144">
        <f>-'Output '!P178</f>
        <v>-8502.1253622443983</v>
      </c>
      <c r="Q23" s="144">
        <f>-'Output '!Q178</f>
        <v>-8753.7616347092244</v>
      </c>
      <c r="R23" s="144">
        <f>-'Output '!R178</f>
        <v>-8561.7616248859831</v>
      </c>
      <c r="S23" s="144">
        <f>-'Output '!S178</f>
        <v>-8796.4282817294097</v>
      </c>
      <c r="T23" s="144">
        <f>-'Output '!T178</f>
        <v>-8604.4282719061684</v>
      </c>
      <c r="U23" s="144">
        <f>-'Output '!U178</f>
        <v>-8583.0949287495951</v>
      </c>
      <c r="V23" s="144">
        <f>-'Output '!V178</f>
        <v>-8647.0949189263538</v>
      </c>
      <c r="W23" s="144">
        <f>-'Output '!W178</f>
        <v>-8625.7615757697804</v>
      </c>
      <c r="X23" s="144">
        <f>-'Output '!X178</f>
        <v>-8689.7615659465391</v>
      </c>
      <c r="Y23" s="144">
        <f>-'Output '!Y178</f>
        <v>-8753.7615561232979</v>
      </c>
      <c r="Z23" s="144">
        <f>-'Output '!Z178</f>
        <v>-8561.7615463000584</v>
      </c>
      <c r="AA23" s="144">
        <f>-'Output '!AA178</f>
        <v>-102397.55740236749</v>
      </c>
      <c r="AB23" s="144">
        <f>-'Output '!AB178</f>
        <v>-8979.0512524508194</v>
      </c>
      <c r="AC23" s="144">
        <f>-'Output '!AC178</f>
        <v>-9149.1498412616274</v>
      </c>
      <c r="AD23" s="144">
        <f>-'Output '!AD178</f>
        <v>-9428.4175009404917</v>
      </c>
      <c r="AE23" s="144">
        <f>-'Output '!AE178</f>
        <v>-9762.7000253097212</v>
      </c>
      <c r="AF23" s="144">
        <f>-'Output '!AF178</f>
        <v>-10151.997296878953</v>
      </c>
      <c r="AG23" s="144">
        <f>-'Output '!AG178</f>
        <v>-10401.910915648183</v>
      </c>
      <c r="AH23" s="144">
        <f>-'Output '!AH178</f>
        <v>-10901.237681617413</v>
      </c>
      <c r="AI23" s="144">
        <f>-'Output '!AI178</f>
        <v>-11358.379994786646</v>
      </c>
      <c r="AJ23" s="144">
        <f>-'Output '!AJ178</f>
        <v>-11481.740255155877</v>
      </c>
      <c r="AK23" s="144">
        <f>-'Output '!AK178</f>
        <v>-12048.912062725107</v>
      </c>
      <c r="AL23" s="144">
        <f>-'Output '!AL178</f>
        <v>-12768.297817494338</v>
      </c>
      <c r="AM23" s="144">
        <f>-'Output '!AM178</f>
        <v>-12959.503119463567</v>
      </c>
      <c r="AN23" s="144">
        <f>-'Output '!AN178</f>
        <v>-129391.29776373273</v>
      </c>
      <c r="AO23" s="144">
        <f>-'Output '!AO178</f>
        <v>-13751.590070405453</v>
      </c>
      <c r="AP23" s="144">
        <f>-'Output '!AP178</f>
        <v>-14150.86282110207</v>
      </c>
      <c r="AQ23" s="144">
        <f>-'Output '!AQ178</f>
        <v>-14407.964245942683</v>
      </c>
      <c r="AR23" s="144">
        <f>-'Output '!AR178</f>
        <v>-15117.753448927302</v>
      </c>
      <c r="AS23" s="144">
        <f>-'Output '!AS178</f>
        <v>-15387.941774055915</v>
      </c>
      <c r="AT23" s="144">
        <f>-'Output '!AT178</f>
        <v>-15813.388325328528</v>
      </c>
      <c r="AU23" s="144">
        <f>-'Output '!AU178</f>
        <v>-16195.806734745145</v>
      </c>
      <c r="AV23" s="144">
        <f>-'Output '!AV178</f>
        <v>-17138.83742089407</v>
      </c>
      <c r="AW23" s="144">
        <f>-'Output '!AW178</f>
        <v>-16990.122644894069</v>
      </c>
      <c r="AX23" s="144">
        <f>-'Output '!AX178</f>
        <v>-17237.980604894066</v>
      </c>
      <c r="AY23" s="144">
        <f>-'Output '!AY178</f>
        <v>-17089.265828894066</v>
      </c>
      <c r="AZ23" s="144">
        <f>-'Output '!AZ178</f>
        <v>-17138.837420894066</v>
      </c>
      <c r="BA23" s="144">
        <f>-'Output '!BA178</f>
        <v>-190420.35134097742</v>
      </c>
      <c r="BB23" s="144">
        <f>-'Output '!BB178</f>
        <v>-14378.472708547313</v>
      </c>
      <c r="BC23" s="144">
        <f>-'Output '!BC178</f>
        <v>-14378.472708547313</v>
      </c>
      <c r="BD23" s="144">
        <f>-'Output '!BD178</f>
        <v>-14378.472708547313</v>
      </c>
      <c r="BE23" s="144">
        <f>-'Output '!BE178</f>
        <v>-14378.472708547313</v>
      </c>
      <c r="BF23" s="144">
        <f>-'Output '!BF178</f>
        <v>-14378.472708547313</v>
      </c>
      <c r="BG23" s="144">
        <f>-'Output '!BG178</f>
        <v>-14378.472708547313</v>
      </c>
      <c r="BH23" s="144">
        <f>-'Output '!BH178</f>
        <v>-14378.472708547313</v>
      </c>
      <c r="BI23" s="144">
        <f>-'Output '!BI178</f>
        <v>-14378.472708547313</v>
      </c>
      <c r="BJ23" s="144">
        <f>-'Output '!BJ178</f>
        <v>-14378.472708547313</v>
      </c>
      <c r="BK23" s="144">
        <f>-'Output '!BK178</f>
        <v>-14378.472708547313</v>
      </c>
      <c r="BL23" s="144">
        <f>-'Output '!BL178</f>
        <v>-14378.472708547313</v>
      </c>
      <c r="BM23" s="144">
        <f>-'Output '!BM178</f>
        <v>-14378.472708547313</v>
      </c>
      <c r="BN23" s="144">
        <f>-'Output '!BN178</f>
        <v>-172541.67250256779</v>
      </c>
      <c r="BP23" s="76"/>
    </row>
    <row r="24" spans="2:68" collapsed="1" x14ac:dyDescent="0.2">
      <c r="B24" t="s">
        <v>171</v>
      </c>
      <c r="C24" t="s">
        <v>41</v>
      </c>
      <c r="G24" s="76" t="e">
        <f>SUM(G21:G23)</f>
        <v>#REF!</v>
      </c>
      <c r="H24" s="76" t="e">
        <f t="shared" ref="H24:BN24" si="9">SUM(H21:H23)</f>
        <v>#REF!</v>
      </c>
      <c r="I24" s="76" t="e">
        <f t="shared" si="9"/>
        <v>#REF!</v>
      </c>
      <c r="J24" s="76">
        <f t="shared" si="9"/>
        <v>-35903.820797176617</v>
      </c>
      <c r="K24" s="76">
        <f t="shared" si="9"/>
        <v>-54441.696185056964</v>
      </c>
      <c r="L24" s="76">
        <f t="shared" si="9"/>
        <v>-73399.397651289313</v>
      </c>
      <c r="M24" s="76">
        <f t="shared" si="9"/>
        <v>-91910.399321836318</v>
      </c>
      <c r="N24" s="75">
        <f t="shared" si="9"/>
        <v>-255655.31395535922</v>
      </c>
      <c r="O24" s="75">
        <f t="shared" si="9"/>
        <v>-110920.50420082067</v>
      </c>
      <c r="P24" s="75">
        <f t="shared" si="9"/>
        <v>-129713.19410686978</v>
      </c>
      <c r="Q24" s="75">
        <f t="shared" si="9"/>
        <v>-132355.84982297171</v>
      </c>
      <c r="R24" s="75">
        <f t="shared" si="9"/>
        <v>-132163.84981314847</v>
      </c>
      <c r="S24" s="75">
        <f t="shared" si="9"/>
        <v>-132552.92946999188</v>
      </c>
      <c r="T24" s="75">
        <f t="shared" si="9"/>
        <v>-132360.92946016864</v>
      </c>
      <c r="U24" s="75">
        <f t="shared" si="9"/>
        <v>-132339.59611701209</v>
      </c>
      <c r="V24" s="75">
        <f t="shared" si="9"/>
        <v>-132403.59610718885</v>
      </c>
      <c r="W24" s="75">
        <f t="shared" si="9"/>
        <v>-132382.26276403226</v>
      </c>
      <c r="X24" s="75">
        <f t="shared" si="9"/>
        <v>-132446.26275420902</v>
      </c>
      <c r="Y24" s="75">
        <f t="shared" si="9"/>
        <v>-132510.26274438578</v>
      </c>
      <c r="Z24" s="75">
        <f t="shared" si="9"/>
        <v>-132318.26273456254</v>
      </c>
      <c r="AA24" s="75">
        <f>SUM(AA21:AA23)</f>
        <v>-1564467.5000953616</v>
      </c>
      <c r="AB24" s="75">
        <f t="shared" si="9"/>
        <v>-135210.68246447854</v>
      </c>
      <c r="AC24" s="75">
        <f t="shared" si="9"/>
        <v>-135380.78105328936</v>
      </c>
      <c r="AD24" s="75">
        <f t="shared" si="9"/>
        <v>-142309.28353957075</v>
      </c>
      <c r="AE24" s="75">
        <f t="shared" si="9"/>
        <v>-149287.07718025622</v>
      </c>
      <c r="AF24" s="75">
        <f t="shared" si="9"/>
        <v>-156315.19917814172</v>
      </c>
      <c r="AG24" s="75">
        <f t="shared" si="9"/>
        <v>-163208.6239132272</v>
      </c>
      <c r="AH24" s="75">
        <f t="shared" si="9"/>
        <v>-170343.90148621798</v>
      </c>
      <c r="AI24" s="75">
        <f t="shared" si="9"/>
        <v>-177438.83068152313</v>
      </c>
      <c r="AJ24" s="75">
        <f t="shared" si="9"/>
        <v>-184198.14174891391</v>
      </c>
      <c r="AK24" s="75">
        <f t="shared" si="9"/>
        <v>-191408.82467279938</v>
      </c>
      <c r="AL24" s="75">
        <f t="shared" si="9"/>
        <v>-198758.99621300696</v>
      </c>
      <c r="AM24" s="75">
        <f t="shared" si="9"/>
        <v>-205586.15232199774</v>
      </c>
      <c r="AN24" s="75">
        <f t="shared" si="9"/>
        <v>-2009446.4944534232</v>
      </c>
      <c r="AO24" s="75">
        <f t="shared" si="9"/>
        <v>-217010.0849933135</v>
      </c>
      <c r="AP24" s="75">
        <f t="shared" si="9"/>
        <v>-224178.02756717207</v>
      </c>
      <c r="AQ24" s="75">
        <f t="shared" si="9"/>
        <v>-231211.51033065529</v>
      </c>
      <c r="AR24" s="75">
        <f t="shared" si="9"/>
        <v>-238685.7596358509</v>
      </c>
      <c r="AS24" s="75">
        <f t="shared" si="9"/>
        <v>-245732.32929962207</v>
      </c>
      <c r="AT24" s="75">
        <f t="shared" si="9"/>
        <v>-252926.44567405665</v>
      </c>
      <c r="AU24" s="75">
        <f t="shared" si="9"/>
        <v>-260079.40670325194</v>
      </c>
      <c r="AV24" s="75">
        <f t="shared" si="9"/>
        <v>-274626.9511549747</v>
      </c>
      <c r="AW24" s="75">
        <f t="shared" si="9"/>
        <v>-274478.23637897469</v>
      </c>
      <c r="AX24" s="75">
        <f t="shared" si="9"/>
        <v>-274726.09433897468</v>
      </c>
      <c r="AY24" s="75">
        <f t="shared" si="9"/>
        <v>-274577.37956297467</v>
      </c>
      <c r="AZ24" s="75">
        <f t="shared" si="9"/>
        <v>-274626.9511549747</v>
      </c>
      <c r="BA24" s="75">
        <f t="shared" si="9"/>
        <v>-3042859.1767947963</v>
      </c>
      <c r="BB24" s="75" t="e">
        <f t="shared" si="9"/>
        <v>#REF!</v>
      </c>
      <c r="BC24" s="75" t="e">
        <f t="shared" si="9"/>
        <v>#REF!</v>
      </c>
      <c r="BD24" s="75" t="e">
        <f t="shared" si="9"/>
        <v>#REF!</v>
      </c>
      <c r="BE24" s="75" t="e">
        <f t="shared" si="9"/>
        <v>#REF!</v>
      </c>
      <c r="BF24" s="75" t="e">
        <f t="shared" si="9"/>
        <v>#REF!</v>
      </c>
      <c r="BG24" s="75" t="e">
        <f t="shared" si="9"/>
        <v>#REF!</v>
      </c>
      <c r="BH24" s="75" t="e">
        <f t="shared" si="9"/>
        <v>#REF!</v>
      </c>
      <c r="BI24" s="75" t="e">
        <f t="shared" si="9"/>
        <v>#REF!</v>
      </c>
      <c r="BJ24" s="75" t="e">
        <f t="shared" si="9"/>
        <v>#REF!</v>
      </c>
      <c r="BK24" s="75" t="e">
        <f t="shared" si="9"/>
        <v>#REF!</v>
      </c>
      <c r="BL24" s="75" t="e">
        <f t="shared" si="9"/>
        <v>#REF!</v>
      </c>
      <c r="BM24" s="75" t="e">
        <f t="shared" si="9"/>
        <v>#REF!</v>
      </c>
      <c r="BN24" s="75" t="e">
        <f t="shared" si="9"/>
        <v>#REF!</v>
      </c>
      <c r="BP24" s="109"/>
    </row>
    <row r="26" spans="2:68" x14ac:dyDescent="0.2">
      <c r="B26" s="145" t="s">
        <v>162</v>
      </c>
      <c r="C26" s="45" t="s">
        <v>48</v>
      </c>
      <c r="D26" s="45"/>
      <c r="E26" s="45"/>
      <c r="F26" s="45"/>
      <c r="G26" s="133" t="e">
        <f>G17+G24</f>
        <v>#REF!</v>
      </c>
      <c r="H26" s="133" t="e">
        <f t="shared" ref="H26:BN26" si="10">H17+H24</f>
        <v>#REF!</v>
      </c>
      <c r="I26" s="133" t="e">
        <f t="shared" si="10"/>
        <v>#REF!</v>
      </c>
      <c r="J26" s="133">
        <f t="shared" si="10"/>
        <v>5096.2732420040775</v>
      </c>
      <c r="K26" s="133">
        <f t="shared" si="10"/>
        <v>8429.3301676023766</v>
      </c>
      <c r="L26" s="133">
        <f t="shared" si="10"/>
        <v>11336.53974757735</v>
      </c>
      <c r="M26" s="133">
        <f t="shared" si="10"/>
        <v>14696.470390508955</v>
      </c>
      <c r="N26" s="133">
        <f t="shared" si="10"/>
        <v>39558.613547692716</v>
      </c>
      <c r="O26" s="133">
        <f t="shared" si="10"/>
        <v>17552.777333357255</v>
      </c>
      <c r="P26" s="133">
        <f t="shared" si="10"/>
        <v>20625.000287790259</v>
      </c>
      <c r="Q26" s="133">
        <f t="shared" si="10"/>
        <v>21139.446653976163</v>
      </c>
      <c r="R26" s="133">
        <f t="shared" si="10"/>
        <v>21331.446663799405</v>
      </c>
      <c r="S26" s="133">
        <f t="shared" si="10"/>
        <v>20942.367006955988</v>
      </c>
      <c r="T26" s="133">
        <f t="shared" si="10"/>
        <v>21134.36701677923</v>
      </c>
      <c r="U26" s="133">
        <f t="shared" si="10"/>
        <v>21155.700359935785</v>
      </c>
      <c r="V26" s="133">
        <f t="shared" si="10"/>
        <v>21091.700369759026</v>
      </c>
      <c r="W26" s="133">
        <f t="shared" si="10"/>
        <v>21113.033712915611</v>
      </c>
      <c r="X26" s="133">
        <f t="shared" si="10"/>
        <v>21049.033722738852</v>
      </c>
      <c r="Y26" s="133">
        <f t="shared" si="10"/>
        <v>20985.033732562093</v>
      </c>
      <c r="Z26" s="133">
        <f t="shared" si="10"/>
        <v>21177.033742385334</v>
      </c>
      <c r="AA26" s="133">
        <f t="shared" si="10"/>
        <v>249296.94060295518</v>
      </c>
      <c r="AB26" s="133">
        <f t="shared" si="10"/>
        <v>21354.519942008308</v>
      </c>
      <c r="AC26" s="133">
        <f t="shared" si="10"/>
        <v>21184.421353197482</v>
      </c>
      <c r="AD26" s="133">
        <f t="shared" si="10"/>
        <v>22493.477611428825</v>
      </c>
      <c r="AE26" s="133">
        <f t="shared" si="10"/>
        <v>23753.244604678213</v>
      </c>
      <c r="AF26" s="133">
        <f t="shared" si="10"/>
        <v>24965.774281079677</v>
      </c>
      <c r="AG26" s="133">
        <f t="shared" si="10"/>
        <v>26309.910179929051</v>
      </c>
      <c r="AH26" s="133">
        <f t="shared" si="10"/>
        <v>27412.193240873166</v>
      </c>
      <c r="AI26" s="133">
        <f t="shared" si="10"/>
        <v>28548.554011341068</v>
      </c>
      <c r="AJ26" s="133">
        <f t="shared" si="10"/>
        <v>30026.803577885148</v>
      </c>
      <c r="AK26" s="133">
        <f t="shared" si="10"/>
        <v>31053.681287934538</v>
      </c>
      <c r="AL26" s="133">
        <f t="shared" si="10"/>
        <v>31927.05469504412</v>
      </c>
      <c r="AM26" s="133">
        <f t="shared" si="10"/>
        <v>33337.459219988203</v>
      </c>
      <c r="AN26" s="133">
        <f t="shared" si="10"/>
        <v>322367.09400538774</v>
      </c>
      <c r="AO26" s="133">
        <f t="shared" si="10"/>
        <v>35097.463487284869</v>
      </c>
      <c r="AP26" s="133">
        <f t="shared" si="10"/>
        <v>36331.832760039833</v>
      </c>
      <c r="AQ26" s="133">
        <f t="shared" si="10"/>
        <v>37700.66184317015</v>
      </c>
      <c r="AR26" s="133">
        <f t="shared" si="10"/>
        <v>38623.977326922177</v>
      </c>
      <c r="AS26" s="133">
        <f t="shared" si="10"/>
        <v>39979.719509764545</v>
      </c>
      <c r="AT26" s="133">
        <f t="shared" si="10"/>
        <v>41187.914981943497</v>
      </c>
      <c r="AU26" s="133">
        <f t="shared" si="10"/>
        <v>42430.869717836787</v>
      </c>
      <c r="AV26" s="133">
        <f t="shared" si="10"/>
        <v>44766.057297618652</v>
      </c>
      <c r="AW26" s="133">
        <f t="shared" si="10"/>
        <v>44914.77207361866</v>
      </c>
      <c r="AX26" s="133">
        <f t="shared" si="10"/>
        <v>44666.914113618666</v>
      </c>
      <c r="AY26" s="133">
        <f t="shared" si="10"/>
        <v>44815.628889618674</v>
      </c>
      <c r="AZ26" s="133">
        <f t="shared" si="10"/>
        <v>44766.057297618652</v>
      </c>
      <c r="BA26" s="133">
        <f t="shared" si="10"/>
        <v>495281.86929905461</v>
      </c>
      <c r="BB26" s="133" t="e">
        <f t="shared" si="10"/>
        <v>#REF!</v>
      </c>
      <c r="BC26" s="133" t="e">
        <f t="shared" si="10"/>
        <v>#REF!</v>
      </c>
      <c r="BD26" s="133" t="e">
        <f t="shared" si="10"/>
        <v>#REF!</v>
      </c>
      <c r="BE26" s="133" t="e">
        <f t="shared" si="10"/>
        <v>#REF!</v>
      </c>
      <c r="BF26" s="133" t="e">
        <f t="shared" si="10"/>
        <v>#REF!</v>
      </c>
      <c r="BG26" s="133" t="e">
        <f t="shared" si="10"/>
        <v>#REF!</v>
      </c>
      <c r="BH26" s="133" t="e">
        <f t="shared" si="10"/>
        <v>#REF!</v>
      </c>
      <c r="BI26" s="133" t="e">
        <f t="shared" si="10"/>
        <v>#REF!</v>
      </c>
      <c r="BJ26" s="133" t="e">
        <f t="shared" si="10"/>
        <v>#REF!</v>
      </c>
      <c r="BK26" s="133" t="e">
        <f t="shared" si="10"/>
        <v>#REF!</v>
      </c>
      <c r="BL26" s="133" t="e">
        <f t="shared" si="10"/>
        <v>#REF!</v>
      </c>
      <c r="BM26" s="133" t="e">
        <f t="shared" si="10"/>
        <v>#REF!</v>
      </c>
      <c r="BN26" s="133" t="e">
        <f t="shared" si="10"/>
        <v>#REF!</v>
      </c>
      <c r="BP26" s="80"/>
    </row>
    <row r="27" spans="2:68" x14ac:dyDescent="0.2">
      <c r="B27" s="157" t="s">
        <v>183</v>
      </c>
      <c r="C27" s="53" t="s">
        <v>13</v>
      </c>
      <c r="D27" s="53"/>
      <c r="E27" s="53"/>
      <c r="F27" s="53"/>
      <c r="G27" s="158" t="e">
        <f t="shared" ref="G27:M27" si="11">G26/G17</f>
        <v>#REF!</v>
      </c>
      <c r="H27" s="158" t="e">
        <f t="shared" si="11"/>
        <v>#REF!</v>
      </c>
      <c r="I27" s="158" t="e">
        <f t="shared" si="11"/>
        <v>#REF!</v>
      </c>
      <c r="J27" s="158">
        <f t="shared" si="11"/>
        <v>0.12429906226883172</v>
      </c>
      <c r="K27" s="158">
        <f t="shared" si="11"/>
        <v>0.13407336664619013</v>
      </c>
      <c r="L27" s="158">
        <f>L26/L17</f>
        <v>0.13378668007429131</v>
      </c>
      <c r="M27" s="158">
        <f t="shared" si="11"/>
        <v>0.13785669188265337</v>
      </c>
      <c r="N27" s="158">
        <f>N26/N17</f>
        <v>0.13399982135762806</v>
      </c>
      <c r="O27" s="158">
        <f t="shared" ref="O27:BN27" si="12">O26/O17</f>
        <v>0.13662589702503758</v>
      </c>
      <c r="P27" s="158">
        <f t="shared" si="12"/>
        <v>0.13719068777456897</v>
      </c>
      <c r="Q27" s="158">
        <f t="shared" si="12"/>
        <v>0.13772048485636115</v>
      </c>
      <c r="R27" s="158">
        <f t="shared" si="12"/>
        <v>0.1389713375810378</v>
      </c>
      <c r="S27" s="158">
        <f t="shared" si="12"/>
        <v>0.13643653901864766</v>
      </c>
      <c r="T27" s="158">
        <f t="shared" si="12"/>
        <v>0.13768739174332431</v>
      </c>
      <c r="U27" s="158">
        <f t="shared" si="12"/>
        <v>0.13782637543628562</v>
      </c>
      <c r="V27" s="158">
        <f t="shared" si="12"/>
        <v>0.13740942461338942</v>
      </c>
      <c r="W27" s="158">
        <f t="shared" si="12"/>
        <v>0.1375484083063509</v>
      </c>
      <c r="X27" s="158">
        <f t="shared" si="12"/>
        <v>0.13713145748345471</v>
      </c>
      <c r="Y27" s="158">
        <f t="shared" si="12"/>
        <v>0.13671450666055851</v>
      </c>
      <c r="Z27" s="158">
        <f t="shared" si="12"/>
        <v>0.13796535938523516</v>
      </c>
      <c r="AA27" s="234">
        <f t="shared" si="12"/>
        <v>0.1374472533527967</v>
      </c>
      <c r="AB27" s="234">
        <f t="shared" si="12"/>
        <v>0.13639378108148215</v>
      </c>
      <c r="AC27" s="234">
        <f t="shared" si="12"/>
        <v>0.13530734178209552</v>
      </c>
      <c r="AD27" s="234">
        <f t="shared" si="12"/>
        <v>0.13648726182942594</v>
      </c>
      <c r="AE27" s="234">
        <f t="shared" si="12"/>
        <v>0.13726999788061112</v>
      </c>
      <c r="AF27" s="234">
        <f t="shared" si="12"/>
        <v>0.13771866845527311</v>
      </c>
      <c r="AG27" s="234">
        <f t="shared" si="12"/>
        <v>0.13882499833497358</v>
      </c>
      <c r="AH27" s="234">
        <f t="shared" si="12"/>
        <v>0.13861617402337334</v>
      </c>
      <c r="AI27" s="234">
        <f t="shared" si="12"/>
        <v>0.13859370103614915</v>
      </c>
      <c r="AJ27" s="234">
        <f t="shared" si="12"/>
        <v>0.14016483249455106</v>
      </c>
      <c r="AK27" s="234">
        <f t="shared" si="12"/>
        <v>0.13959062968307889</v>
      </c>
      <c r="AL27" s="234">
        <f t="shared" si="12"/>
        <v>0.13840045624505443</v>
      </c>
      <c r="AM27" s="234">
        <f t="shared" si="12"/>
        <v>0.13953187382708646</v>
      </c>
      <c r="AN27" s="234">
        <f t="shared" si="12"/>
        <v>0.13824736917261601</v>
      </c>
      <c r="AO27" s="234">
        <f t="shared" si="12"/>
        <v>0.13921623409854342</v>
      </c>
      <c r="AP27" s="234">
        <f t="shared" si="12"/>
        <v>0.13946432858397545</v>
      </c>
      <c r="AQ27" s="234">
        <f t="shared" si="12"/>
        <v>0.14019693321580234</v>
      </c>
      <c r="AR27" s="234">
        <f t="shared" si="12"/>
        <v>0.13928099946994352</v>
      </c>
      <c r="AS27" s="234">
        <f t="shared" si="12"/>
        <v>0.13993011382042589</v>
      </c>
      <c r="AT27" s="234">
        <f t="shared" si="12"/>
        <v>0.14004047571861816</v>
      </c>
      <c r="AU27" s="234">
        <f t="shared" si="12"/>
        <v>0.1402625729605754</v>
      </c>
      <c r="AV27" s="234">
        <f t="shared" si="12"/>
        <v>0.14015979095629816</v>
      </c>
      <c r="AW27" s="234">
        <f t="shared" si="12"/>
        <v>0.14062540783601793</v>
      </c>
      <c r="AX27" s="234">
        <f t="shared" si="12"/>
        <v>0.1398493797031517</v>
      </c>
      <c r="AY27" s="234">
        <f t="shared" si="12"/>
        <v>0.14031499658287147</v>
      </c>
      <c r="AZ27" s="234">
        <f t="shared" si="12"/>
        <v>0.14015979095629816</v>
      </c>
      <c r="BA27" s="234">
        <f t="shared" si="12"/>
        <v>0.13998364193136156</v>
      </c>
      <c r="BB27" s="158" t="e">
        <f t="shared" si="12"/>
        <v>#REF!</v>
      </c>
      <c r="BC27" s="158" t="e">
        <f t="shared" si="12"/>
        <v>#REF!</v>
      </c>
      <c r="BD27" s="158" t="e">
        <f t="shared" si="12"/>
        <v>#REF!</v>
      </c>
      <c r="BE27" s="158" t="e">
        <f t="shared" si="12"/>
        <v>#REF!</v>
      </c>
      <c r="BF27" s="158" t="e">
        <f t="shared" si="12"/>
        <v>#REF!</v>
      </c>
      <c r="BG27" s="158" t="e">
        <f t="shared" si="12"/>
        <v>#REF!</v>
      </c>
      <c r="BH27" s="158" t="e">
        <f t="shared" si="12"/>
        <v>#REF!</v>
      </c>
      <c r="BI27" s="158" t="e">
        <f t="shared" si="12"/>
        <v>#REF!</v>
      </c>
      <c r="BJ27" s="158" t="e">
        <f t="shared" si="12"/>
        <v>#REF!</v>
      </c>
      <c r="BK27" s="158" t="e">
        <f t="shared" si="12"/>
        <v>#REF!</v>
      </c>
      <c r="BL27" s="158" t="e">
        <f t="shared" si="12"/>
        <v>#REF!</v>
      </c>
      <c r="BM27" s="158" t="e">
        <f t="shared" si="12"/>
        <v>#REF!</v>
      </c>
      <c r="BN27" s="158" t="e">
        <f t="shared" si="12"/>
        <v>#REF!</v>
      </c>
      <c r="BP27" s="80"/>
    </row>
    <row r="28" spans="2:68" x14ac:dyDescent="0.2">
      <c r="AA28" s="123"/>
    </row>
    <row r="29" spans="2:68" x14ac:dyDescent="0.2">
      <c r="B29" s="142" t="s">
        <v>73</v>
      </c>
    </row>
    <row r="30" spans="2:68" hidden="1" outlineLevel="1" x14ac:dyDescent="0.2">
      <c r="B30" s="139" t="str">
        <f>'Output '!B183</f>
        <v>Product Testing</v>
      </c>
      <c r="C30" t="s">
        <v>41</v>
      </c>
      <c r="G30" s="75">
        <f>-'Output '!G183</f>
        <v>0</v>
      </c>
      <c r="H30" s="75">
        <f>-'Output '!H183</f>
        <v>0</v>
      </c>
      <c r="I30" s="75">
        <f>-'Output '!I183</f>
        <v>0</v>
      </c>
      <c r="J30" s="75">
        <f>-'Output '!J183</f>
        <v>-1000</v>
      </c>
      <c r="K30" s="75">
        <f>-'Output '!K183</f>
        <v>0</v>
      </c>
      <c r="L30" s="75">
        <f>-'Output '!L183</f>
        <v>0</v>
      </c>
      <c r="M30" s="75">
        <f>-'Output '!M183</f>
        <v>0</v>
      </c>
      <c r="N30" s="75">
        <f>-'Output '!N183</f>
        <v>-1000</v>
      </c>
      <c r="O30" s="75">
        <f>-'Output '!O183</f>
        <v>0</v>
      </c>
      <c r="P30" s="75">
        <f>-'Output '!P183</f>
        <v>0</v>
      </c>
      <c r="Q30" s="75">
        <f>-'Output '!Q183</f>
        <v>0</v>
      </c>
      <c r="R30" s="75">
        <f>-'Output '!R183</f>
        <v>0</v>
      </c>
      <c r="S30" s="75">
        <f>-'Output '!S183</f>
        <v>0</v>
      </c>
      <c r="T30" s="75">
        <f>-'Output '!T183</f>
        <v>0</v>
      </c>
      <c r="U30" s="75">
        <f>-'Output '!U183</f>
        <v>0</v>
      </c>
      <c r="V30" s="75">
        <f>-'Output '!V183</f>
        <v>0</v>
      </c>
      <c r="W30" s="75">
        <f>-'Output '!W183</f>
        <v>0</v>
      </c>
      <c r="X30" s="75">
        <f>-'Output '!X183</f>
        <v>0</v>
      </c>
      <c r="Y30" s="75">
        <f>-'Output '!Y183</f>
        <v>0</v>
      </c>
      <c r="Z30" s="75">
        <f>-'Output '!Z183</f>
        <v>0</v>
      </c>
      <c r="AA30" s="75">
        <f>-'Output '!AA183</f>
        <v>0</v>
      </c>
      <c r="AB30" s="75">
        <f>-'Output '!AB183</f>
        <v>0</v>
      </c>
      <c r="AC30" s="75">
        <f>-'Output '!AC183</f>
        <v>0</v>
      </c>
      <c r="AD30" s="75">
        <f>-'Output '!AD183</f>
        <v>0</v>
      </c>
      <c r="AE30" s="75">
        <f>-'Output '!AE183</f>
        <v>0</v>
      </c>
      <c r="AF30" s="75">
        <f>-'Output '!AF183</f>
        <v>0</v>
      </c>
      <c r="AG30" s="75">
        <f>-'Output '!AG183</f>
        <v>0</v>
      </c>
      <c r="AH30" s="75">
        <f>-'Output '!AH183</f>
        <v>0</v>
      </c>
      <c r="AI30" s="75">
        <f>-'Output '!AI183</f>
        <v>0</v>
      </c>
      <c r="AJ30" s="75">
        <f>-'Output '!AJ183</f>
        <v>0</v>
      </c>
      <c r="AK30" s="75">
        <f>-'Output '!AK183</f>
        <v>0</v>
      </c>
      <c r="AL30" s="75">
        <f>-'Output '!AL183</f>
        <v>0</v>
      </c>
      <c r="AM30" s="75">
        <f>-'Output '!AM183</f>
        <v>0</v>
      </c>
      <c r="AN30" s="75">
        <f>-'Output '!AN183</f>
        <v>0</v>
      </c>
      <c r="AO30" s="75">
        <f>-'Output '!AO183</f>
        <v>0</v>
      </c>
      <c r="AP30" s="75">
        <f>-'Output '!AP183</f>
        <v>0</v>
      </c>
      <c r="AQ30" s="75">
        <f>-'Output '!AQ183</f>
        <v>0</v>
      </c>
      <c r="AR30" s="75">
        <f>-'Output '!AR183</f>
        <v>0</v>
      </c>
      <c r="AS30" s="75">
        <f>-'Output '!AS183</f>
        <v>0</v>
      </c>
      <c r="AT30" s="75">
        <f>-'Output '!AT183</f>
        <v>0</v>
      </c>
      <c r="AU30" s="75">
        <f>-'Output '!AU183</f>
        <v>0</v>
      </c>
      <c r="AV30" s="75">
        <f>-'Output '!AV183</f>
        <v>0</v>
      </c>
      <c r="AW30" s="75">
        <f>-'Output '!AW183</f>
        <v>0</v>
      </c>
      <c r="AX30" s="75">
        <f>-'Output '!AX183</f>
        <v>0</v>
      </c>
      <c r="AY30" s="75">
        <f>-'Output '!AY183</f>
        <v>0</v>
      </c>
      <c r="AZ30" s="75">
        <f>-'Output '!AZ183</f>
        <v>0</v>
      </c>
      <c r="BA30" s="75">
        <f>-'Output '!BA183</f>
        <v>0</v>
      </c>
      <c r="BB30" s="75">
        <f>-'Output '!BB183</f>
        <v>0</v>
      </c>
      <c r="BC30" s="75">
        <f>-'Output '!BC183</f>
        <v>0</v>
      </c>
      <c r="BD30" s="75">
        <f>-'Output '!BD183</f>
        <v>0</v>
      </c>
      <c r="BE30" s="75">
        <f>-'Output '!BE183</f>
        <v>0</v>
      </c>
      <c r="BF30" s="75">
        <f>-'Output '!BF183</f>
        <v>0</v>
      </c>
      <c r="BG30" s="75">
        <f>-'Output '!BG183</f>
        <v>0</v>
      </c>
      <c r="BH30" s="75">
        <f>-'Output '!BH183</f>
        <v>0</v>
      </c>
      <c r="BI30" s="75">
        <f>-'Output '!BI183</f>
        <v>0</v>
      </c>
      <c r="BJ30" s="75">
        <f>-'Output '!BJ183</f>
        <v>0</v>
      </c>
      <c r="BK30" s="75">
        <f>-'Output '!BK183</f>
        <v>0</v>
      </c>
      <c r="BL30" s="75">
        <f>-'Output '!BL183</f>
        <v>0</v>
      </c>
      <c r="BM30" s="75">
        <f>-'Output '!BM183</f>
        <v>0</v>
      </c>
      <c r="BN30" s="75">
        <f>-'Output '!BN183</f>
        <v>0</v>
      </c>
      <c r="BP30" s="75"/>
    </row>
    <row r="31" spans="2:68" hidden="1" outlineLevel="1" x14ac:dyDescent="0.2">
      <c r="B31" s="139" t="str">
        <f>'Output '!B184</f>
        <v>Accounting Software &amp; Audit Fees</v>
      </c>
      <c r="C31" t="s">
        <v>41</v>
      </c>
      <c r="G31" s="75">
        <f>-'Output '!G184</f>
        <v>0</v>
      </c>
      <c r="H31" s="75">
        <f>-'Output '!H184</f>
        <v>0</v>
      </c>
      <c r="I31" s="75">
        <f>-'Output '!I184</f>
        <v>0</v>
      </c>
      <c r="J31" s="75">
        <f>-'Output '!J184</f>
        <v>-66.666666666666671</v>
      </c>
      <c r="K31" s="75">
        <f>-'Output '!K184</f>
        <v>-66.666666666666671</v>
      </c>
      <c r="L31" s="75">
        <f>-'Output '!L184</f>
        <v>-66.666666666666671</v>
      </c>
      <c r="M31" s="75">
        <f>-'Output '!M184</f>
        <v>-66.666666666666671</v>
      </c>
      <c r="N31" s="75">
        <f>-'Output '!N184</f>
        <v>-266.66666666666669</v>
      </c>
      <c r="O31" s="75">
        <f>-'Output '!O184</f>
        <v>-66.666666666666671</v>
      </c>
      <c r="P31" s="75">
        <f>-'Output '!P184</f>
        <v>-66.666666666666671</v>
      </c>
      <c r="Q31" s="75">
        <f>-'Output '!Q184</f>
        <v>-66.666666666666671</v>
      </c>
      <c r="R31" s="75">
        <f>-'Output '!R184</f>
        <v>-66.666666666666671</v>
      </c>
      <c r="S31" s="75">
        <f>-'Output '!S184</f>
        <v>-66.666666666666671</v>
      </c>
      <c r="T31" s="75">
        <f>-'Output '!T184</f>
        <v>-66.666666666666671</v>
      </c>
      <c r="U31" s="75">
        <f>-'Output '!U184</f>
        <v>-66.666666666666671</v>
      </c>
      <c r="V31" s="75">
        <f>-'Output '!V184</f>
        <v>-66.666666666666671</v>
      </c>
      <c r="W31" s="75">
        <f>-'Output '!W184</f>
        <v>-66.666666666666671</v>
      </c>
      <c r="X31" s="75">
        <f>-'Output '!X184</f>
        <v>-66.666666666666671</v>
      </c>
      <c r="Y31" s="75">
        <f>-'Output '!Y184</f>
        <v>-66.666666666666671</v>
      </c>
      <c r="Z31" s="75">
        <f>-'Output '!Z184</f>
        <v>-66.666666666666671</v>
      </c>
      <c r="AA31" s="75">
        <f>-'Output '!AA184</f>
        <v>-800</v>
      </c>
      <c r="AB31" s="75">
        <f>-'Output '!AB184</f>
        <v>-68</v>
      </c>
      <c r="AC31" s="75">
        <f>-'Output '!AC184</f>
        <v>-68</v>
      </c>
      <c r="AD31" s="75">
        <f>-'Output '!AD184</f>
        <v>-68</v>
      </c>
      <c r="AE31" s="75">
        <f>-'Output '!AE184</f>
        <v>-68</v>
      </c>
      <c r="AF31" s="75">
        <f>-'Output '!AF184</f>
        <v>-68</v>
      </c>
      <c r="AG31" s="75">
        <f>-'Output '!AG184</f>
        <v>-68</v>
      </c>
      <c r="AH31" s="75">
        <f>-'Output '!AH184</f>
        <v>-68</v>
      </c>
      <c r="AI31" s="75">
        <f>-'Output '!AI184</f>
        <v>-68</v>
      </c>
      <c r="AJ31" s="75">
        <f>-'Output '!AJ184</f>
        <v>-68</v>
      </c>
      <c r="AK31" s="75">
        <f>-'Output '!AK184</f>
        <v>-68</v>
      </c>
      <c r="AL31" s="75">
        <f>-'Output '!AL184</f>
        <v>-68</v>
      </c>
      <c r="AM31" s="75">
        <f>-'Output '!AM184</f>
        <v>-68</v>
      </c>
      <c r="AN31" s="75">
        <f>-'Output '!AN184</f>
        <v>-816</v>
      </c>
      <c r="AO31" s="75">
        <f>-'Output '!AO184</f>
        <v>-69.36</v>
      </c>
      <c r="AP31" s="75">
        <f>-'Output '!AP184</f>
        <v>-69.36</v>
      </c>
      <c r="AQ31" s="75">
        <f>-'Output '!AQ184</f>
        <v>-69.36</v>
      </c>
      <c r="AR31" s="75">
        <f>-'Output '!AR184</f>
        <v>-69.36</v>
      </c>
      <c r="AS31" s="75">
        <f>-'Output '!AS184</f>
        <v>-69.36</v>
      </c>
      <c r="AT31" s="75">
        <f>-'Output '!AT184</f>
        <v>-69.36</v>
      </c>
      <c r="AU31" s="75">
        <f>-'Output '!AU184</f>
        <v>-69.36</v>
      </c>
      <c r="AV31" s="75">
        <f>-'Output '!AV184</f>
        <v>-69.36</v>
      </c>
      <c r="AW31" s="75">
        <f>-'Output '!AW184</f>
        <v>-69.36</v>
      </c>
      <c r="AX31" s="75">
        <f>-'Output '!AX184</f>
        <v>-69.36</v>
      </c>
      <c r="AY31" s="75">
        <f>-'Output '!AY184</f>
        <v>-69.36</v>
      </c>
      <c r="AZ31" s="75">
        <f>-'Output '!AZ184</f>
        <v>-69.36</v>
      </c>
      <c r="BA31" s="75">
        <f>-'Output '!BA184</f>
        <v>-832.32</v>
      </c>
      <c r="BB31" s="75">
        <f>-'Output '!BB184</f>
        <v>-70.747200000000007</v>
      </c>
      <c r="BC31" s="75">
        <f>-'Output '!BC184</f>
        <v>-70.747200000000007</v>
      </c>
      <c r="BD31" s="75">
        <f>-'Output '!BD184</f>
        <v>-70.747200000000007</v>
      </c>
      <c r="BE31" s="75">
        <f>-'Output '!BE184</f>
        <v>-70.747200000000007</v>
      </c>
      <c r="BF31" s="75">
        <f>-'Output '!BF184</f>
        <v>-70.747200000000007</v>
      </c>
      <c r="BG31" s="75">
        <f>-'Output '!BG184</f>
        <v>-70.747200000000007</v>
      </c>
      <c r="BH31" s="75">
        <f>-'Output '!BH184</f>
        <v>-70.747200000000007</v>
      </c>
      <c r="BI31" s="75">
        <f>-'Output '!BI184</f>
        <v>-70.747200000000007</v>
      </c>
      <c r="BJ31" s="75">
        <f>-'Output '!BJ184</f>
        <v>-70.747200000000007</v>
      </c>
      <c r="BK31" s="75">
        <f>-'Output '!BK184</f>
        <v>-70.747200000000007</v>
      </c>
      <c r="BL31" s="75">
        <f>-'Output '!BL184</f>
        <v>-70.747200000000007</v>
      </c>
      <c r="BM31" s="75">
        <f>-'Output '!BM184</f>
        <v>-70.747200000000007</v>
      </c>
      <c r="BN31" s="75">
        <f>-'Output '!BN184</f>
        <v>-848.96640000000002</v>
      </c>
      <c r="BP31" s="75"/>
    </row>
    <row r="32" spans="2:68" hidden="1" outlineLevel="1" x14ac:dyDescent="0.2">
      <c r="B32" s="139" t="str">
        <f>'Output '!B185</f>
        <v>IT Expenses</v>
      </c>
      <c r="C32" t="s">
        <v>41</v>
      </c>
      <c r="G32" s="75">
        <f>-'Output '!G185</f>
        <v>0</v>
      </c>
      <c r="H32" s="75">
        <f>-'Output '!H185</f>
        <v>0</v>
      </c>
      <c r="I32" s="75">
        <f>-'Output '!I185</f>
        <v>0</v>
      </c>
      <c r="J32" s="75">
        <f>-'Output '!J185</f>
        <v>-291.66666666666669</v>
      </c>
      <c r="K32" s="75">
        <f>-'Output '!K185</f>
        <v>-291.66666666666669</v>
      </c>
      <c r="L32" s="75">
        <f>-'Output '!L185</f>
        <v>-291.66666666666669</v>
      </c>
      <c r="M32" s="75">
        <f>-'Output '!M185</f>
        <v>-291.66666666666669</v>
      </c>
      <c r="N32" s="75">
        <f>-'Output '!N185</f>
        <v>-1166.6666666666667</v>
      </c>
      <c r="O32" s="75">
        <f>-'Output '!O185</f>
        <v>-291.66666666666669</v>
      </c>
      <c r="P32" s="75">
        <f>-'Output '!P185</f>
        <v>-291.66666666666669</v>
      </c>
      <c r="Q32" s="75">
        <f>-'Output '!Q185</f>
        <v>-291.66666666666669</v>
      </c>
      <c r="R32" s="75">
        <f>-'Output '!R185</f>
        <v>-291.66666666666669</v>
      </c>
      <c r="S32" s="75">
        <f>-'Output '!S185</f>
        <v>-291.66666666666669</v>
      </c>
      <c r="T32" s="75">
        <f>-'Output '!T185</f>
        <v>-291.66666666666669</v>
      </c>
      <c r="U32" s="75">
        <f>-'Output '!U185</f>
        <v>-291.66666666666669</v>
      </c>
      <c r="V32" s="75">
        <f>-'Output '!V185</f>
        <v>-291.66666666666669</v>
      </c>
      <c r="W32" s="75">
        <f>-'Output '!W185</f>
        <v>-291.66666666666669</v>
      </c>
      <c r="X32" s="75">
        <f>-'Output '!X185</f>
        <v>-291.66666666666669</v>
      </c>
      <c r="Y32" s="75">
        <f>-'Output '!Y185</f>
        <v>-291.66666666666669</v>
      </c>
      <c r="Z32" s="75">
        <f>-'Output '!Z185</f>
        <v>-291.66666666666669</v>
      </c>
      <c r="AA32" s="75">
        <f>-'Output '!AA185</f>
        <v>-3500</v>
      </c>
      <c r="AB32" s="75">
        <f>-'Output '!AB185</f>
        <v>-297.5</v>
      </c>
      <c r="AC32" s="75">
        <f>-'Output '!AC185</f>
        <v>-297.5</v>
      </c>
      <c r="AD32" s="75">
        <f>-'Output '!AD185</f>
        <v>-297.5</v>
      </c>
      <c r="AE32" s="75">
        <f>-'Output '!AE185</f>
        <v>-297.5</v>
      </c>
      <c r="AF32" s="75">
        <f>-'Output '!AF185</f>
        <v>-297.5</v>
      </c>
      <c r="AG32" s="75">
        <f>-'Output '!AG185</f>
        <v>-297.5</v>
      </c>
      <c r="AH32" s="75">
        <f>-'Output '!AH185</f>
        <v>-297.5</v>
      </c>
      <c r="AI32" s="75">
        <f>-'Output '!AI185</f>
        <v>-297.5</v>
      </c>
      <c r="AJ32" s="75">
        <f>-'Output '!AJ185</f>
        <v>-297.5</v>
      </c>
      <c r="AK32" s="75">
        <f>-'Output '!AK185</f>
        <v>-297.5</v>
      </c>
      <c r="AL32" s="75">
        <f>-'Output '!AL185</f>
        <v>-297.5</v>
      </c>
      <c r="AM32" s="75">
        <f>-'Output '!AM185</f>
        <v>-297.5</v>
      </c>
      <c r="AN32" s="75">
        <f>-'Output '!AN185</f>
        <v>-3570</v>
      </c>
      <c r="AO32" s="75">
        <f>-'Output '!AO185</f>
        <v>-303.45</v>
      </c>
      <c r="AP32" s="75">
        <f>-'Output '!AP185</f>
        <v>-303.45</v>
      </c>
      <c r="AQ32" s="75">
        <f>-'Output '!AQ185</f>
        <v>-303.45</v>
      </c>
      <c r="AR32" s="75">
        <f>-'Output '!AR185</f>
        <v>-303.45</v>
      </c>
      <c r="AS32" s="75">
        <f>-'Output '!AS185</f>
        <v>-303.45</v>
      </c>
      <c r="AT32" s="75">
        <f>-'Output '!AT185</f>
        <v>-303.45</v>
      </c>
      <c r="AU32" s="75">
        <f>-'Output '!AU185</f>
        <v>-303.45</v>
      </c>
      <c r="AV32" s="75">
        <f>-'Output '!AV185</f>
        <v>-303.45</v>
      </c>
      <c r="AW32" s="75">
        <f>-'Output '!AW185</f>
        <v>-303.45</v>
      </c>
      <c r="AX32" s="75">
        <f>-'Output '!AX185</f>
        <v>-303.45</v>
      </c>
      <c r="AY32" s="75">
        <f>-'Output '!AY185</f>
        <v>-303.45</v>
      </c>
      <c r="AZ32" s="75">
        <f>-'Output '!AZ185</f>
        <v>-303.45</v>
      </c>
      <c r="BA32" s="75">
        <f>-'Output '!BA185</f>
        <v>-3641.4</v>
      </c>
      <c r="BB32" s="75">
        <f>-'Output '!BB185</f>
        <v>-309.51900000000001</v>
      </c>
      <c r="BC32" s="75">
        <f>-'Output '!BC185</f>
        <v>-309.51900000000001</v>
      </c>
      <c r="BD32" s="75">
        <f>-'Output '!BD185</f>
        <v>-309.51900000000001</v>
      </c>
      <c r="BE32" s="75">
        <f>-'Output '!BE185</f>
        <v>-309.51900000000001</v>
      </c>
      <c r="BF32" s="75">
        <f>-'Output '!BF185</f>
        <v>-309.51900000000001</v>
      </c>
      <c r="BG32" s="75">
        <f>-'Output '!BG185</f>
        <v>-309.51900000000001</v>
      </c>
      <c r="BH32" s="75">
        <f>-'Output '!BH185</f>
        <v>-309.51900000000001</v>
      </c>
      <c r="BI32" s="75">
        <f>-'Output '!BI185</f>
        <v>-309.51900000000001</v>
      </c>
      <c r="BJ32" s="75">
        <f>-'Output '!BJ185</f>
        <v>-309.51900000000001</v>
      </c>
      <c r="BK32" s="75">
        <f>-'Output '!BK185</f>
        <v>-309.51900000000001</v>
      </c>
      <c r="BL32" s="75">
        <f>-'Output '!BL185</f>
        <v>-309.51900000000001</v>
      </c>
      <c r="BM32" s="75">
        <f>-'Output '!BM185</f>
        <v>-309.51900000000001</v>
      </c>
      <c r="BN32" s="75">
        <f>-'Output '!BN185</f>
        <v>-3714.2280000000001</v>
      </c>
      <c r="BP32" s="75"/>
    </row>
    <row r="33" spans="2:68" hidden="1" outlineLevel="1" x14ac:dyDescent="0.2">
      <c r="B33" s="139" t="str">
        <f>'Output '!B186</f>
        <v>Miscellaneous</v>
      </c>
      <c r="C33" t="s">
        <v>41</v>
      </c>
      <c r="G33" s="75">
        <f>-'Output '!G186</f>
        <v>0</v>
      </c>
      <c r="H33" s="75">
        <f>-'Output '!H186</f>
        <v>0</v>
      </c>
      <c r="I33" s="75">
        <f>-'Output '!I186</f>
        <v>0</v>
      </c>
      <c r="J33" s="75">
        <f>-'Output '!J186</f>
        <v>-1666.6666666666667</v>
      </c>
      <c r="K33" s="75">
        <f>-'Output '!K186</f>
        <v>-1666.6666666666667</v>
      </c>
      <c r="L33" s="75">
        <f>-'Output '!L186</f>
        <v>-1666.6666666666667</v>
      </c>
      <c r="M33" s="75">
        <f>-'Output '!M186</f>
        <v>-1666.6666666666667</v>
      </c>
      <c r="N33" s="75">
        <f>-'Output '!N186</f>
        <v>-6666.666666666667</v>
      </c>
      <c r="O33" s="75">
        <f>-'Output '!O186</f>
        <v>-1666.6666666666667</v>
      </c>
      <c r="P33" s="75">
        <f>-'Output '!P186</f>
        <v>-1666.6666666666667</v>
      </c>
      <c r="Q33" s="75">
        <f>-'Output '!Q186</f>
        <v>-1666.6666666666667</v>
      </c>
      <c r="R33" s="75">
        <f>-'Output '!R186</f>
        <v>-1666.6666666666667</v>
      </c>
      <c r="S33" s="75">
        <f>-'Output '!S186</f>
        <v>-1666.6666666666667</v>
      </c>
      <c r="T33" s="75">
        <f>-'Output '!T186</f>
        <v>-1666.6666666666667</v>
      </c>
      <c r="U33" s="75">
        <f>-'Output '!U186</f>
        <v>-1666.6666666666667</v>
      </c>
      <c r="V33" s="75">
        <f>-'Output '!V186</f>
        <v>-1666.6666666666667</v>
      </c>
      <c r="W33" s="75">
        <f>-'Output '!W186</f>
        <v>-1666.6666666666667</v>
      </c>
      <c r="X33" s="75">
        <f>-'Output '!X186</f>
        <v>-1666.6666666666667</v>
      </c>
      <c r="Y33" s="75">
        <f>-'Output '!Y186</f>
        <v>-1666.6666666666667</v>
      </c>
      <c r="Z33" s="75">
        <f>-'Output '!Z186</f>
        <v>-1666.6666666666667</v>
      </c>
      <c r="AA33" s="75">
        <f>-'Output '!AA186</f>
        <v>-20000</v>
      </c>
      <c r="AB33" s="75">
        <f>-'Output '!AB186</f>
        <v>-1700</v>
      </c>
      <c r="AC33" s="75">
        <f>-'Output '!AC186</f>
        <v>-1700</v>
      </c>
      <c r="AD33" s="75">
        <f>-'Output '!AD186</f>
        <v>-1700</v>
      </c>
      <c r="AE33" s="75">
        <f>-'Output '!AE186</f>
        <v>-1700</v>
      </c>
      <c r="AF33" s="75">
        <f>-'Output '!AF186</f>
        <v>-1700</v>
      </c>
      <c r="AG33" s="75">
        <f>-'Output '!AG186</f>
        <v>-1700</v>
      </c>
      <c r="AH33" s="75">
        <f>-'Output '!AH186</f>
        <v>-1700</v>
      </c>
      <c r="AI33" s="75">
        <f>-'Output '!AI186</f>
        <v>-1700</v>
      </c>
      <c r="AJ33" s="75">
        <f>-'Output '!AJ186</f>
        <v>-1700</v>
      </c>
      <c r="AK33" s="75">
        <f>-'Output '!AK186</f>
        <v>-1700</v>
      </c>
      <c r="AL33" s="75">
        <f>-'Output '!AL186</f>
        <v>-1700</v>
      </c>
      <c r="AM33" s="75">
        <f>-'Output '!AM186</f>
        <v>-1700</v>
      </c>
      <c r="AN33" s="75">
        <f>-'Output '!AN186</f>
        <v>-20400</v>
      </c>
      <c r="AO33" s="75">
        <f>-'Output '!AO186</f>
        <v>-1734</v>
      </c>
      <c r="AP33" s="75">
        <f>-'Output '!AP186</f>
        <v>-1734</v>
      </c>
      <c r="AQ33" s="75">
        <f>-'Output '!AQ186</f>
        <v>-1734</v>
      </c>
      <c r="AR33" s="75">
        <f>-'Output '!AR186</f>
        <v>-1734</v>
      </c>
      <c r="AS33" s="75">
        <f>-'Output '!AS186</f>
        <v>-1734</v>
      </c>
      <c r="AT33" s="75">
        <f>-'Output '!AT186</f>
        <v>-1734</v>
      </c>
      <c r="AU33" s="75">
        <f>-'Output '!AU186</f>
        <v>-1734</v>
      </c>
      <c r="AV33" s="75">
        <f>-'Output '!AV186</f>
        <v>-1734</v>
      </c>
      <c r="AW33" s="75">
        <f>-'Output '!AW186</f>
        <v>-1734</v>
      </c>
      <c r="AX33" s="75">
        <f>-'Output '!AX186</f>
        <v>-1734</v>
      </c>
      <c r="AY33" s="75">
        <f>-'Output '!AY186</f>
        <v>-1734</v>
      </c>
      <c r="AZ33" s="75">
        <f>-'Output '!AZ186</f>
        <v>-1734</v>
      </c>
      <c r="BA33" s="75">
        <f>-'Output '!BA186</f>
        <v>-20808</v>
      </c>
      <c r="BB33" s="75">
        <f>-'Output '!BB186</f>
        <v>-1768.68</v>
      </c>
      <c r="BC33" s="75">
        <f>-'Output '!BC186</f>
        <v>-1768.68</v>
      </c>
      <c r="BD33" s="75">
        <f>-'Output '!BD186</f>
        <v>-1768.68</v>
      </c>
      <c r="BE33" s="75">
        <f>-'Output '!BE186</f>
        <v>-1768.68</v>
      </c>
      <c r="BF33" s="75">
        <f>-'Output '!BF186</f>
        <v>-1768.68</v>
      </c>
      <c r="BG33" s="75">
        <f>-'Output '!BG186</f>
        <v>-1768.68</v>
      </c>
      <c r="BH33" s="75">
        <f>-'Output '!BH186</f>
        <v>-1768.68</v>
      </c>
      <c r="BI33" s="75">
        <f>-'Output '!BI186</f>
        <v>-1768.68</v>
      </c>
      <c r="BJ33" s="75">
        <f>-'Output '!BJ186</f>
        <v>-1768.68</v>
      </c>
      <c r="BK33" s="75">
        <f>-'Output '!BK186</f>
        <v>-1768.68</v>
      </c>
      <c r="BL33" s="75">
        <f>-'Output '!BL186</f>
        <v>-1768.68</v>
      </c>
      <c r="BM33" s="75">
        <f>-'Output '!BM186</f>
        <v>-1768.68</v>
      </c>
      <c r="BN33" s="75">
        <f>-'Output '!BN186</f>
        <v>-21224.16</v>
      </c>
      <c r="BP33" s="75"/>
    </row>
    <row r="34" spans="2:68" hidden="1" outlineLevel="1" x14ac:dyDescent="0.2">
      <c r="B34" s="139" t="str">
        <f>'Output '!B187</f>
        <v>Bank Charges</v>
      </c>
      <c r="C34" t="s">
        <v>41</v>
      </c>
      <c r="G34" s="75">
        <f>-'Output '!G187</f>
        <v>0</v>
      </c>
      <c r="H34" s="75">
        <f>-'Output '!H187</f>
        <v>0</v>
      </c>
      <c r="I34" s="75">
        <f>-'Output '!I187</f>
        <v>0</v>
      </c>
      <c r="J34" s="75">
        <f>-'Output '!J187</f>
        <v>-410.00094039180698</v>
      </c>
      <c r="K34" s="75">
        <f>-'Output '!K187</f>
        <v>-628.71026352659339</v>
      </c>
      <c r="L34" s="75">
        <f>-'Output '!L187</f>
        <v>-847.35937398866668</v>
      </c>
      <c r="M34" s="75">
        <f>-'Output '!M187</f>
        <v>-1066.0686971234527</v>
      </c>
      <c r="N34" s="75">
        <f>-'Output '!N187</f>
        <v>-2952.1392750305199</v>
      </c>
      <c r="O34" s="75">
        <f>-'Output '!O187</f>
        <v>-1284.7328153417793</v>
      </c>
      <c r="P34" s="75">
        <f>-'Output '!P187</f>
        <v>-1503.3819439466004</v>
      </c>
      <c r="Q34" s="75">
        <f>-'Output '!Q187</f>
        <v>-1534.9529647694787</v>
      </c>
      <c r="R34" s="75">
        <f>-'Output '!R187</f>
        <v>-1534.9529647694787</v>
      </c>
      <c r="S34" s="75">
        <f>-'Output '!S187</f>
        <v>-1534.9529647694787</v>
      </c>
      <c r="T34" s="75">
        <f>-'Output '!T187</f>
        <v>-1534.9529647694787</v>
      </c>
      <c r="U34" s="75">
        <f>-'Output '!U187</f>
        <v>-1534.9529647694787</v>
      </c>
      <c r="V34" s="75">
        <f>-'Output '!V187</f>
        <v>-1534.9529647694787</v>
      </c>
      <c r="W34" s="75">
        <f>-'Output '!W187</f>
        <v>-1534.9529647694787</v>
      </c>
      <c r="X34" s="75">
        <f>-'Output '!X187</f>
        <v>-1534.9529647694787</v>
      </c>
      <c r="Y34" s="75">
        <f>-'Output '!Y187</f>
        <v>-1534.9529647694787</v>
      </c>
      <c r="Z34" s="75">
        <f>-'Output '!Z187</f>
        <v>-1534.9529647694787</v>
      </c>
      <c r="AA34" s="75">
        <f>-'Output '!AA187</f>
        <v>-18137.644406983167</v>
      </c>
      <c r="AB34" s="75">
        <f>-'Output '!AB187</f>
        <v>-1565.6520240648686</v>
      </c>
      <c r="AC34" s="75">
        <f>-'Output '!AC187</f>
        <v>-1565.6520240648686</v>
      </c>
      <c r="AD34" s="75">
        <f>-'Output '!AD187</f>
        <v>-1648.0276115099957</v>
      </c>
      <c r="AE34" s="75">
        <f>-'Output '!AE187</f>
        <v>-1730.4032178493444</v>
      </c>
      <c r="AF34" s="75">
        <f>-'Output '!AF187</f>
        <v>-1812.809734592214</v>
      </c>
      <c r="AG34" s="75">
        <f>-'Output '!AG187</f>
        <v>-1895.1853409315627</v>
      </c>
      <c r="AH34" s="75">
        <f>-'Output '!AH187</f>
        <v>-1977.5609472709114</v>
      </c>
      <c r="AI34" s="75">
        <f>-'Output '!AI187</f>
        <v>-2059.8738469286423</v>
      </c>
      <c r="AJ34" s="75">
        <f>-'Output '!AJ187</f>
        <v>-2142.2494532679907</v>
      </c>
      <c r="AK34" s="75">
        <f>-'Output '!AK187</f>
        <v>-2224.6250596073392</v>
      </c>
      <c r="AL34" s="75">
        <f>-'Output '!AL187</f>
        <v>-2306.8605090805108</v>
      </c>
      <c r="AM34" s="75">
        <f>-'Output '!AM187</f>
        <v>-2389.2361154198593</v>
      </c>
      <c r="AN34" s="75">
        <f>-'Output '!AN187</f>
        <v>-23318.135884588111</v>
      </c>
      <c r="AO34" s="75">
        <f>-'Output '!AO187</f>
        <v>-2521.0754848059837</v>
      </c>
      <c r="AP34" s="75">
        <f>-'Output '!AP187</f>
        <v>-2605.0986032721189</v>
      </c>
      <c r="AQ34" s="75">
        <f>-'Output '!AQ187</f>
        <v>-2689.1217217382546</v>
      </c>
      <c r="AR34" s="75">
        <f>-'Output '!AR187</f>
        <v>-2773.097369627731</v>
      </c>
      <c r="AS34" s="75">
        <f>-'Output '!AS187</f>
        <v>-2857.1204880938662</v>
      </c>
      <c r="AT34" s="75">
        <f>-'Output '!AT187</f>
        <v>-2941.1436065600014</v>
      </c>
      <c r="AU34" s="75">
        <f>-'Output '!AU187</f>
        <v>-3025.1027642108875</v>
      </c>
      <c r="AV34" s="75">
        <f>-'Output '!AV187</f>
        <v>-3193.9300845259336</v>
      </c>
      <c r="AW34" s="75">
        <f>-'Output '!AW187</f>
        <v>-3193.9300845259336</v>
      </c>
      <c r="AX34" s="75">
        <f>-'Output '!AX187</f>
        <v>-3193.9300845259336</v>
      </c>
      <c r="AY34" s="75">
        <f>-'Output '!AY187</f>
        <v>-3193.9300845259336</v>
      </c>
      <c r="AZ34" s="75">
        <f>-'Output '!AZ187</f>
        <v>-3193.9300845259336</v>
      </c>
      <c r="BA34" s="75">
        <f>-'Output '!BA187</f>
        <v>-35381.41046093851</v>
      </c>
      <c r="BB34" s="75">
        <f>-'Output '!BB187</f>
        <v>-3007.4198891797728</v>
      </c>
      <c r="BC34" s="75">
        <f>-'Output '!BC187</f>
        <v>-3007.4198891797728</v>
      </c>
      <c r="BD34" s="75">
        <f>-'Output '!BD187</f>
        <v>-3007.4198891797728</v>
      </c>
      <c r="BE34" s="75">
        <f>-'Output '!BE187</f>
        <v>-3007.4198891797728</v>
      </c>
      <c r="BF34" s="75">
        <f>-'Output '!BF187</f>
        <v>-3007.4198891797728</v>
      </c>
      <c r="BG34" s="75">
        <f>-'Output '!BG187</f>
        <v>-3007.4198891797728</v>
      </c>
      <c r="BH34" s="75">
        <f>-'Output '!BH187</f>
        <v>-3007.4198891797728</v>
      </c>
      <c r="BI34" s="75">
        <f>-'Output '!BI187</f>
        <v>-3007.4198891797728</v>
      </c>
      <c r="BJ34" s="75">
        <f>-'Output '!BJ187</f>
        <v>-3007.4198891797728</v>
      </c>
      <c r="BK34" s="75">
        <f>-'Output '!BK187</f>
        <v>-3007.4198891797728</v>
      </c>
      <c r="BL34" s="75">
        <f>-'Output '!BL187</f>
        <v>-3007.4198891797728</v>
      </c>
      <c r="BM34" s="75">
        <f>-'Output '!BM187</f>
        <v>-3007.4198891797728</v>
      </c>
      <c r="BN34" s="75">
        <f>-'Output '!BN187</f>
        <v>-36089.038670157279</v>
      </c>
      <c r="BP34" s="75"/>
    </row>
    <row r="35" spans="2:68" hidden="1" outlineLevel="1" x14ac:dyDescent="0.2">
      <c r="B35" s="139" t="s">
        <v>39</v>
      </c>
      <c r="C35" t="s">
        <v>41</v>
      </c>
      <c r="G35" s="75"/>
      <c r="H35" s="75"/>
      <c r="I35" s="75"/>
      <c r="J35" s="75">
        <f>-'Output '!J190-'Output '!J191</f>
        <v>-7393.6862625615659</v>
      </c>
      <c r="K35" s="75">
        <f>-'Output '!K190-'Output '!K191</f>
        <v>-7393.6862625615659</v>
      </c>
      <c r="L35" s="75">
        <f>-'Output '!L190-'Output '!L191</f>
        <v>-7393.6862625615659</v>
      </c>
      <c r="M35" s="75">
        <f>-'Output '!M190-'Output '!M191</f>
        <v>-7393.6862625615659</v>
      </c>
      <c r="N35" s="75">
        <f>-'Output '!N190-'Output '!N191</f>
        <v>-29574.745050246263</v>
      </c>
      <c r="O35" s="75">
        <f>-'Output '!O190-'Output '!O191</f>
        <v>-7393.6862625615659</v>
      </c>
      <c r="P35" s="75">
        <f>-'Output '!P190-'Output '!P191</f>
        <v>-7393.6862625615659</v>
      </c>
      <c r="Q35" s="75">
        <f>-'Output '!Q190-'Output '!Q191</f>
        <v>-7393.6862625615659</v>
      </c>
      <c r="R35" s="75">
        <f>-'Output '!R190-'Output '!R191</f>
        <v>-7393.6862625615659</v>
      </c>
      <c r="S35" s="75">
        <f>-'Output '!S190-'Output '!S191</f>
        <v>-7393.6862625615659</v>
      </c>
      <c r="T35" s="75">
        <f>-'Output '!T190-'Output '!T191</f>
        <v>-7393.6862625615659</v>
      </c>
      <c r="U35" s="75">
        <f>-'Output '!U190-'Output '!U191</f>
        <v>-7393.6862625615659</v>
      </c>
      <c r="V35" s="75">
        <f>-'Output '!V190-'Output '!V191</f>
        <v>-7393.6862625615659</v>
      </c>
      <c r="W35" s="75">
        <f>-'Output '!W190-'Output '!W191</f>
        <v>-7393.6862625615659</v>
      </c>
      <c r="X35" s="75">
        <f>-'Output '!X190-'Output '!X191</f>
        <v>-7393.6862625615659</v>
      </c>
      <c r="Y35" s="75">
        <f>-'Output '!Y190-'Output '!Y191</f>
        <v>-7393.6862625615659</v>
      </c>
      <c r="Z35" s="75">
        <f>-'Output '!Z190-'Output '!Z191</f>
        <v>-7393.6862625615659</v>
      </c>
      <c r="AA35" s="75">
        <f>-'Output '!AA190-'Output '!AA191</f>
        <v>-88724.235150738794</v>
      </c>
      <c r="AB35" s="75">
        <f>-'Output '!AB190-'Output '!AB191</f>
        <v>-7393.6862625615659</v>
      </c>
      <c r="AC35" s="75">
        <f>-'Output '!AC190-'Output '!AC191</f>
        <v>-7393.6862625615659</v>
      </c>
      <c r="AD35" s="75">
        <f>-'Output '!AD190-'Output '!AD191</f>
        <v>-7393.6862625615659</v>
      </c>
      <c r="AE35" s="75">
        <f>-'Output '!AE190-'Output '!AE191</f>
        <v>-7393.6862625615659</v>
      </c>
      <c r="AF35" s="75">
        <f>-'Output '!AF190-'Output '!AF191</f>
        <v>-7393.6862625615659</v>
      </c>
      <c r="AG35" s="75">
        <f>-'Output '!AG190-'Output '!AG191</f>
        <v>-7393.6862625615659</v>
      </c>
      <c r="AH35" s="75">
        <f>-'Output '!AH190-'Output '!AH191</f>
        <v>-7393.6862625615659</v>
      </c>
      <c r="AI35" s="75">
        <f>-'Output '!AI190-'Output '!AI191</f>
        <v>-7393.6862625615659</v>
      </c>
      <c r="AJ35" s="75">
        <f>-'Output '!AJ190-'Output '!AJ191</f>
        <v>-7393.6862625615659</v>
      </c>
      <c r="AK35" s="75">
        <f>-'Output '!AK190-'Output '!AK191</f>
        <v>-7393.6862625615659</v>
      </c>
      <c r="AL35" s="75">
        <f>-'Output '!AL190-'Output '!AL191</f>
        <v>-7393.6862625615659</v>
      </c>
      <c r="AM35" s="75">
        <f>-'Output '!AM190-'Output '!AM191</f>
        <v>-7393.6862625615659</v>
      </c>
      <c r="AN35" s="75">
        <f>-'Output '!AN190-'Output '!AN191</f>
        <v>-88724.235150738794</v>
      </c>
      <c r="AO35" s="75">
        <f>-'Output '!AO190-'Output '!AO191</f>
        <v>-7393.6862625615659</v>
      </c>
      <c r="AP35" s="75">
        <f>-'Output '!AP190-'Output '!AP191</f>
        <v>-7393.6862625615659</v>
      </c>
      <c r="AQ35" s="75">
        <f>-'Output '!AQ190-'Output '!AQ191</f>
        <v>-7393.6862625615659</v>
      </c>
      <c r="AR35" s="75">
        <f>-'Output '!AR190-'Output '!AR191</f>
        <v>-7393.6862625615659</v>
      </c>
      <c r="AS35" s="75">
        <f>-'Output '!AS190-'Output '!AS191</f>
        <v>-7393.6862625615659</v>
      </c>
      <c r="AT35" s="75">
        <f>-'Output '!AT190-'Output '!AT191</f>
        <v>-7393.6862625615659</v>
      </c>
      <c r="AU35" s="75">
        <f>-'Output '!AU190-'Output '!AU191</f>
        <v>-7393.6862625615659</v>
      </c>
      <c r="AV35" s="75">
        <f>-'Output '!AV190-'Output '!AV191</f>
        <v>-7393.6862625615659</v>
      </c>
      <c r="AW35" s="75">
        <f>-'Output '!AW190-'Output '!AW191</f>
        <v>-7393.6862625615659</v>
      </c>
      <c r="AX35" s="75">
        <f>-'Output '!AX190-'Output '!AX191</f>
        <v>-7393.6862625615659</v>
      </c>
      <c r="AY35" s="75">
        <f>-'Output '!AY190-'Output '!AY191</f>
        <v>-7393.6862625615659</v>
      </c>
      <c r="AZ35" s="75">
        <f>-'Output '!AZ190-'Output '!AZ191</f>
        <v>-7393.6862625615659</v>
      </c>
      <c r="BA35" s="75">
        <f>-'Output '!BA190-'Output '!BA191</f>
        <v>-88724.235150738794</v>
      </c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P35" s="37"/>
    </row>
    <row r="36" spans="2:68" collapsed="1" x14ac:dyDescent="0.2">
      <c r="B36" s="225" t="s">
        <v>172</v>
      </c>
      <c r="C36" s="225" t="s">
        <v>41</v>
      </c>
      <c r="D36" s="225"/>
      <c r="E36" s="225"/>
      <c r="F36" s="225"/>
      <c r="G36" s="223">
        <f>SUM(G30:G34)</f>
        <v>0</v>
      </c>
      <c r="H36" s="223">
        <f t="shared" ref="H36:BN36" si="13">SUM(H30:H34)</f>
        <v>0</v>
      </c>
      <c r="I36" s="223">
        <f t="shared" si="13"/>
        <v>0</v>
      </c>
      <c r="J36" s="223">
        <f>SUM(J30:J35)</f>
        <v>-10828.687202953373</v>
      </c>
      <c r="K36" s="223">
        <f>SUM(K30:K35)</f>
        <v>-10047.39652608816</v>
      </c>
      <c r="L36" s="223">
        <f>SUM(L30:L35)</f>
        <v>-10266.045636550232</v>
      </c>
      <c r="M36" s="223">
        <f>SUM(M30:M35)</f>
        <v>-10484.754959685019</v>
      </c>
      <c r="N36" s="223">
        <f>SUM(N30:N35)</f>
        <v>-41626.884325276784</v>
      </c>
      <c r="O36" s="223">
        <f t="shared" ref="O36:AZ36" si="14">SUM(O30:O35)</f>
        <v>-10703.419077903345</v>
      </c>
      <c r="P36" s="223">
        <f t="shared" si="14"/>
        <v>-10922.068206508167</v>
      </c>
      <c r="Q36" s="223">
        <f t="shared" si="14"/>
        <v>-10953.639227331045</v>
      </c>
      <c r="R36" s="223">
        <f t="shared" si="14"/>
        <v>-10953.639227331045</v>
      </c>
      <c r="S36" s="223">
        <f t="shared" si="14"/>
        <v>-10953.639227331045</v>
      </c>
      <c r="T36" s="223">
        <f t="shared" si="14"/>
        <v>-10953.639227331045</v>
      </c>
      <c r="U36" s="223">
        <f t="shared" si="14"/>
        <v>-10953.639227331045</v>
      </c>
      <c r="V36" s="223">
        <f t="shared" si="14"/>
        <v>-10953.639227331045</v>
      </c>
      <c r="W36" s="223">
        <f t="shared" si="14"/>
        <v>-10953.639227331045</v>
      </c>
      <c r="X36" s="223">
        <f t="shared" si="14"/>
        <v>-10953.639227331045</v>
      </c>
      <c r="Y36" s="223">
        <f t="shared" si="14"/>
        <v>-10953.639227331045</v>
      </c>
      <c r="Z36" s="223">
        <f t="shared" si="14"/>
        <v>-10953.639227331045</v>
      </c>
      <c r="AA36" s="223">
        <f>SUM(AA30:AA35)</f>
        <v>-131161.87955772196</v>
      </c>
      <c r="AB36" s="223">
        <f t="shared" si="14"/>
        <v>-11024.838286626435</v>
      </c>
      <c r="AC36" s="223">
        <f t="shared" si="14"/>
        <v>-11024.838286626435</v>
      </c>
      <c r="AD36" s="223">
        <f t="shared" si="14"/>
        <v>-11107.213874071562</v>
      </c>
      <c r="AE36" s="223">
        <f t="shared" si="14"/>
        <v>-11189.58948041091</v>
      </c>
      <c r="AF36" s="223">
        <f t="shared" si="14"/>
        <v>-11271.995997153779</v>
      </c>
      <c r="AG36" s="223">
        <f t="shared" si="14"/>
        <v>-11354.371603493128</v>
      </c>
      <c r="AH36" s="223">
        <f t="shared" si="14"/>
        <v>-11436.747209832476</v>
      </c>
      <c r="AI36" s="223">
        <f t="shared" si="14"/>
        <v>-11519.060109490209</v>
      </c>
      <c r="AJ36" s="223">
        <f t="shared" si="14"/>
        <v>-11601.435715829557</v>
      </c>
      <c r="AK36" s="223">
        <f t="shared" si="14"/>
        <v>-11683.811322168905</v>
      </c>
      <c r="AL36" s="223">
        <f t="shared" si="14"/>
        <v>-11766.046771642075</v>
      </c>
      <c r="AM36" s="223">
        <f t="shared" si="14"/>
        <v>-11848.422377981424</v>
      </c>
      <c r="AN36" s="223">
        <f>SUM(AN30:AN35)</f>
        <v>-136828.37103532691</v>
      </c>
      <c r="AO36" s="223">
        <f t="shared" si="14"/>
        <v>-12021.57174736755</v>
      </c>
      <c r="AP36" s="223">
        <f t="shared" si="14"/>
        <v>-12105.594865833686</v>
      </c>
      <c r="AQ36" s="223">
        <f t="shared" si="14"/>
        <v>-12189.617984299821</v>
      </c>
      <c r="AR36" s="223">
        <f t="shared" si="14"/>
        <v>-12273.593632189297</v>
      </c>
      <c r="AS36" s="223">
        <f t="shared" si="14"/>
        <v>-12357.616750655432</v>
      </c>
      <c r="AT36" s="223">
        <f t="shared" si="14"/>
        <v>-12441.639869121567</v>
      </c>
      <c r="AU36" s="223">
        <f t="shared" si="14"/>
        <v>-12525.599026772452</v>
      </c>
      <c r="AV36" s="223">
        <f t="shared" si="14"/>
        <v>-12694.426347087499</v>
      </c>
      <c r="AW36" s="223">
        <f t="shared" si="14"/>
        <v>-12694.426347087499</v>
      </c>
      <c r="AX36" s="223">
        <f t="shared" si="14"/>
        <v>-12694.426347087499</v>
      </c>
      <c r="AY36" s="223">
        <f t="shared" si="14"/>
        <v>-12694.426347087499</v>
      </c>
      <c r="AZ36" s="223">
        <f t="shared" si="14"/>
        <v>-12694.426347087499</v>
      </c>
      <c r="BA36" s="223">
        <f>SUM(BA30:BA35)</f>
        <v>-149387.36561167729</v>
      </c>
      <c r="BB36" s="75">
        <f t="shared" si="13"/>
        <v>-5156.3660891797736</v>
      </c>
      <c r="BC36" s="75">
        <f t="shared" si="13"/>
        <v>-5156.3660891797736</v>
      </c>
      <c r="BD36" s="75">
        <f t="shared" si="13"/>
        <v>-5156.3660891797736</v>
      </c>
      <c r="BE36" s="75">
        <f t="shared" si="13"/>
        <v>-5156.3660891797736</v>
      </c>
      <c r="BF36" s="75">
        <f t="shared" si="13"/>
        <v>-5156.3660891797736</v>
      </c>
      <c r="BG36" s="75">
        <f t="shared" si="13"/>
        <v>-5156.3660891797736</v>
      </c>
      <c r="BH36" s="75">
        <f t="shared" si="13"/>
        <v>-5156.3660891797736</v>
      </c>
      <c r="BI36" s="75">
        <f t="shared" si="13"/>
        <v>-5156.3660891797736</v>
      </c>
      <c r="BJ36" s="75">
        <f t="shared" si="13"/>
        <v>-5156.3660891797736</v>
      </c>
      <c r="BK36" s="75">
        <f t="shared" si="13"/>
        <v>-5156.3660891797736</v>
      </c>
      <c r="BL36" s="75">
        <f t="shared" si="13"/>
        <v>-5156.3660891797736</v>
      </c>
      <c r="BM36" s="75">
        <f t="shared" si="13"/>
        <v>-5156.3660891797736</v>
      </c>
      <c r="BN36" s="75">
        <f t="shared" si="13"/>
        <v>-61876.393070157283</v>
      </c>
      <c r="BP36" s="109"/>
    </row>
    <row r="37" spans="2:68" x14ac:dyDescent="0.2">
      <c r="B37" s="145" t="s">
        <v>173</v>
      </c>
      <c r="C37" s="45" t="s">
        <v>48</v>
      </c>
      <c r="D37" s="83"/>
      <c r="E37" s="83"/>
      <c r="F37" s="83"/>
      <c r="G37" s="133" t="e">
        <f t="shared" ref="G37:AL37" si="15">G26+G36</f>
        <v>#REF!</v>
      </c>
      <c r="H37" s="133" t="e">
        <f t="shared" si="15"/>
        <v>#REF!</v>
      </c>
      <c r="I37" s="133" t="e">
        <f t="shared" si="15"/>
        <v>#REF!</v>
      </c>
      <c r="J37" s="133">
        <f>J26+J36</f>
        <v>-5732.4139609492959</v>
      </c>
      <c r="K37" s="133">
        <f t="shared" si="15"/>
        <v>-1618.066358485783</v>
      </c>
      <c r="L37" s="133">
        <f t="shared" si="15"/>
        <v>1070.4941110271175</v>
      </c>
      <c r="M37" s="133">
        <f t="shared" si="15"/>
        <v>4211.7154308239369</v>
      </c>
      <c r="N37" s="110">
        <f t="shared" si="15"/>
        <v>-2068.2707775840681</v>
      </c>
      <c r="O37" s="110">
        <f t="shared" si="15"/>
        <v>6849.3582554539098</v>
      </c>
      <c r="P37" s="110">
        <f t="shared" si="15"/>
        <v>9702.9320812820915</v>
      </c>
      <c r="Q37" s="110">
        <f t="shared" si="15"/>
        <v>10185.807426645119</v>
      </c>
      <c r="R37" s="110">
        <f t="shared" si="15"/>
        <v>10377.80743646836</v>
      </c>
      <c r="S37" s="110">
        <f t="shared" si="15"/>
        <v>9988.7277796249437</v>
      </c>
      <c r="T37" s="110">
        <f t="shared" si="15"/>
        <v>10180.727789448185</v>
      </c>
      <c r="U37" s="110">
        <f t="shared" si="15"/>
        <v>10202.06113260474</v>
      </c>
      <c r="V37" s="110">
        <f t="shared" si="15"/>
        <v>10138.061142427981</v>
      </c>
      <c r="W37" s="110">
        <f t="shared" si="15"/>
        <v>10159.394485584566</v>
      </c>
      <c r="X37" s="110">
        <f t="shared" si="15"/>
        <v>10095.394495407807</v>
      </c>
      <c r="Y37" s="110">
        <f t="shared" si="15"/>
        <v>10031.394505231048</v>
      </c>
      <c r="Z37" s="110">
        <f t="shared" si="15"/>
        <v>10223.39451505429</v>
      </c>
      <c r="AA37" s="110">
        <f t="shared" si="15"/>
        <v>118135.06104523322</v>
      </c>
      <c r="AB37" s="110">
        <f t="shared" si="15"/>
        <v>10329.681655381873</v>
      </c>
      <c r="AC37" s="110">
        <f t="shared" si="15"/>
        <v>10159.583066571047</v>
      </c>
      <c r="AD37" s="110">
        <f t="shared" si="15"/>
        <v>11386.263737357263</v>
      </c>
      <c r="AE37" s="110">
        <f t="shared" si="15"/>
        <v>12563.655124267303</v>
      </c>
      <c r="AF37" s="110">
        <f t="shared" si="15"/>
        <v>13693.778283925898</v>
      </c>
      <c r="AG37" s="110">
        <f t="shared" si="15"/>
        <v>14955.538576435923</v>
      </c>
      <c r="AH37" s="110">
        <f t="shared" si="15"/>
        <v>15975.44603104069</v>
      </c>
      <c r="AI37" s="110">
        <f t="shared" si="15"/>
        <v>17029.493901850859</v>
      </c>
      <c r="AJ37" s="110">
        <f t="shared" si="15"/>
        <v>18425.367862055591</v>
      </c>
      <c r="AK37" s="110">
        <f t="shared" si="15"/>
        <v>19369.869965765633</v>
      </c>
      <c r="AL37" s="110">
        <f t="shared" si="15"/>
        <v>20161.007923402045</v>
      </c>
      <c r="AM37" s="110">
        <f t="shared" ref="AM37:BN37" si="16">AM26+AM36</f>
        <v>21489.036842006779</v>
      </c>
      <c r="AN37" s="110">
        <f t="shared" si="16"/>
        <v>185538.72297006083</v>
      </c>
      <c r="AO37" s="110">
        <f t="shared" si="16"/>
        <v>23075.891739917319</v>
      </c>
      <c r="AP37" s="110">
        <f t="shared" si="16"/>
        <v>24226.237894206148</v>
      </c>
      <c r="AQ37" s="110">
        <f t="shared" si="16"/>
        <v>25511.043858870329</v>
      </c>
      <c r="AR37" s="110">
        <f t="shared" si="16"/>
        <v>26350.383694732882</v>
      </c>
      <c r="AS37" s="110">
        <f t="shared" si="16"/>
        <v>27622.102759109112</v>
      </c>
      <c r="AT37" s="110">
        <f t="shared" si="16"/>
        <v>28746.275112821932</v>
      </c>
      <c r="AU37" s="110">
        <f t="shared" si="16"/>
        <v>29905.270691064336</v>
      </c>
      <c r="AV37" s="110">
        <f t="shared" si="16"/>
        <v>32071.630950531151</v>
      </c>
      <c r="AW37" s="110">
        <f t="shared" si="16"/>
        <v>32220.345726531159</v>
      </c>
      <c r="AX37" s="110">
        <f t="shared" si="16"/>
        <v>31972.487766531165</v>
      </c>
      <c r="AY37" s="110">
        <f t="shared" si="16"/>
        <v>32121.202542531173</v>
      </c>
      <c r="AZ37" s="110">
        <f t="shared" si="16"/>
        <v>32071.630950531151</v>
      </c>
      <c r="BA37" s="110">
        <f t="shared" si="16"/>
        <v>345894.50368737732</v>
      </c>
      <c r="BB37" s="110" t="e">
        <f t="shared" si="16"/>
        <v>#REF!</v>
      </c>
      <c r="BC37" s="110" t="e">
        <f t="shared" si="16"/>
        <v>#REF!</v>
      </c>
      <c r="BD37" s="110" t="e">
        <f t="shared" si="16"/>
        <v>#REF!</v>
      </c>
      <c r="BE37" s="110" t="e">
        <f t="shared" si="16"/>
        <v>#REF!</v>
      </c>
      <c r="BF37" s="110" t="e">
        <f t="shared" si="16"/>
        <v>#REF!</v>
      </c>
      <c r="BG37" s="110" t="e">
        <f t="shared" si="16"/>
        <v>#REF!</v>
      </c>
      <c r="BH37" s="110" t="e">
        <f t="shared" si="16"/>
        <v>#REF!</v>
      </c>
      <c r="BI37" s="110" t="e">
        <f t="shared" si="16"/>
        <v>#REF!</v>
      </c>
      <c r="BJ37" s="110" t="e">
        <f t="shared" si="16"/>
        <v>#REF!</v>
      </c>
      <c r="BK37" s="110" t="e">
        <f t="shared" si="16"/>
        <v>#REF!</v>
      </c>
      <c r="BL37" s="110" t="e">
        <f t="shared" si="16"/>
        <v>#REF!</v>
      </c>
      <c r="BM37" s="110" t="e">
        <f t="shared" si="16"/>
        <v>#REF!</v>
      </c>
      <c r="BN37" s="110" t="e">
        <f t="shared" si="16"/>
        <v>#REF!</v>
      </c>
      <c r="BP37" s="80"/>
    </row>
    <row r="38" spans="2:68" x14ac:dyDescent="0.2">
      <c r="B38" s="157" t="s">
        <v>184</v>
      </c>
      <c r="C38" s="53" t="s">
        <v>13</v>
      </c>
      <c r="D38" s="53"/>
      <c r="E38" s="53"/>
      <c r="F38" s="53"/>
      <c r="G38" s="158" t="e">
        <f t="shared" ref="G38:M38" si="17">G37/G17</f>
        <v>#REF!</v>
      </c>
      <c r="H38" s="158" t="e">
        <f t="shared" si="17"/>
        <v>#REF!</v>
      </c>
      <c r="I38" s="158" t="e">
        <f t="shared" si="17"/>
        <v>#REF!</v>
      </c>
      <c r="J38" s="158">
        <f t="shared" si="17"/>
        <v>-0.1398146539730192</v>
      </c>
      <c r="K38" s="158">
        <f t="shared" si="17"/>
        <v>-2.5736280324256889E-2</v>
      </c>
      <c r="L38" s="158">
        <f t="shared" si="17"/>
        <v>1.2633295197858226E-2</v>
      </c>
      <c r="M38" s="158">
        <f t="shared" si="17"/>
        <v>3.9506979636380904E-2</v>
      </c>
      <c r="N38" s="158">
        <f>N37/N17</f>
        <v>-7.0060067798213424E-3</v>
      </c>
      <c r="O38" s="158">
        <f t="shared" ref="O38:BN38" si="18">O37/O17</f>
        <v>5.3313484124181618E-2</v>
      </c>
      <c r="P38" s="158">
        <f t="shared" si="18"/>
        <v>6.4540698525422338E-2</v>
      </c>
      <c r="Q38" s="158">
        <f t="shared" si="18"/>
        <v>6.6359085004111751E-2</v>
      </c>
      <c r="R38" s="158">
        <f t="shared" si="18"/>
        <v>6.76099377287884E-2</v>
      </c>
      <c r="S38" s="158">
        <f t="shared" si="18"/>
        <v>6.507513916639826E-2</v>
      </c>
      <c r="T38" s="158">
        <f t="shared" si="18"/>
        <v>6.6325991891074923E-2</v>
      </c>
      <c r="U38" s="158">
        <f t="shared" si="18"/>
        <v>6.6464975584036218E-2</v>
      </c>
      <c r="V38" s="158">
        <f t="shared" si="18"/>
        <v>6.6048024761140023E-2</v>
      </c>
      <c r="W38" s="158">
        <f t="shared" si="18"/>
        <v>6.6187008454101498E-2</v>
      </c>
      <c r="X38" s="158">
        <f t="shared" si="18"/>
        <v>6.5770057631205317E-2</v>
      </c>
      <c r="Y38" s="158">
        <f t="shared" si="18"/>
        <v>6.5353106808309122E-2</v>
      </c>
      <c r="Z38" s="158">
        <f t="shared" si="18"/>
        <v>6.6603959532985771E-2</v>
      </c>
      <c r="AA38" s="158">
        <f t="shared" si="18"/>
        <v>6.5132526801413126E-2</v>
      </c>
      <c r="AB38" s="158">
        <f t="shared" si="18"/>
        <v>6.597686776250028E-2</v>
      </c>
      <c r="AC38" s="158">
        <f t="shared" si="18"/>
        <v>6.4890428463113672E-2</v>
      </c>
      <c r="AD38" s="158">
        <f t="shared" si="18"/>
        <v>6.9090248596773596E-2</v>
      </c>
      <c r="AE38" s="158">
        <f t="shared" si="18"/>
        <v>7.2605361540428806E-2</v>
      </c>
      <c r="AF38" s="158">
        <f t="shared" si="18"/>
        <v>7.5538971479576E-2</v>
      </c>
      <c r="AG38" s="158">
        <f t="shared" si="18"/>
        <v>7.8913329759529763E-2</v>
      </c>
      <c r="AH38" s="158">
        <f t="shared" si="18"/>
        <v>8.0783583702374609E-2</v>
      </c>
      <c r="AI38" s="158">
        <f t="shared" si="18"/>
        <v>8.2672508936615444E-2</v>
      </c>
      <c r="AJ38" s="158">
        <f t="shared" si="18"/>
        <v>8.6009441309217213E-2</v>
      </c>
      <c r="AK38" s="158">
        <f t="shared" si="18"/>
        <v>8.7070267783392413E-2</v>
      </c>
      <c r="AL38" s="158">
        <f t="shared" si="18"/>
        <v>8.739586916522317E-2</v>
      </c>
      <c r="AM38" s="158">
        <f t="shared" si="18"/>
        <v>8.9941034723688335E-2</v>
      </c>
      <c r="AN38" s="158">
        <f t="shared" si="18"/>
        <v>7.9568420000798959E-2</v>
      </c>
      <c r="AO38" s="158">
        <f t="shared" si="18"/>
        <v>9.1531934997548026E-2</v>
      </c>
      <c r="AP38" s="158">
        <f t="shared" si="18"/>
        <v>9.2995473813455354E-2</v>
      </c>
      <c r="AQ38" s="158">
        <f t="shared" si="18"/>
        <v>9.4867568294305149E-2</v>
      </c>
      <c r="AR38" s="158">
        <f t="shared" si="18"/>
        <v>9.502148746500827E-2</v>
      </c>
      <c r="AS38" s="158">
        <f t="shared" si="18"/>
        <v>9.6678116566015923E-2</v>
      </c>
      <c r="AT38" s="158">
        <f t="shared" si="18"/>
        <v>9.773842749026436E-2</v>
      </c>
      <c r="AU38" s="158">
        <f t="shared" si="18"/>
        <v>9.8857040642932575E-2</v>
      </c>
      <c r="AV38" s="158">
        <f t="shared" si="18"/>
        <v>0.10041431747649372</v>
      </c>
      <c r="AW38" s="158">
        <f t="shared" si="18"/>
        <v>0.10087993435621349</v>
      </c>
      <c r="AX38" s="158">
        <f t="shared" si="18"/>
        <v>0.10010390622334726</v>
      </c>
      <c r="AY38" s="158">
        <f t="shared" si="18"/>
        <v>0.10056952310306704</v>
      </c>
      <c r="AZ38" s="158">
        <f t="shared" si="18"/>
        <v>0.10041431747649372</v>
      </c>
      <c r="BA38" s="158">
        <f t="shared" si="18"/>
        <v>9.7761649177114884E-2</v>
      </c>
      <c r="BB38" s="158" t="e">
        <f t="shared" si="18"/>
        <v>#REF!</v>
      </c>
      <c r="BC38" s="158" t="e">
        <f t="shared" si="18"/>
        <v>#REF!</v>
      </c>
      <c r="BD38" s="158" t="e">
        <f t="shared" si="18"/>
        <v>#REF!</v>
      </c>
      <c r="BE38" s="158" t="e">
        <f t="shared" si="18"/>
        <v>#REF!</v>
      </c>
      <c r="BF38" s="158" t="e">
        <f t="shared" si="18"/>
        <v>#REF!</v>
      </c>
      <c r="BG38" s="158" t="e">
        <f t="shared" si="18"/>
        <v>#REF!</v>
      </c>
      <c r="BH38" s="158" t="e">
        <f t="shared" si="18"/>
        <v>#REF!</v>
      </c>
      <c r="BI38" s="158" t="e">
        <f t="shared" si="18"/>
        <v>#REF!</v>
      </c>
      <c r="BJ38" s="158" t="e">
        <f t="shared" si="18"/>
        <v>#REF!</v>
      </c>
      <c r="BK38" s="158" t="e">
        <f t="shared" si="18"/>
        <v>#REF!</v>
      </c>
      <c r="BL38" s="158" t="e">
        <f t="shared" si="18"/>
        <v>#REF!</v>
      </c>
      <c r="BM38" s="158" t="e">
        <f t="shared" si="18"/>
        <v>#REF!</v>
      </c>
      <c r="BN38" s="158" t="e">
        <f t="shared" si="18"/>
        <v>#REF!</v>
      </c>
      <c r="BP38" s="80"/>
    </row>
    <row r="40" spans="2:68" x14ac:dyDescent="0.2">
      <c r="B40" t="s">
        <v>174</v>
      </c>
      <c r="C40" t="s">
        <v>41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  <c r="M40" s="146">
        <v>0</v>
      </c>
      <c r="N40" s="146">
        <v>0</v>
      </c>
      <c r="O40" s="146">
        <v>0</v>
      </c>
      <c r="P40" s="146">
        <v>0</v>
      </c>
      <c r="Q40" s="146">
        <v>0</v>
      </c>
      <c r="R40" s="146">
        <v>0</v>
      </c>
      <c r="S40" s="146">
        <v>0</v>
      </c>
      <c r="T40" s="146">
        <v>0</v>
      </c>
      <c r="U40" s="146">
        <v>0</v>
      </c>
      <c r="V40" s="146">
        <v>0</v>
      </c>
      <c r="W40" s="146">
        <v>0</v>
      </c>
      <c r="X40" s="146">
        <v>0</v>
      </c>
      <c r="Y40" s="146">
        <v>0</v>
      </c>
      <c r="Z40" s="146">
        <v>0</v>
      </c>
      <c r="AA40" s="146">
        <v>0</v>
      </c>
      <c r="AB40" s="146">
        <v>0</v>
      </c>
      <c r="AC40" s="146">
        <v>0</v>
      </c>
      <c r="AD40" s="146">
        <v>0</v>
      </c>
      <c r="AE40" s="146">
        <v>0</v>
      </c>
      <c r="AF40" s="146">
        <v>0</v>
      </c>
      <c r="AG40" s="146">
        <v>0</v>
      </c>
      <c r="AH40" s="146">
        <v>0</v>
      </c>
      <c r="AI40" s="146">
        <v>0</v>
      </c>
      <c r="AJ40" s="146">
        <v>0</v>
      </c>
      <c r="AK40" s="146">
        <v>0</v>
      </c>
      <c r="AL40" s="146">
        <v>0</v>
      </c>
      <c r="AM40" s="146">
        <v>0</v>
      </c>
      <c r="AN40" s="146">
        <v>0</v>
      </c>
      <c r="AO40" s="146">
        <v>0</v>
      </c>
      <c r="AP40" s="146">
        <v>0</v>
      </c>
      <c r="AQ40" s="146">
        <v>0</v>
      </c>
      <c r="AR40" s="146">
        <v>0</v>
      </c>
      <c r="AS40" s="146">
        <v>0</v>
      </c>
      <c r="AT40" s="146">
        <v>0</v>
      </c>
      <c r="AU40" s="146">
        <v>0</v>
      </c>
      <c r="AV40" s="146">
        <v>0</v>
      </c>
      <c r="AW40" s="146">
        <v>0</v>
      </c>
      <c r="AX40" s="146">
        <v>0</v>
      </c>
      <c r="AY40" s="146">
        <v>0</v>
      </c>
      <c r="AZ40" s="146">
        <v>0</v>
      </c>
      <c r="BA40" s="146">
        <v>0</v>
      </c>
      <c r="BB40" s="146">
        <v>0</v>
      </c>
      <c r="BC40" s="146">
        <v>0</v>
      </c>
      <c r="BD40" s="146">
        <v>0</v>
      </c>
      <c r="BE40" s="146">
        <v>0</v>
      </c>
      <c r="BF40" s="146">
        <v>0</v>
      </c>
      <c r="BG40" s="146">
        <v>0</v>
      </c>
      <c r="BH40" s="146">
        <v>0</v>
      </c>
      <c r="BI40" s="146">
        <v>0</v>
      </c>
      <c r="BJ40" s="146">
        <v>0</v>
      </c>
      <c r="BK40" s="146">
        <v>0</v>
      </c>
      <c r="BL40" s="146">
        <v>0</v>
      </c>
      <c r="BM40" s="146">
        <v>0</v>
      </c>
      <c r="BN40" s="146">
        <v>0</v>
      </c>
      <c r="BP40" s="146"/>
    </row>
    <row r="41" spans="2:68" x14ac:dyDescent="0.2">
      <c r="B41" s="145" t="s">
        <v>175</v>
      </c>
      <c r="C41" s="45" t="s">
        <v>48</v>
      </c>
      <c r="D41" s="83"/>
      <c r="E41" s="83"/>
      <c r="F41" s="83"/>
      <c r="G41" s="133" t="e">
        <f t="shared" ref="G41:AL41" si="19">G37-G40</f>
        <v>#REF!</v>
      </c>
      <c r="H41" s="133" t="e">
        <f t="shared" si="19"/>
        <v>#REF!</v>
      </c>
      <c r="I41" s="133" t="e">
        <f t="shared" si="19"/>
        <v>#REF!</v>
      </c>
      <c r="J41" s="133">
        <f t="shared" si="19"/>
        <v>-5732.4139609492959</v>
      </c>
      <c r="K41" s="133">
        <f t="shared" si="19"/>
        <v>-1618.066358485783</v>
      </c>
      <c r="L41" s="133">
        <f t="shared" si="19"/>
        <v>1070.4941110271175</v>
      </c>
      <c r="M41" s="133">
        <f t="shared" si="19"/>
        <v>4211.7154308239369</v>
      </c>
      <c r="N41" s="110">
        <f t="shared" si="19"/>
        <v>-2068.2707775840681</v>
      </c>
      <c r="O41" s="110">
        <f t="shared" si="19"/>
        <v>6849.3582554539098</v>
      </c>
      <c r="P41" s="110">
        <f t="shared" si="19"/>
        <v>9702.9320812820915</v>
      </c>
      <c r="Q41" s="110">
        <f t="shared" si="19"/>
        <v>10185.807426645119</v>
      </c>
      <c r="R41" s="110">
        <f t="shared" si="19"/>
        <v>10377.80743646836</v>
      </c>
      <c r="S41" s="110">
        <f t="shared" si="19"/>
        <v>9988.7277796249437</v>
      </c>
      <c r="T41" s="110">
        <f t="shared" si="19"/>
        <v>10180.727789448185</v>
      </c>
      <c r="U41" s="110">
        <f t="shared" si="19"/>
        <v>10202.06113260474</v>
      </c>
      <c r="V41" s="110">
        <f t="shared" si="19"/>
        <v>10138.061142427981</v>
      </c>
      <c r="W41" s="110">
        <f t="shared" si="19"/>
        <v>10159.394485584566</v>
      </c>
      <c r="X41" s="110">
        <f t="shared" si="19"/>
        <v>10095.394495407807</v>
      </c>
      <c r="Y41" s="110">
        <f t="shared" si="19"/>
        <v>10031.394505231048</v>
      </c>
      <c r="Z41" s="110">
        <f t="shared" si="19"/>
        <v>10223.39451505429</v>
      </c>
      <c r="AA41" s="110">
        <f t="shared" si="19"/>
        <v>118135.06104523322</v>
      </c>
      <c r="AB41" s="110">
        <f t="shared" si="19"/>
        <v>10329.681655381873</v>
      </c>
      <c r="AC41" s="110">
        <f t="shared" si="19"/>
        <v>10159.583066571047</v>
      </c>
      <c r="AD41" s="110">
        <f t="shared" si="19"/>
        <v>11386.263737357263</v>
      </c>
      <c r="AE41" s="110">
        <f t="shared" si="19"/>
        <v>12563.655124267303</v>
      </c>
      <c r="AF41" s="110">
        <f t="shared" si="19"/>
        <v>13693.778283925898</v>
      </c>
      <c r="AG41" s="110">
        <f t="shared" si="19"/>
        <v>14955.538576435923</v>
      </c>
      <c r="AH41" s="110">
        <f t="shared" si="19"/>
        <v>15975.44603104069</v>
      </c>
      <c r="AI41" s="110">
        <f t="shared" si="19"/>
        <v>17029.493901850859</v>
      </c>
      <c r="AJ41" s="110">
        <f t="shared" si="19"/>
        <v>18425.367862055591</v>
      </c>
      <c r="AK41" s="110">
        <f t="shared" si="19"/>
        <v>19369.869965765633</v>
      </c>
      <c r="AL41" s="110">
        <f t="shared" si="19"/>
        <v>20161.007923402045</v>
      </c>
      <c r="AM41" s="110">
        <f t="shared" ref="AM41:BN41" si="20">AM37-AM40</f>
        <v>21489.036842006779</v>
      </c>
      <c r="AN41" s="110">
        <f t="shared" si="20"/>
        <v>185538.72297006083</v>
      </c>
      <c r="AO41" s="110">
        <f t="shared" si="20"/>
        <v>23075.891739917319</v>
      </c>
      <c r="AP41" s="110">
        <f t="shared" si="20"/>
        <v>24226.237894206148</v>
      </c>
      <c r="AQ41" s="110">
        <f t="shared" si="20"/>
        <v>25511.043858870329</v>
      </c>
      <c r="AR41" s="110">
        <f t="shared" si="20"/>
        <v>26350.383694732882</v>
      </c>
      <c r="AS41" s="110">
        <f t="shared" si="20"/>
        <v>27622.102759109112</v>
      </c>
      <c r="AT41" s="110">
        <f t="shared" si="20"/>
        <v>28746.275112821932</v>
      </c>
      <c r="AU41" s="110">
        <f t="shared" si="20"/>
        <v>29905.270691064336</v>
      </c>
      <c r="AV41" s="110">
        <f t="shared" si="20"/>
        <v>32071.630950531151</v>
      </c>
      <c r="AW41" s="110">
        <f t="shared" si="20"/>
        <v>32220.345726531159</v>
      </c>
      <c r="AX41" s="110">
        <f t="shared" si="20"/>
        <v>31972.487766531165</v>
      </c>
      <c r="AY41" s="110">
        <f t="shared" si="20"/>
        <v>32121.202542531173</v>
      </c>
      <c r="AZ41" s="110">
        <f t="shared" si="20"/>
        <v>32071.630950531151</v>
      </c>
      <c r="BA41" s="110">
        <f t="shared" si="20"/>
        <v>345894.50368737732</v>
      </c>
      <c r="BB41" s="110" t="e">
        <f t="shared" si="20"/>
        <v>#REF!</v>
      </c>
      <c r="BC41" s="110" t="e">
        <f t="shared" si="20"/>
        <v>#REF!</v>
      </c>
      <c r="BD41" s="110" t="e">
        <f t="shared" si="20"/>
        <v>#REF!</v>
      </c>
      <c r="BE41" s="110" t="e">
        <f t="shared" si="20"/>
        <v>#REF!</v>
      </c>
      <c r="BF41" s="110" t="e">
        <f t="shared" si="20"/>
        <v>#REF!</v>
      </c>
      <c r="BG41" s="110" t="e">
        <f t="shared" si="20"/>
        <v>#REF!</v>
      </c>
      <c r="BH41" s="110" t="e">
        <f t="shared" si="20"/>
        <v>#REF!</v>
      </c>
      <c r="BI41" s="110" t="e">
        <f t="shared" si="20"/>
        <v>#REF!</v>
      </c>
      <c r="BJ41" s="110" t="e">
        <f t="shared" si="20"/>
        <v>#REF!</v>
      </c>
      <c r="BK41" s="110" t="e">
        <f t="shared" si="20"/>
        <v>#REF!</v>
      </c>
      <c r="BL41" s="110" t="e">
        <f t="shared" si="20"/>
        <v>#REF!</v>
      </c>
      <c r="BM41" s="110" t="e">
        <f t="shared" si="20"/>
        <v>#REF!</v>
      </c>
      <c r="BN41" s="110" t="e">
        <f t="shared" si="20"/>
        <v>#REF!</v>
      </c>
      <c r="BP41" s="80"/>
    </row>
    <row r="42" spans="2:68" x14ac:dyDescent="0.2">
      <c r="B42" s="157" t="s">
        <v>185</v>
      </c>
      <c r="C42" s="53" t="s">
        <v>13</v>
      </c>
      <c r="D42" s="53"/>
      <c r="E42" s="53"/>
      <c r="F42" s="53"/>
      <c r="G42" s="158" t="e">
        <f t="shared" ref="G42:M42" si="21">G41/G17</f>
        <v>#REF!</v>
      </c>
      <c r="H42" s="158" t="e">
        <f t="shared" si="21"/>
        <v>#REF!</v>
      </c>
      <c r="I42" s="158" t="e">
        <f t="shared" si="21"/>
        <v>#REF!</v>
      </c>
      <c r="J42" s="158">
        <f t="shared" si="21"/>
        <v>-0.1398146539730192</v>
      </c>
      <c r="K42" s="158">
        <f t="shared" si="21"/>
        <v>-2.5736280324256889E-2</v>
      </c>
      <c r="L42" s="158">
        <f t="shared" si="21"/>
        <v>1.2633295197858226E-2</v>
      </c>
      <c r="M42" s="158">
        <f t="shared" si="21"/>
        <v>3.9506979636380904E-2</v>
      </c>
      <c r="N42" s="158">
        <f>N41/N17</f>
        <v>-7.0060067798213424E-3</v>
      </c>
      <c r="O42" s="158">
        <f t="shared" ref="O42:BN42" si="22">O41/O17</f>
        <v>5.3313484124181618E-2</v>
      </c>
      <c r="P42" s="158">
        <f t="shared" si="22"/>
        <v>6.4540698525422338E-2</v>
      </c>
      <c r="Q42" s="158">
        <f t="shared" si="22"/>
        <v>6.6359085004111751E-2</v>
      </c>
      <c r="R42" s="158">
        <f t="shared" si="22"/>
        <v>6.76099377287884E-2</v>
      </c>
      <c r="S42" s="158">
        <f t="shared" si="22"/>
        <v>6.507513916639826E-2</v>
      </c>
      <c r="T42" s="158">
        <f t="shared" si="22"/>
        <v>6.6325991891074923E-2</v>
      </c>
      <c r="U42" s="158">
        <f t="shared" si="22"/>
        <v>6.6464975584036218E-2</v>
      </c>
      <c r="V42" s="158">
        <f t="shared" si="22"/>
        <v>6.6048024761140023E-2</v>
      </c>
      <c r="W42" s="158">
        <f t="shared" si="22"/>
        <v>6.6187008454101498E-2</v>
      </c>
      <c r="X42" s="158">
        <f t="shared" si="22"/>
        <v>6.5770057631205317E-2</v>
      </c>
      <c r="Y42" s="158">
        <f t="shared" si="22"/>
        <v>6.5353106808309122E-2</v>
      </c>
      <c r="Z42" s="158">
        <f t="shared" si="22"/>
        <v>6.6603959532985771E-2</v>
      </c>
      <c r="AA42" s="158">
        <f t="shared" si="22"/>
        <v>6.5132526801413126E-2</v>
      </c>
      <c r="AB42" s="158">
        <f t="shared" si="22"/>
        <v>6.597686776250028E-2</v>
      </c>
      <c r="AC42" s="158">
        <f t="shared" si="22"/>
        <v>6.4890428463113672E-2</v>
      </c>
      <c r="AD42" s="158">
        <f t="shared" si="22"/>
        <v>6.9090248596773596E-2</v>
      </c>
      <c r="AE42" s="158">
        <f t="shared" si="22"/>
        <v>7.2605361540428806E-2</v>
      </c>
      <c r="AF42" s="158">
        <f t="shared" si="22"/>
        <v>7.5538971479576E-2</v>
      </c>
      <c r="AG42" s="158">
        <f t="shared" si="22"/>
        <v>7.8913329759529763E-2</v>
      </c>
      <c r="AH42" s="158">
        <f t="shared" si="22"/>
        <v>8.0783583702374609E-2</v>
      </c>
      <c r="AI42" s="158">
        <f t="shared" si="22"/>
        <v>8.2672508936615444E-2</v>
      </c>
      <c r="AJ42" s="158">
        <f t="shared" si="22"/>
        <v>8.6009441309217213E-2</v>
      </c>
      <c r="AK42" s="158">
        <f t="shared" si="22"/>
        <v>8.7070267783392413E-2</v>
      </c>
      <c r="AL42" s="158">
        <f t="shared" si="22"/>
        <v>8.739586916522317E-2</v>
      </c>
      <c r="AM42" s="158">
        <f t="shared" si="22"/>
        <v>8.9941034723688335E-2</v>
      </c>
      <c r="AN42" s="158">
        <f t="shared" si="22"/>
        <v>7.9568420000798959E-2</v>
      </c>
      <c r="AO42" s="158">
        <f t="shared" si="22"/>
        <v>9.1531934997548026E-2</v>
      </c>
      <c r="AP42" s="158">
        <f t="shared" si="22"/>
        <v>9.2995473813455354E-2</v>
      </c>
      <c r="AQ42" s="158">
        <f t="shared" si="22"/>
        <v>9.4867568294305149E-2</v>
      </c>
      <c r="AR42" s="158">
        <f t="shared" si="22"/>
        <v>9.502148746500827E-2</v>
      </c>
      <c r="AS42" s="158">
        <f t="shared" si="22"/>
        <v>9.6678116566015923E-2</v>
      </c>
      <c r="AT42" s="158">
        <f t="shared" si="22"/>
        <v>9.773842749026436E-2</v>
      </c>
      <c r="AU42" s="158">
        <f t="shared" si="22"/>
        <v>9.8857040642932575E-2</v>
      </c>
      <c r="AV42" s="158">
        <f t="shared" si="22"/>
        <v>0.10041431747649372</v>
      </c>
      <c r="AW42" s="158">
        <f t="shared" si="22"/>
        <v>0.10087993435621349</v>
      </c>
      <c r="AX42" s="158">
        <f t="shared" si="22"/>
        <v>0.10010390622334726</v>
      </c>
      <c r="AY42" s="158">
        <f t="shared" si="22"/>
        <v>0.10056952310306704</v>
      </c>
      <c r="AZ42" s="158">
        <f t="shared" si="22"/>
        <v>0.10041431747649372</v>
      </c>
      <c r="BA42" s="158">
        <f t="shared" si="22"/>
        <v>9.7761649177114884E-2</v>
      </c>
      <c r="BB42" s="158" t="e">
        <f t="shared" si="22"/>
        <v>#REF!</v>
      </c>
      <c r="BC42" s="158" t="e">
        <f t="shared" si="22"/>
        <v>#REF!</v>
      </c>
      <c r="BD42" s="158" t="e">
        <f t="shared" si="22"/>
        <v>#REF!</v>
      </c>
      <c r="BE42" s="158" t="e">
        <f t="shared" si="22"/>
        <v>#REF!</v>
      </c>
      <c r="BF42" s="158" t="e">
        <f t="shared" si="22"/>
        <v>#REF!</v>
      </c>
      <c r="BG42" s="158" t="e">
        <f t="shared" si="22"/>
        <v>#REF!</v>
      </c>
      <c r="BH42" s="158" t="e">
        <f t="shared" si="22"/>
        <v>#REF!</v>
      </c>
      <c r="BI42" s="158" t="e">
        <f t="shared" si="22"/>
        <v>#REF!</v>
      </c>
      <c r="BJ42" s="158" t="e">
        <f t="shared" si="22"/>
        <v>#REF!</v>
      </c>
      <c r="BK42" s="158" t="e">
        <f t="shared" si="22"/>
        <v>#REF!</v>
      </c>
      <c r="BL42" s="158" t="e">
        <f t="shared" si="22"/>
        <v>#REF!</v>
      </c>
      <c r="BM42" s="158" t="e">
        <f t="shared" si="22"/>
        <v>#REF!</v>
      </c>
      <c r="BN42" s="158" t="e">
        <f t="shared" si="22"/>
        <v>#REF!</v>
      </c>
      <c r="BP42" s="80"/>
    </row>
    <row r="44" spans="2:68" x14ac:dyDescent="0.2">
      <c r="B44" t="s">
        <v>176</v>
      </c>
      <c r="C44" t="s">
        <v>41</v>
      </c>
      <c r="G44" s="146">
        <v>0</v>
      </c>
      <c r="H44" s="146">
        <v>0</v>
      </c>
      <c r="I44" s="146">
        <v>0</v>
      </c>
      <c r="J44" s="146">
        <v>0</v>
      </c>
      <c r="K44" s="146">
        <v>0</v>
      </c>
      <c r="L44" s="146">
        <v>0</v>
      </c>
      <c r="M44" s="146">
        <v>0</v>
      </c>
      <c r="N44" s="146">
        <v>0</v>
      </c>
      <c r="O44" s="146">
        <v>0</v>
      </c>
      <c r="P44" s="146">
        <v>0</v>
      </c>
      <c r="Q44" s="146">
        <v>0</v>
      </c>
      <c r="R44" s="146">
        <v>0</v>
      </c>
      <c r="S44" s="146">
        <v>0</v>
      </c>
      <c r="T44" s="146">
        <v>0</v>
      </c>
      <c r="U44" s="146">
        <v>0</v>
      </c>
      <c r="V44" s="146">
        <v>0</v>
      </c>
      <c r="W44" s="146">
        <v>0</v>
      </c>
      <c r="X44" s="146">
        <v>0</v>
      </c>
      <c r="Y44" s="146">
        <v>0</v>
      </c>
      <c r="Z44" s="146">
        <v>0</v>
      </c>
      <c r="AA44" s="146">
        <v>0</v>
      </c>
      <c r="AB44" s="146">
        <v>0</v>
      </c>
      <c r="AC44" s="146">
        <v>0</v>
      </c>
      <c r="AD44" s="146">
        <v>0</v>
      </c>
      <c r="AE44" s="146">
        <v>0</v>
      </c>
      <c r="AF44" s="146">
        <v>0</v>
      </c>
      <c r="AG44" s="146">
        <v>0</v>
      </c>
      <c r="AH44" s="146">
        <v>0</v>
      </c>
      <c r="AI44" s="146">
        <v>0</v>
      </c>
      <c r="AJ44" s="146">
        <v>0</v>
      </c>
      <c r="AK44" s="146">
        <v>0</v>
      </c>
      <c r="AL44" s="146">
        <v>0</v>
      </c>
      <c r="AM44" s="146">
        <v>0</v>
      </c>
      <c r="AN44" s="146">
        <v>0</v>
      </c>
      <c r="AO44" s="146">
        <v>0</v>
      </c>
      <c r="AP44" s="146">
        <v>0</v>
      </c>
      <c r="AQ44" s="146">
        <v>0</v>
      </c>
      <c r="AR44" s="146">
        <v>0</v>
      </c>
      <c r="AS44" s="146">
        <v>0</v>
      </c>
      <c r="AT44" s="146">
        <v>0</v>
      </c>
      <c r="AU44" s="146">
        <v>0</v>
      </c>
      <c r="AV44" s="146">
        <v>0</v>
      </c>
      <c r="AW44" s="146">
        <v>0</v>
      </c>
      <c r="AX44" s="146">
        <v>0</v>
      </c>
      <c r="AY44" s="146">
        <v>0</v>
      </c>
      <c r="AZ44" s="146">
        <v>0</v>
      </c>
      <c r="BA44" s="146">
        <v>0</v>
      </c>
      <c r="BB44" s="146">
        <v>0</v>
      </c>
      <c r="BC44" s="146">
        <v>0</v>
      </c>
      <c r="BD44" s="146">
        <v>0</v>
      </c>
      <c r="BE44" s="146">
        <v>0</v>
      </c>
      <c r="BF44" s="146">
        <v>0</v>
      </c>
      <c r="BG44" s="146">
        <v>0</v>
      </c>
      <c r="BH44" s="146">
        <v>0</v>
      </c>
      <c r="BI44" s="146">
        <v>0</v>
      </c>
      <c r="BJ44" s="146">
        <v>0</v>
      </c>
      <c r="BK44" s="146">
        <v>0</v>
      </c>
      <c r="BL44" s="146">
        <v>0</v>
      </c>
      <c r="BM44" s="146">
        <v>0</v>
      </c>
      <c r="BN44" s="146">
        <v>0</v>
      </c>
      <c r="BP44" s="146"/>
    </row>
    <row r="45" spans="2:68" x14ac:dyDescent="0.2">
      <c r="B45" s="145" t="s">
        <v>177</v>
      </c>
      <c r="C45" s="45" t="s">
        <v>48</v>
      </c>
      <c r="D45" s="83"/>
      <c r="E45" s="83"/>
      <c r="F45" s="83"/>
      <c r="G45" s="133" t="e">
        <f t="shared" ref="G45:AL45" si="23">G41-G44</f>
        <v>#REF!</v>
      </c>
      <c r="H45" s="133" t="e">
        <f t="shared" si="23"/>
        <v>#REF!</v>
      </c>
      <c r="I45" s="133" t="e">
        <f t="shared" si="23"/>
        <v>#REF!</v>
      </c>
      <c r="J45" s="133">
        <f t="shared" si="23"/>
        <v>-5732.4139609492959</v>
      </c>
      <c r="K45" s="133">
        <f t="shared" si="23"/>
        <v>-1618.066358485783</v>
      </c>
      <c r="L45" s="133">
        <f t="shared" si="23"/>
        <v>1070.4941110271175</v>
      </c>
      <c r="M45" s="133">
        <f t="shared" si="23"/>
        <v>4211.7154308239369</v>
      </c>
      <c r="N45" s="110">
        <f t="shared" si="23"/>
        <v>-2068.2707775840681</v>
      </c>
      <c r="O45" s="110">
        <f t="shared" si="23"/>
        <v>6849.3582554539098</v>
      </c>
      <c r="P45" s="110">
        <f t="shared" si="23"/>
        <v>9702.9320812820915</v>
      </c>
      <c r="Q45" s="110">
        <f t="shared" si="23"/>
        <v>10185.807426645119</v>
      </c>
      <c r="R45" s="110">
        <f t="shared" si="23"/>
        <v>10377.80743646836</v>
      </c>
      <c r="S45" s="110">
        <f t="shared" si="23"/>
        <v>9988.7277796249437</v>
      </c>
      <c r="T45" s="110">
        <f t="shared" si="23"/>
        <v>10180.727789448185</v>
      </c>
      <c r="U45" s="110">
        <f t="shared" si="23"/>
        <v>10202.06113260474</v>
      </c>
      <c r="V45" s="110">
        <f t="shared" si="23"/>
        <v>10138.061142427981</v>
      </c>
      <c r="W45" s="110">
        <f t="shared" si="23"/>
        <v>10159.394485584566</v>
      </c>
      <c r="X45" s="110">
        <f t="shared" si="23"/>
        <v>10095.394495407807</v>
      </c>
      <c r="Y45" s="110">
        <f t="shared" si="23"/>
        <v>10031.394505231048</v>
      </c>
      <c r="Z45" s="110">
        <f t="shared" si="23"/>
        <v>10223.39451505429</v>
      </c>
      <c r="AA45" s="110">
        <f t="shared" si="23"/>
        <v>118135.06104523322</v>
      </c>
      <c r="AB45" s="110">
        <f t="shared" si="23"/>
        <v>10329.681655381873</v>
      </c>
      <c r="AC45" s="110">
        <f t="shared" si="23"/>
        <v>10159.583066571047</v>
      </c>
      <c r="AD45" s="110">
        <f t="shared" si="23"/>
        <v>11386.263737357263</v>
      </c>
      <c r="AE45" s="110">
        <f t="shared" si="23"/>
        <v>12563.655124267303</v>
      </c>
      <c r="AF45" s="110">
        <f t="shared" si="23"/>
        <v>13693.778283925898</v>
      </c>
      <c r="AG45" s="110">
        <f t="shared" si="23"/>
        <v>14955.538576435923</v>
      </c>
      <c r="AH45" s="110">
        <f t="shared" si="23"/>
        <v>15975.44603104069</v>
      </c>
      <c r="AI45" s="110">
        <f t="shared" si="23"/>
        <v>17029.493901850859</v>
      </c>
      <c r="AJ45" s="110">
        <f t="shared" si="23"/>
        <v>18425.367862055591</v>
      </c>
      <c r="AK45" s="110">
        <f t="shared" si="23"/>
        <v>19369.869965765633</v>
      </c>
      <c r="AL45" s="110">
        <f t="shared" si="23"/>
        <v>20161.007923402045</v>
      </c>
      <c r="AM45" s="110">
        <f t="shared" ref="AM45:BN45" si="24">AM41-AM44</f>
        <v>21489.036842006779</v>
      </c>
      <c r="AN45" s="110">
        <f t="shared" si="24"/>
        <v>185538.72297006083</v>
      </c>
      <c r="AO45" s="110">
        <f t="shared" si="24"/>
        <v>23075.891739917319</v>
      </c>
      <c r="AP45" s="110">
        <f t="shared" si="24"/>
        <v>24226.237894206148</v>
      </c>
      <c r="AQ45" s="110">
        <f t="shared" si="24"/>
        <v>25511.043858870329</v>
      </c>
      <c r="AR45" s="110">
        <f t="shared" si="24"/>
        <v>26350.383694732882</v>
      </c>
      <c r="AS45" s="110">
        <f t="shared" si="24"/>
        <v>27622.102759109112</v>
      </c>
      <c r="AT45" s="110">
        <f t="shared" si="24"/>
        <v>28746.275112821932</v>
      </c>
      <c r="AU45" s="110">
        <f t="shared" si="24"/>
        <v>29905.270691064336</v>
      </c>
      <c r="AV45" s="110">
        <f t="shared" si="24"/>
        <v>32071.630950531151</v>
      </c>
      <c r="AW45" s="110">
        <f t="shared" si="24"/>
        <v>32220.345726531159</v>
      </c>
      <c r="AX45" s="110">
        <f t="shared" si="24"/>
        <v>31972.487766531165</v>
      </c>
      <c r="AY45" s="110">
        <f t="shared" si="24"/>
        <v>32121.202542531173</v>
      </c>
      <c r="AZ45" s="110">
        <f t="shared" si="24"/>
        <v>32071.630950531151</v>
      </c>
      <c r="BA45" s="110">
        <f t="shared" si="24"/>
        <v>345894.50368737732</v>
      </c>
      <c r="BB45" s="110" t="e">
        <f t="shared" si="24"/>
        <v>#REF!</v>
      </c>
      <c r="BC45" s="110" t="e">
        <f t="shared" si="24"/>
        <v>#REF!</v>
      </c>
      <c r="BD45" s="110" t="e">
        <f t="shared" si="24"/>
        <v>#REF!</v>
      </c>
      <c r="BE45" s="110" t="e">
        <f t="shared" si="24"/>
        <v>#REF!</v>
      </c>
      <c r="BF45" s="110" t="e">
        <f t="shared" si="24"/>
        <v>#REF!</v>
      </c>
      <c r="BG45" s="110" t="e">
        <f t="shared" si="24"/>
        <v>#REF!</v>
      </c>
      <c r="BH45" s="110" t="e">
        <f t="shared" si="24"/>
        <v>#REF!</v>
      </c>
      <c r="BI45" s="110" t="e">
        <f t="shared" si="24"/>
        <v>#REF!</v>
      </c>
      <c r="BJ45" s="110" t="e">
        <f t="shared" si="24"/>
        <v>#REF!</v>
      </c>
      <c r="BK45" s="110" t="e">
        <f t="shared" si="24"/>
        <v>#REF!</v>
      </c>
      <c r="BL45" s="110" t="e">
        <f t="shared" si="24"/>
        <v>#REF!</v>
      </c>
      <c r="BM45" s="110" t="e">
        <f t="shared" si="24"/>
        <v>#REF!</v>
      </c>
      <c r="BN45" s="110" t="e">
        <f t="shared" si="24"/>
        <v>#REF!</v>
      </c>
      <c r="BP45" s="80"/>
    </row>
    <row r="46" spans="2:68" x14ac:dyDescent="0.2">
      <c r="B46" s="157" t="s">
        <v>186</v>
      </c>
      <c r="C46" s="53" t="s">
        <v>13</v>
      </c>
      <c r="D46" s="53"/>
      <c r="E46" s="53"/>
      <c r="F46" s="53"/>
      <c r="G46" s="158" t="e">
        <f t="shared" ref="G46:M46" si="25">G45/G17</f>
        <v>#REF!</v>
      </c>
      <c r="H46" s="158" t="e">
        <f t="shared" si="25"/>
        <v>#REF!</v>
      </c>
      <c r="I46" s="158" t="e">
        <f t="shared" si="25"/>
        <v>#REF!</v>
      </c>
      <c r="J46" s="158">
        <f t="shared" si="25"/>
        <v>-0.1398146539730192</v>
      </c>
      <c r="K46" s="158">
        <f t="shared" si="25"/>
        <v>-2.5736280324256889E-2</v>
      </c>
      <c r="L46" s="158">
        <f t="shared" si="25"/>
        <v>1.2633295197858226E-2</v>
      </c>
      <c r="M46" s="158">
        <f t="shared" si="25"/>
        <v>3.9506979636380904E-2</v>
      </c>
      <c r="N46" s="158">
        <f>N45/N17</f>
        <v>-7.0060067798213424E-3</v>
      </c>
      <c r="O46" s="158">
        <f t="shared" ref="O46:BN46" si="26">O45/O17</f>
        <v>5.3313484124181618E-2</v>
      </c>
      <c r="P46" s="158">
        <f t="shared" si="26"/>
        <v>6.4540698525422338E-2</v>
      </c>
      <c r="Q46" s="158">
        <f t="shared" si="26"/>
        <v>6.6359085004111751E-2</v>
      </c>
      <c r="R46" s="158">
        <f t="shared" si="26"/>
        <v>6.76099377287884E-2</v>
      </c>
      <c r="S46" s="158">
        <f t="shared" si="26"/>
        <v>6.507513916639826E-2</v>
      </c>
      <c r="T46" s="158">
        <f t="shared" si="26"/>
        <v>6.6325991891074923E-2</v>
      </c>
      <c r="U46" s="158">
        <f t="shared" si="26"/>
        <v>6.6464975584036218E-2</v>
      </c>
      <c r="V46" s="158">
        <f t="shared" si="26"/>
        <v>6.6048024761140023E-2</v>
      </c>
      <c r="W46" s="158">
        <f t="shared" si="26"/>
        <v>6.6187008454101498E-2</v>
      </c>
      <c r="X46" s="158">
        <f t="shared" si="26"/>
        <v>6.5770057631205317E-2</v>
      </c>
      <c r="Y46" s="158">
        <f t="shared" si="26"/>
        <v>6.5353106808309122E-2</v>
      </c>
      <c r="Z46" s="158">
        <f t="shared" si="26"/>
        <v>6.6603959532985771E-2</v>
      </c>
      <c r="AA46" s="158">
        <f t="shared" si="26"/>
        <v>6.5132526801413126E-2</v>
      </c>
      <c r="AB46" s="158">
        <f t="shared" si="26"/>
        <v>6.597686776250028E-2</v>
      </c>
      <c r="AC46" s="158">
        <f t="shared" si="26"/>
        <v>6.4890428463113672E-2</v>
      </c>
      <c r="AD46" s="158">
        <f t="shared" si="26"/>
        <v>6.9090248596773596E-2</v>
      </c>
      <c r="AE46" s="158">
        <f t="shared" si="26"/>
        <v>7.2605361540428806E-2</v>
      </c>
      <c r="AF46" s="158">
        <f t="shared" si="26"/>
        <v>7.5538971479576E-2</v>
      </c>
      <c r="AG46" s="158">
        <f t="shared" si="26"/>
        <v>7.8913329759529763E-2</v>
      </c>
      <c r="AH46" s="158">
        <f t="shared" si="26"/>
        <v>8.0783583702374609E-2</v>
      </c>
      <c r="AI46" s="158">
        <f t="shared" si="26"/>
        <v>8.2672508936615444E-2</v>
      </c>
      <c r="AJ46" s="158">
        <f t="shared" si="26"/>
        <v>8.6009441309217213E-2</v>
      </c>
      <c r="AK46" s="158">
        <f t="shared" si="26"/>
        <v>8.7070267783392413E-2</v>
      </c>
      <c r="AL46" s="158">
        <f t="shared" si="26"/>
        <v>8.739586916522317E-2</v>
      </c>
      <c r="AM46" s="158">
        <f t="shared" si="26"/>
        <v>8.9941034723688335E-2</v>
      </c>
      <c r="AN46" s="158">
        <f t="shared" si="26"/>
        <v>7.9568420000798959E-2</v>
      </c>
      <c r="AO46" s="158">
        <f t="shared" si="26"/>
        <v>9.1531934997548026E-2</v>
      </c>
      <c r="AP46" s="158">
        <f t="shared" si="26"/>
        <v>9.2995473813455354E-2</v>
      </c>
      <c r="AQ46" s="158">
        <f t="shared" si="26"/>
        <v>9.4867568294305149E-2</v>
      </c>
      <c r="AR46" s="158">
        <f t="shared" si="26"/>
        <v>9.502148746500827E-2</v>
      </c>
      <c r="AS46" s="158">
        <f t="shared" si="26"/>
        <v>9.6678116566015923E-2</v>
      </c>
      <c r="AT46" s="158">
        <f t="shared" si="26"/>
        <v>9.773842749026436E-2</v>
      </c>
      <c r="AU46" s="158">
        <f t="shared" si="26"/>
        <v>9.8857040642932575E-2</v>
      </c>
      <c r="AV46" s="158">
        <f t="shared" si="26"/>
        <v>0.10041431747649372</v>
      </c>
      <c r="AW46" s="158">
        <f t="shared" si="26"/>
        <v>0.10087993435621349</v>
      </c>
      <c r="AX46" s="158">
        <f t="shared" si="26"/>
        <v>0.10010390622334726</v>
      </c>
      <c r="AY46" s="158">
        <f t="shared" si="26"/>
        <v>0.10056952310306704</v>
      </c>
      <c r="AZ46" s="158">
        <f t="shared" si="26"/>
        <v>0.10041431747649372</v>
      </c>
      <c r="BA46" s="158">
        <f t="shared" si="26"/>
        <v>9.7761649177114884E-2</v>
      </c>
      <c r="BB46" s="158" t="e">
        <f t="shared" si="26"/>
        <v>#REF!</v>
      </c>
      <c r="BC46" s="158" t="e">
        <f t="shared" si="26"/>
        <v>#REF!</v>
      </c>
      <c r="BD46" s="158" t="e">
        <f t="shared" si="26"/>
        <v>#REF!</v>
      </c>
      <c r="BE46" s="158" t="e">
        <f t="shared" si="26"/>
        <v>#REF!</v>
      </c>
      <c r="BF46" s="158" t="e">
        <f t="shared" si="26"/>
        <v>#REF!</v>
      </c>
      <c r="BG46" s="158" t="e">
        <f t="shared" si="26"/>
        <v>#REF!</v>
      </c>
      <c r="BH46" s="158" t="e">
        <f t="shared" si="26"/>
        <v>#REF!</v>
      </c>
      <c r="BI46" s="158" t="e">
        <f t="shared" si="26"/>
        <v>#REF!</v>
      </c>
      <c r="BJ46" s="158" t="e">
        <f t="shared" si="26"/>
        <v>#REF!</v>
      </c>
      <c r="BK46" s="158" t="e">
        <f t="shared" si="26"/>
        <v>#REF!</v>
      </c>
      <c r="BL46" s="158" t="e">
        <f t="shared" si="26"/>
        <v>#REF!</v>
      </c>
      <c r="BM46" s="158" t="e">
        <f t="shared" si="26"/>
        <v>#REF!</v>
      </c>
      <c r="BN46" s="158" t="e">
        <f t="shared" si="26"/>
        <v>#REF!</v>
      </c>
      <c r="BP46" s="80"/>
    </row>
    <row r="48" spans="2:68" x14ac:dyDescent="0.2">
      <c r="B48" t="s">
        <v>179</v>
      </c>
      <c r="C48" t="s">
        <v>41</v>
      </c>
      <c r="G48" s="76" t="e">
        <f t="shared" ref="G48:I48" si="27">-G45*G10</f>
        <v>#REF!</v>
      </c>
      <c r="H48" s="76" t="e">
        <f t="shared" si="27"/>
        <v>#REF!</v>
      </c>
      <c r="I48" s="76" t="e">
        <f t="shared" si="27"/>
        <v>#REF!</v>
      </c>
      <c r="J48" s="76">
        <f>-MAX(J45*J10,0)</f>
        <v>0</v>
      </c>
      <c r="K48" s="76">
        <f t="shared" ref="K48:BA48" si="28">-MAX(K45*K10,0)</f>
        <v>0</v>
      </c>
      <c r="L48" s="75">
        <f t="shared" si="28"/>
        <v>0</v>
      </c>
      <c r="M48" s="75">
        <f t="shared" si="28"/>
        <v>0</v>
      </c>
      <c r="N48" s="75">
        <f t="shared" si="28"/>
        <v>0</v>
      </c>
      <c r="O48" s="75">
        <f t="shared" si="28"/>
        <v>-1575.3523987543992</v>
      </c>
      <c r="P48" s="75">
        <f t="shared" si="28"/>
        <v>-2231.6743786948809</v>
      </c>
      <c r="Q48" s="75">
        <f t="shared" si="28"/>
        <v>-2342.7357081283772</v>
      </c>
      <c r="R48" s="75">
        <f t="shared" si="28"/>
        <v>-2386.8957103877228</v>
      </c>
      <c r="S48" s="75">
        <f t="shared" si="28"/>
        <v>-2297.407389313737</v>
      </c>
      <c r="T48" s="75">
        <f t="shared" si="28"/>
        <v>-2341.5673915730827</v>
      </c>
      <c r="U48" s="75">
        <f t="shared" si="28"/>
        <v>-2346.4740604990902</v>
      </c>
      <c r="V48" s="75">
        <f t="shared" si="28"/>
        <v>-2331.7540627584358</v>
      </c>
      <c r="W48" s="75">
        <f t="shared" si="28"/>
        <v>-2336.6607316844502</v>
      </c>
      <c r="X48" s="75">
        <f t="shared" si="28"/>
        <v>-2321.9407339437957</v>
      </c>
      <c r="Y48" s="75">
        <f t="shared" si="28"/>
        <v>-2307.2207362031413</v>
      </c>
      <c r="Z48" s="75">
        <f t="shared" si="28"/>
        <v>-2351.3807384624865</v>
      </c>
      <c r="AA48" s="75">
        <f>-MAX(AA45*AA10,0)</f>
        <v>-27171.064040403642</v>
      </c>
      <c r="AB48" s="75">
        <f t="shared" si="28"/>
        <v>-2375.8267807378311</v>
      </c>
      <c r="AC48" s="75">
        <f t="shared" si="28"/>
        <v>-2336.7041053113412</v>
      </c>
      <c r="AD48" s="75">
        <f t="shared" si="28"/>
        <v>-2618.8406595921706</v>
      </c>
      <c r="AE48" s="75">
        <f t="shared" si="28"/>
        <v>-2889.6406785814797</v>
      </c>
      <c r="AF48" s="75">
        <f t="shared" si="28"/>
        <v>-3149.5690053029566</v>
      </c>
      <c r="AG48" s="75">
        <f t="shared" si="28"/>
        <v>-3439.7738725802624</v>
      </c>
      <c r="AH48" s="75">
        <f t="shared" si="28"/>
        <v>-3674.352587139359</v>
      </c>
      <c r="AI48" s="75">
        <f t="shared" si="28"/>
        <v>-3916.7835974256977</v>
      </c>
      <c r="AJ48" s="75">
        <f t="shared" si="28"/>
        <v>-4237.8346082727858</v>
      </c>
      <c r="AK48" s="75">
        <f t="shared" si="28"/>
        <v>-4455.0700921260959</v>
      </c>
      <c r="AL48" s="75">
        <f t="shared" si="28"/>
        <v>-4637.0318223824706</v>
      </c>
      <c r="AM48" s="75">
        <f t="shared" si="28"/>
        <v>-4942.4784736615593</v>
      </c>
      <c r="AN48" s="75">
        <f t="shared" si="28"/>
        <v>-42673.906283113989</v>
      </c>
      <c r="AO48" s="75">
        <f t="shared" si="28"/>
        <v>-5768.9729349793297</v>
      </c>
      <c r="AP48" s="75">
        <f t="shared" si="28"/>
        <v>-6056.5594735515369</v>
      </c>
      <c r="AQ48" s="75">
        <f t="shared" si="28"/>
        <v>-6377.7609647175823</v>
      </c>
      <c r="AR48" s="75">
        <f t="shared" si="28"/>
        <v>-6587.5959236832205</v>
      </c>
      <c r="AS48" s="75">
        <f t="shared" si="28"/>
        <v>-6905.5256897772779</v>
      </c>
      <c r="AT48" s="75">
        <f t="shared" si="28"/>
        <v>-7186.5687782054829</v>
      </c>
      <c r="AU48" s="75">
        <f t="shared" si="28"/>
        <v>-7476.3176727660839</v>
      </c>
      <c r="AV48" s="75">
        <f t="shared" si="28"/>
        <v>-8017.9077376327878</v>
      </c>
      <c r="AW48" s="75">
        <f t="shared" si="28"/>
        <v>-8055.0864316327898</v>
      </c>
      <c r="AX48" s="75">
        <f t="shared" si="28"/>
        <v>-7993.1219416327913</v>
      </c>
      <c r="AY48" s="75">
        <f t="shared" si="28"/>
        <v>-8030.3006356327933</v>
      </c>
      <c r="AZ48" s="75">
        <f t="shared" si="28"/>
        <v>-8017.9077376327878</v>
      </c>
      <c r="BA48" s="75">
        <f t="shared" si="28"/>
        <v>-86473.62592184433</v>
      </c>
      <c r="BB48" s="75" t="e">
        <f t="shared" ref="BB48:BN48" si="29">-BB45*BB10</f>
        <v>#REF!</v>
      </c>
      <c r="BC48" s="75" t="e">
        <f t="shared" si="29"/>
        <v>#REF!</v>
      </c>
      <c r="BD48" s="75" t="e">
        <f t="shared" si="29"/>
        <v>#REF!</v>
      </c>
      <c r="BE48" s="75" t="e">
        <f t="shared" si="29"/>
        <v>#REF!</v>
      </c>
      <c r="BF48" s="75" t="e">
        <f t="shared" si="29"/>
        <v>#REF!</v>
      </c>
      <c r="BG48" s="75" t="e">
        <f t="shared" si="29"/>
        <v>#REF!</v>
      </c>
      <c r="BH48" s="75" t="e">
        <f t="shared" si="29"/>
        <v>#REF!</v>
      </c>
      <c r="BI48" s="75" t="e">
        <f t="shared" si="29"/>
        <v>#REF!</v>
      </c>
      <c r="BJ48" s="75" t="e">
        <f t="shared" si="29"/>
        <v>#REF!</v>
      </c>
      <c r="BK48" s="75" t="e">
        <f t="shared" si="29"/>
        <v>#REF!</v>
      </c>
      <c r="BL48" s="75" t="e">
        <f t="shared" si="29"/>
        <v>#REF!</v>
      </c>
      <c r="BM48" s="75" t="e">
        <f t="shared" si="29"/>
        <v>#REF!</v>
      </c>
      <c r="BN48" s="75" t="e">
        <f t="shared" si="29"/>
        <v>#REF!</v>
      </c>
      <c r="BP48" s="76"/>
    </row>
    <row r="49" spans="2:68" x14ac:dyDescent="0.2">
      <c r="B49" s="145" t="s">
        <v>180</v>
      </c>
      <c r="C49" s="45" t="s">
        <v>48</v>
      </c>
      <c r="D49" s="83"/>
      <c r="E49" s="83"/>
      <c r="F49" s="83"/>
      <c r="G49" s="133" t="e">
        <f>G45+G48</f>
        <v>#REF!</v>
      </c>
      <c r="H49" s="133" t="e">
        <f t="shared" ref="H49:BN49" si="30">H45+H48</f>
        <v>#REF!</v>
      </c>
      <c r="I49" s="133" t="e">
        <f t="shared" si="30"/>
        <v>#REF!</v>
      </c>
      <c r="J49" s="133">
        <f>J45+J48</f>
        <v>-5732.4139609492959</v>
      </c>
      <c r="K49" s="133">
        <f t="shared" si="30"/>
        <v>-1618.066358485783</v>
      </c>
      <c r="L49" s="133">
        <f t="shared" si="30"/>
        <v>1070.4941110271175</v>
      </c>
      <c r="M49" s="133">
        <f t="shared" si="30"/>
        <v>4211.7154308239369</v>
      </c>
      <c r="N49" s="133">
        <f>N45+N48</f>
        <v>-2068.2707775840681</v>
      </c>
      <c r="O49" s="133">
        <f t="shared" si="30"/>
        <v>5274.0058566995103</v>
      </c>
      <c r="P49" s="133">
        <f t="shared" si="30"/>
        <v>7471.2577025872106</v>
      </c>
      <c r="Q49" s="133">
        <f t="shared" si="30"/>
        <v>7843.0717185167414</v>
      </c>
      <c r="R49" s="133">
        <f t="shared" si="30"/>
        <v>7990.911726080637</v>
      </c>
      <c r="S49" s="133">
        <f t="shared" si="30"/>
        <v>7691.3203903112062</v>
      </c>
      <c r="T49" s="133">
        <f t="shared" si="30"/>
        <v>7839.1603978751027</v>
      </c>
      <c r="U49" s="133">
        <f t="shared" si="30"/>
        <v>7855.5870721056499</v>
      </c>
      <c r="V49" s="133">
        <f t="shared" si="30"/>
        <v>7806.3070796695456</v>
      </c>
      <c r="W49" s="133">
        <f t="shared" si="30"/>
        <v>7822.7337539001155</v>
      </c>
      <c r="X49" s="133">
        <f t="shared" si="30"/>
        <v>7773.4537614640112</v>
      </c>
      <c r="Y49" s="133">
        <f t="shared" si="30"/>
        <v>7724.1737690279069</v>
      </c>
      <c r="Z49" s="133">
        <f t="shared" si="30"/>
        <v>7872.0137765918025</v>
      </c>
      <c r="AA49" s="133">
        <f t="shared" si="30"/>
        <v>90963.99700482958</v>
      </c>
      <c r="AB49" s="133">
        <f t="shared" si="30"/>
        <v>7953.8548746440429</v>
      </c>
      <c r="AC49" s="133">
        <f t="shared" si="30"/>
        <v>7822.8789612597066</v>
      </c>
      <c r="AD49" s="133">
        <f t="shared" si="30"/>
        <v>8767.4230777650919</v>
      </c>
      <c r="AE49" s="133">
        <f t="shared" si="30"/>
        <v>9674.0144456858234</v>
      </c>
      <c r="AF49" s="133">
        <f t="shared" si="30"/>
        <v>10544.20927862294</v>
      </c>
      <c r="AG49" s="133">
        <f t="shared" si="30"/>
        <v>11515.764703855661</v>
      </c>
      <c r="AH49" s="133">
        <f t="shared" si="30"/>
        <v>12301.093443901331</v>
      </c>
      <c r="AI49" s="133">
        <f t="shared" si="30"/>
        <v>13112.710304425162</v>
      </c>
      <c r="AJ49" s="133">
        <f t="shared" si="30"/>
        <v>14187.533253782805</v>
      </c>
      <c r="AK49" s="133">
        <f t="shared" si="30"/>
        <v>14914.799873639537</v>
      </c>
      <c r="AL49" s="133">
        <f t="shared" si="30"/>
        <v>15523.976101019574</v>
      </c>
      <c r="AM49" s="133">
        <f t="shared" si="30"/>
        <v>16546.558368345221</v>
      </c>
      <c r="AN49" s="133">
        <f t="shared" si="30"/>
        <v>142864.81668694684</v>
      </c>
      <c r="AO49" s="133">
        <f>AO45+AO48</f>
        <v>17306.918804937988</v>
      </c>
      <c r="AP49" s="133">
        <f t="shared" si="30"/>
        <v>18169.678420654611</v>
      </c>
      <c r="AQ49" s="133">
        <f t="shared" si="30"/>
        <v>19133.282894152748</v>
      </c>
      <c r="AR49" s="133">
        <f t="shared" si="30"/>
        <v>19762.787771049661</v>
      </c>
      <c r="AS49" s="133">
        <f t="shared" si="30"/>
        <v>20716.577069331834</v>
      </c>
      <c r="AT49" s="133">
        <f t="shared" si="30"/>
        <v>21559.70633461645</v>
      </c>
      <c r="AU49" s="133">
        <f t="shared" si="30"/>
        <v>22428.953018298253</v>
      </c>
      <c r="AV49" s="133">
        <f t="shared" si="30"/>
        <v>24053.723212898363</v>
      </c>
      <c r="AW49" s="133">
        <f t="shared" si="30"/>
        <v>24165.259294898369</v>
      </c>
      <c r="AX49" s="133">
        <f t="shared" si="30"/>
        <v>23979.365824898374</v>
      </c>
      <c r="AY49" s="133">
        <f t="shared" si="30"/>
        <v>24090.90190689838</v>
      </c>
      <c r="AZ49" s="133">
        <f t="shared" si="30"/>
        <v>24053.723212898363</v>
      </c>
      <c r="BA49" s="133">
        <f t="shared" si="30"/>
        <v>259420.87776553299</v>
      </c>
      <c r="BB49" s="133" t="e">
        <f t="shared" si="30"/>
        <v>#REF!</v>
      </c>
      <c r="BC49" s="133" t="e">
        <f t="shared" si="30"/>
        <v>#REF!</v>
      </c>
      <c r="BD49" s="133" t="e">
        <f t="shared" si="30"/>
        <v>#REF!</v>
      </c>
      <c r="BE49" s="133" t="e">
        <f t="shared" si="30"/>
        <v>#REF!</v>
      </c>
      <c r="BF49" s="133" t="e">
        <f t="shared" si="30"/>
        <v>#REF!</v>
      </c>
      <c r="BG49" s="133" t="e">
        <f t="shared" si="30"/>
        <v>#REF!</v>
      </c>
      <c r="BH49" s="133" t="e">
        <f t="shared" si="30"/>
        <v>#REF!</v>
      </c>
      <c r="BI49" s="133" t="e">
        <f t="shared" si="30"/>
        <v>#REF!</v>
      </c>
      <c r="BJ49" s="133" t="e">
        <f t="shared" si="30"/>
        <v>#REF!</v>
      </c>
      <c r="BK49" s="133" t="e">
        <f t="shared" si="30"/>
        <v>#REF!</v>
      </c>
      <c r="BL49" s="133" t="e">
        <f t="shared" si="30"/>
        <v>#REF!</v>
      </c>
      <c r="BM49" s="133" t="e">
        <f t="shared" si="30"/>
        <v>#REF!</v>
      </c>
      <c r="BN49" s="133" t="e">
        <f t="shared" si="30"/>
        <v>#REF!</v>
      </c>
      <c r="BP49" s="80"/>
    </row>
    <row r="50" spans="2:68" x14ac:dyDescent="0.2">
      <c r="B50" s="157" t="s">
        <v>187</v>
      </c>
      <c r="C50" s="53" t="s">
        <v>13</v>
      </c>
      <c r="D50" s="53"/>
      <c r="E50" s="53"/>
      <c r="F50" s="53"/>
      <c r="G50" s="158" t="e">
        <f t="shared" ref="G50:M50" si="31">G49/G17</f>
        <v>#REF!</v>
      </c>
      <c r="H50" s="158" t="e">
        <f t="shared" si="31"/>
        <v>#REF!</v>
      </c>
      <c r="I50" s="158" t="e">
        <f t="shared" si="31"/>
        <v>#REF!</v>
      </c>
      <c r="J50" s="158">
        <f t="shared" si="31"/>
        <v>-0.1398146539730192</v>
      </c>
      <c r="K50" s="158">
        <f t="shared" si="31"/>
        <v>-2.5736280324256889E-2</v>
      </c>
      <c r="L50" s="158">
        <f t="shared" si="31"/>
        <v>1.2633295197858226E-2</v>
      </c>
      <c r="M50" s="158">
        <f t="shared" si="31"/>
        <v>3.9506979636380904E-2</v>
      </c>
      <c r="N50" s="158">
        <f>N49/N17</f>
        <v>-7.0060067798213424E-3</v>
      </c>
      <c r="O50" s="158">
        <f t="shared" ref="O50:BN50" si="32">O49/O17</f>
        <v>4.1051382775619844E-2</v>
      </c>
      <c r="P50" s="158">
        <f t="shared" si="32"/>
        <v>4.9696337864575196E-2</v>
      </c>
      <c r="Q50" s="158">
        <f t="shared" si="32"/>
        <v>5.1096495453166045E-2</v>
      </c>
      <c r="R50" s="158">
        <f t="shared" si="32"/>
        <v>5.2059652051167069E-2</v>
      </c>
      <c r="S50" s="158">
        <f t="shared" si="32"/>
        <v>5.0107857158126656E-2</v>
      </c>
      <c r="T50" s="158">
        <f t="shared" si="32"/>
        <v>5.1071013756127687E-2</v>
      </c>
      <c r="U50" s="158">
        <f t="shared" si="32"/>
        <v>5.1178031199707888E-2</v>
      </c>
      <c r="V50" s="158">
        <f t="shared" si="32"/>
        <v>5.0856979066077813E-2</v>
      </c>
      <c r="W50" s="158">
        <f t="shared" si="32"/>
        <v>5.096399650965816E-2</v>
      </c>
      <c r="X50" s="158">
        <f t="shared" si="32"/>
        <v>5.0642944376028086E-2</v>
      </c>
      <c r="Y50" s="158">
        <f t="shared" si="32"/>
        <v>5.0321892242398018E-2</v>
      </c>
      <c r="Z50" s="158">
        <f t="shared" si="32"/>
        <v>5.1285048840399042E-2</v>
      </c>
      <c r="AA50" s="158">
        <f t="shared" si="32"/>
        <v>5.0152045637088111E-2</v>
      </c>
      <c r="AB50" s="158">
        <f t="shared" si="32"/>
        <v>5.0802188177125215E-2</v>
      </c>
      <c r="AC50" s="158">
        <f t="shared" si="32"/>
        <v>4.9965629916597532E-2</v>
      </c>
      <c r="AD50" s="158">
        <f t="shared" si="32"/>
        <v>5.3199491419515667E-2</v>
      </c>
      <c r="AE50" s="158">
        <f t="shared" si="32"/>
        <v>5.5906128386130176E-2</v>
      </c>
      <c r="AF50" s="158">
        <f t="shared" si="32"/>
        <v>5.8165008039273512E-2</v>
      </c>
      <c r="AG50" s="158">
        <f t="shared" si="32"/>
        <v>6.0763263914837919E-2</v>
      </c>
      <c r="AH50" s="158">
        <f t="shared" si="32"/>
        <v>6.2203359450828451E-2</v>
      </c>
      <c r="AI50" s="158">
        <f t="shared" si="32"/>
        <v>6.3657831881193894E-2</v>
      </c>
      <c r="AJ50" s="158">
        <f t="shared" si="32"/>
        <v>6.6227269808097261E-2</v>
      </c>
      <c r="AK50" s="158">
        <f t="shared" si="32"/>
        <v>6.7044106193212147E-2</v>
      </c>
      <c r="AL50" s="158">
        <f t="shared" si="32"/>
        <v>6.7294819257221847E-2</v>
      </c>
      <c r="AM50" s="158">
        <f t="shared" si="32"/>
        <v>6.9254596737240021E-2</v>
      </c>
      <c r="AN50" s="158">
        <f t="shared" si="32"/>
        <v>6.1267683400615197E-2</v>
      </c>
      <c r="AO50" s="158">
        <f t="shared" si="32"/>
        <v>6.8648951248161019E-2</v>
      </c>
      <c r="AP50" s="158">
        <f t="shared" si="32"/>
        <v>6.9746605360091515E-2</v>
      </c>
      <c r="AQ50" s="158">
        <f t="shared" si="32"/>
        <v>7.1150676220728862E-2</v>
      </c>
      <c r="AR50" s="158">
        <f t="shared" si="32"/>
        <v>7.1266115598756202E-2</v>
      </c>
      <c r="AS50" s="158">
        <f t="shared" si="32"/>
        <v>7.2508587424511953E-2</v>
      </c>
      <c r="AT50" s="158">
        <f t="shared" si="32"/>
        <v>7.3303820617698273E-2</v>
      </c>
      <c r="AU50" s="158">
        <f t="shared" si="32"/>
        <v>7.4142780482199439E-2</v>
      </c>
      <c r="AV50" s="158">
        <f t="shared" si="32"/>
        <v>7.5310738107370295E-2</v>
      </c>
      <c r="AW50" s="158">
        <f t="shared" si="32"/>
        <v>7.5659950767160117E-2</v>
      </c>
      <c r="AX50" s="158">
        <f t="shared" si="32"/>
        <v>7.5077929667510451E-2</v>
      </c>
      <c r="AY50" s="158">
        <f t="shared" si="32"/>
        <v>7.5427142327300287E-2</v>
      </c>
      <c r="AZ50" s="158">
        <f t="shared" si="32"/>
        <v>7.5310738107370295E-2</v>
      </c>
      <c r="BA50" s="158">
        <f t="shared" si="32"/>
        <v>7.3321236882836163E-2</v>
      </c>
      <c r="BB50" s="158" t="e">
        <f t="shared" si="32"/>
        <v>#REF!</v>
      </c>
      <c r="BC50" s="158" t="e">
        <f t="shared" si="32"/>
        <v>#REF!</v>
      </c>
      <c r="BD50" s="158" t="e">
        <f t="shared" si="32"/>
        <v>#REF!</v>
      </c>
      <c r="BE50" s="158" t="e">
        <f t="shared" si="32"/>
        <v>#REF!</v>
      </c>
      <c r="BF50" s="158" t="e">
        <f t="shared" si="32"/>
        <v>#REF!</v>
      </c>
      <c r="BG50" s="158" t="e">
        <f t="shared" si="32"/>
        <v>#REF!</v>
      </c>
      <c r="BH50" s="158" t="e">
        <f t="shared" si="32"/>
        <v>#REF!</v>
      </c>
      <c r="BI50" s="158" t="e">
        <f t="shared" si="32"/>
        <v>#REF!</v>
      </c>
      <c r="BJ50" s="158" t="e">
        <f t="shared" si="32"/>
        <v>#REF!</v>
      </c>
      <c r="BK50" s="158" t="e">
        <f t="shared" si="32"/>
        <v>#REF!</v>
      </c>
      <c r="BL50" s="158" t="e">
        <f t="shared" si="32"/>
        <v>#REF!</v>
      </c>
      <c r="BM50" s="158" t="e">
        <f t="shared" si="32"/>
        <v>#REF!</v>
      </c>
      <c r="BN50" s="158" t="e">
        <f t="shared" si="32"/>
        <v>#REF!</v>
      </c>
      <c r="BP50" s="80"/>
    </row>
    <row r="51" spans="2:68" x14ac:dyDescent="0.2">
      <c r="BP51" s="123"/>
    </row>
    <row r="52" spans="2:68" ht="28" x14ac:dyDescent="0.35">
      <c r="B52" s="5" t="str">
        <f>'Cover Page'!$B$6</f>
        <v>Solea</v>
      </c>
    </row>
    <row r="53" spans="2:68" x14ac:dyDescent="0.2">
      <c r="B53" s="6" t="str">
        <f>UPPER("currently running: "&amp;CHOOSE(Scenarios!$C$8,Scenarios!$B$15,Scenarios!$B$16,Scenarios!$B$17)&amp;" Scenario")</f>
        <v>CURRENTLY RUNNING: BASE CASE SCENARIO</v>
      </c>
    </row>
    <row r="54" spans="2:68" x14ac:dyDescent="0.2">
      <c r="B54" s="6" t="s">
        <v>242</v>
      </c>
    </row>
    <row r="55" spans="2:68" x14ac:dyDescent="0.2">
      <c r="B55" s="9" t="s">
        <v>2</v>
      </c>
      <c r="C55" s="9" t="s">
        <v>240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68" x14ac:dyDescent="0.2">
      <c r="B56" s="10" t="s">
        <v>59</v>
      </c>
      <c r="C56" s="10"/>
      <c r="D56" s="10"/>
      <c r="E56" s="10"/>
      <c r="F56" s="11">
        <v>45808</v>
      </c>
      <c r="G56" s="11">
        <v>45838</v>
      </c>
      <c r="H56" s="11">
        <f t="shared" ref="H56" si="33">EOMONTH(EDATE(G56,1),0)</f>
        <v>45869</v>
      </c>
      <c r="I56" s="11">
        <f t="shared" ref="I56" si="34">EOMONTH(EDATE(H56,1),0)</f>
        <v>45900</v>
      </c>
      <c r="J56" s="11">
        <v>46022</v>
      </c>
      <c r="K56" s="11">
        <v>46387</v>
      </c>
      <c r="L56" s="11">
        <v>46752</v>
      </c>
      <c r="M56" s="11">
        <v>47118</v>
      </c>
    </row>
    <row r="58" spans="2:68" x14ac:dyDescent="0.2">
      <c r="B58" s="6" t="s">
        <v>243</v>
      </c>
    </row>
    <row r="59" spans="2:68" x14ac:dyDescent="0.2">
      <c r="B59" s="139" t="s">
        <v>244</v>
      </c>
      <c r="C59" t="s">
        <v>41</v>
      </c>
      <c r="J59" s="76">
        <f>N49</f>
        <v>-2068.2707775840681</v>
      </c>
      <c r="K59" s="76">
        <f>AA49</f>
        <v>90963.99700482958</v>
      </c>
      <c r="L59" s="76">
        <f>AN49</f>
        <v>142864.81668694684</v>
      </c>
      <c r="M59" s="76">
        <f>BA49</f>
        <v>259420.87776553299</v>
      </c>
      <c r="N59" s="123"/>
    </row>
    <row r="60" spans="2:68" x14ac:dyDescent="0.2">
      <c r="B60" s="140" t="s">
        <v>245</v>
      </c>
      <c r="C60" s="114" t="s">
        <v>41</v>
      </c>
      <c r="D60" s="114"/>
      <c r="E60" s="114"/>
      <c r="F60" s="114"/>
      <c r="G60" s="114"/>
      <c r="H60" s="114"/>
      <c r="I60" s="114"/>
      <c r="J60" s="121">
        <f>J142</f>
        <v>-147383.75473668327</v>
      </c>
      <c r="K60" s="121">
        <f t="shared" ref="K60:M60" si="35">K142</f>
        <v>46793.044426278982</v>
      </c>
      <c r="L60" s="121">
        <f t="shared" si="35"/>
        <v>-15333.325819743957</v>
      </c>
      <c r="M60" s="121">
        <f t="shared" si="35"/>
        <v>-736.766995097365</v>
      </c>
      <c r="N60" s="123"/>
      <c r="AN60" s="123"/>
      <c r="BO60" s="42"/>
    </row>
    <row r="61" spans="2:68" x14ac:dyDescent="0.2">
      <c r="B61" s="141" t="s">
        <v>246</v>
      </c>
      <c r="J61" s="76">
        <f>SUM(J59:J60)</f>
        <v>-149452.02551426733</v>
      </c>
      <c r="K61" s="76">
        <f t="shared" ref="K61:M61" si="36">SUM(K59:K60)</f>
        <v>137757.04143110855</v>
      </c>
      <c r="L61" s="76">
        <f t="shared" si="36"/>
        <v>127531.49086720288</v>
      </c>
      <c r="M61" s="76">
        <f t="shared" si="36"/>
        <v>258684.11077043563</v>
      </c>
      <c r="N61" s="123"/>
    </row>
    <row r="62" spans="2:68" x14ac:dyDescent="0.2">
      <c r="N62" s="123"/>
    </row>
    <row r="63" spans="2:68" x14ac:dyDescent="0.2">
      <c r="B63" s="6" t="s">
        <v>249</v>
      </c>
      <c r="N63" s="123"/>
    </row>
    <row r="64" spans="2:68" x14ac:dyDescent="0.2">
      <c r="B64" s="140" t="s">
        <v>250</v>
      </c>
      <c r="C64" s="114" t="s">
        <v>41</v>
      </c>
      <c r="D64" s="114"/>
      <c r="E64" s="114"/>
      <c r="F64" s="114"/>
      <c r="G64" s="114"/>
      <c r="H64" s="114"/>
      <c r="I64" s="114"/>
      <c r="J64" s="166">
        <v>0</v>
      </c>
      <c r="K64" s="166">
        <v>0</v>
      </c>
      <c r="L64" s="166">
        <v>0</v>
      </c>
      <c r="M64" s="166">
        <v>0</v>
      </c>
      <c r="N64" s="123"/>
    </row>
    <row r="65" spans="2:67" x14ac:dyDescent="0.2">
      <c r="B65" s="141" t="s">
        <v>251</v>
      </c>
      <c r="C65" s="6"/>
      <c r="D65" s="6"/>
      <c r="E65" s="6"/>
      <c r="F65" s="6"/>
      <c r="G65" s="6"/>
      <c r="H65" s="6"/>
      <c r="I65" s="6"/>
      <c r="J65" s="146">
        <v>0</v>
      </c>
      <c r="K65" s="146">
        <v>0</v>
      </c>
      <c r="L65" s="146">
        <v>0</v>
      </c>
      <c r="M65" s="146">
        <v>0</v>
      </c>
      <c r="N65" s="123"/>
    </row>
    <row r="66" spans="2:67" x14ac:dyDescent="0.2">
      <c r="N66" s="123"/>
    </row>
    <row r="67" spans="2:67" x14ac:dyDescent="0.2">
      <c r="B67" s="6" t="s">
        <v>252</v>
      </c>
      <c r="N67" s="123"/>
    </row>
    <row r="68" spans="2:67" x14ac:dyDescent="0.2">
      <c r="B68" s="139" t="s">
        <v>317</v>
      </c>
      <c r="C68" t="s">
        <v>41</v>
      </c>
      <c r="J68" s="39">
        <f>J152-J158</f>
        <v>1070.1754385964914</v>
      </c>
      <c r="N68" s="123"/>
    </row>
    <row r="69" spans="2:67" x14ac:dyDescent="0.2">
      <c r="B69" s="139" t="s">
        <v>356</v>
      </c>
      <c r="C69" t="s">
        <v>41</v>
      </c>
      <c r="J69" s="75">
        <f>'Production Funding'!G16</f>
        <v>380000</v>
      </c>
      <c r="K69" s="75">
        <f>-J157+K157</f>
        <v>-38000</v>
      </c>
      <c r="L69" s="75">
        <f t="shared" ref="L69:M69" si="37">-K157+L157</f>
        <v>-38000</v>
      </c>
      <c r="M69" s="75">
        <f t="shared" si="37"/>
        <v>-304000</v>
      </c>
      <c r="N69" s="123"/>
    </row>
    <row r="70" spans="2:67" x14ac:dyDescent="0.2">
      <c r="B70" s="140" t="s">
        <v>254</v>
      </c>
      <c r="C70" s="114" t="s">
        <v>41</v>
      </c>
      <c r="D70" s="114"/>
      <c r="E70" s="114"/>
      <c r="F70" s="114"/>
      <c r="G70" s="114"/>
      <c r="H70" s="114"/>
      <c r="I70" s="114"/>
      <c r="J70" s="166">
        <v>0</v>
      </c>
      <c r="K70" s="144">
        <f>K172</f>
        <v>-50030.198352656276</v>
      </c>
      <c r="L70" s="144">
        <f t="shared" ref="L70" si="38">L172</f>
        <v>-78575.649177820771</v>
      </c>
      <c r="M70" s="144">
        <f>M172</f>
        <v>-142681.48277104314</v>
      </c>
      <c r="N70" s="123"/>
    </row>
    <row r="71" spans="2:67" x14ac:dyDescent="0.2">
      <c r="B71" s="141" t="s">
        <v>256</v>
      </c>
      <c r="J71" s="223">
        <f>J70+J69+J68</f>
        <v>381070.17543859652</v>
      </c>
      <c r="K71" s="223">
        <f t="shared" ref="K71:M71" si="39">K70+K69</f>
        <v>-88030.198352656269</v>
      </c>
      <c r="L71" s="223">
        <f t="shared" si="39"/>
        <v>-116575.64917782077</v>
      </c>
      <c r="M71" s="223">
        <f t="shared" si="39"/>
        <v>-446681.48277104314</v>
      </c>
      <c r="N71" s="123"/>
    </row>
    <row r="72" spans="2:67" x14ac:dyDescent="0.2">
      <c r="N72" s="123"/>
    </row>
    <row r="73" spans="2:67" x14ac:dyDescent="0.2">
      <c r="B73" t="s">
        <v>257</v>
      </c>
      <c r="C73" t="s">
        <v>41</v>
      </c>
      <c r="J73" s="75">
        <f>J61+J65+J71</f>
        <v>231618.14992432919</v>
      </c>
      <c r="K73" s="75">
        <f>K61+K65+K71</f>
        <v>49726.843078452279</v>
      </c>
      <c r="L73" s="75">
        <f>L61+L65+L71</f>
        <v>10955.841689382112</v>
      </c>
      <c r="M73" s="75">
        <f t="shared" ref="M73" si="40">M61+M65+M71</f>
        <v>-187997.37200060752</v>
      </c>
      <c r="N73" s="123"/>
      <c r="BO73" s="167"/>
    </row>
    <row r="74" spans="2:67" x14ac:dyDescent="0.2">
      <c r="B74" s="114" t="s">
        <v>258</v>
      </c>
      <c r="C74" s="114" t="s">
        <v>41</v>
      </c>
      <c r="D74" s="114"/>
      <c r="E74" s="114"/>
      <c r="F74" s="114"/>
      <c r="G74" s="114"/>
      <c r="H74" s="114"/>
      <c r="I74" s="114"/>
      <c r="J74" s="166">
        <v>0</v>
      </c>
      <c r="K74" s="144">
        <f>J75</f>
        <v>231618.14992432919</v>
      </c>
      <c r="L74" s="144">
        <f t="shared" ref="L74:M74" si="41">K75</f>
        <v>281344.99300278147</v>
      </c>
      <c r="M74" s="144">
        <f t="shared" si="41"/>
        <v>292300.83469216357</v>
      </c>
      <c r="N74" s="123"/>
    </row>
    <row r="75" spans="2:67" x14ac:dyDescent="0.2">
      <c r="B75" s="6" t="s">
        <v>259</v>
      </c>
      <c r="C75" s="6" t="s">
        <v>48</v>
      </c>
      <c r="D75" s="6"/>
      <c r="E75" s="6"/>
      <c r="F75" s="6"/>
      <c r="G75" s="6"/>
      <c r="H75" s="6"/>
      <c r="I75" s="6"/>
      <c r="J75" s="223">
        <f>J74+J73</f>
        <v>231618.14992432919</v>
      </c>
      <c r="K75" s="223">
        <f>K74+K73</f>
        <v>281344.99300278147</v>
      </c>
      <c r="L75" s="223">
        <f>L74+L73</f>
        <v>292300.83469216357</v>
      </c>
      <c r="M75" s="223">
        <f t="shared" ref="M75" si="42">M74+M73</f>
        <v>104303.46269155605</v>
      </c>
      <c r="N75" s="123"/>
    </row>
    <row r="76" spans="2:67" x14ac:dyDescent="0.2">
      <c r="J76" s="111"/>
      <c r="K76" s="111"/>
      <c r="L76" s="111"/>
      <c r="M76" s="111"/>
    </row>
    <row r="77" spans="2:67" x14ac:dyDescent="0.2">
      <c r="B77" s="6" t="s">
        <v>264</v>
      </c>
      <c r="J77" s="111"/>
      <c r="K77" s="111"/>
      <c r="L77" s="111"/>
      <c r="M77" s="111"/>
    </row>
    <row r="78" spans="2:67" x14ac:dyDescent="0.2">
      <c r="B78" s="9" t="s">
        <v>2</v>
      </c>
      <c r="C78" s="9" t="s">
        <v>240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2:67" x14ac:dyDescent="0.2">
      <c r="B79" s="10" t="s">
        <v>59</v>
      </c>
      <c r="C79" s="10"/>
      <c r="D79" s="10"/>
      <c r="E79" s="10"/>
      <c r="F79" s="11">
        <v>45808</v>
      </c>
      <c r="G79" s="11">
        <v>45838</v>
      </c>
      <c r="H79" s="11">
        <f t="shared" ref="H79" si="43">EOMONTH(EDATE(G79,1),0)</f>
        <v>45869</v>
      </c>
      <c r="I79" s="11">
        <f t="shared" ref="I79" si="44">EOMONTH(EDATE(H79,1),0)</f>
        <v>45900</v>
      </c>
      <c r="J79" s="11">
        <v>46022</v>
      </c>
      <c r="K79" s="11">
        <v>46387</v>
      </c>
      <c r="L79" s="11">
        <v>46752</v>
      </c>
      <c r="M79" s="11">
        <v>47118</v>
      </c>
    </row>
    <row r="81" spans="2:13" x14ac:dyDescent="0.2">
      <c r="B81" s="6" t="s">
        <v>265</v>
      </c>
    </row>
    <row r="82" spans="2:13" x14ac:dyDescent="0.2">
      <c r="B82" s="139" t="s">
        <v>266</v>
      </c>
      <c r="C82" t="s">
        <v>41</v>
      </c>
      <c r="J82" s="75">
        <f>J75</f>
        <v>231618.14992432919</v>
      </c>
      <c r="K82" s="75">
        <f t="shared" ref="K82:M82" si="45">K75</f>
        <v>281344.99300278147</v>
      </c>
      <c r="L82" s="75">
        <f t="shared" si="45"/>
        <v>292300.83469216357</v>
      </c>
      <c r="M82" s="75">
        <f t="shared" si="45"/>
        <v>104303.46269155605</v>
      </c>
    </row>
    <row r="83" spans="2:13" x14ac:dyDescent="0.2">
      <c r="B83" s="139" t="s">
        <v>267</v>
      </c>
      <c r="C83" t="s">
        <v>41</v>
      </c>
      <c r="J83" s="75">
        <f>J134</f>
        <v>72593.588730258663</v>
      </c>
      <c r="K83" s="75">
        <f t="shared" ref="K83:M83" si="46">K134</f>
        <v>149076.5293724644</v>
      </c>
      <c r="L83" s="75">
        <f t="shared" si="46"/>
        <v>191655.91138017623</v>
      </c>
      <c r="M83" s="75">
        <f t="shared" si="46"/>
        <v>290011.56115523365</v>
      </c>
    </row>
    <row r="84" spans="2:13" x14ac:dyDescent="0.2">
      <c r="B84" s="139" t="s">
        <v>196</v>
      </c>
      <c r="C84" t="s">
        <v>41</v>
      </c>
      <c r="J84" s="75">
        <f>J136</f>
        <v>137656.2268151195</v>
      </c>
      <c r="K84" s="75">
        <f t="shared" ref="K84:M84" si="47">K136</f>
        <v>208686.92067964314</v>
      </c>
      <c r="L84" s="75">
        <f t="shared" si="47"/>
        <v>254588.09644094575</v>
      </c>
      <c r="M84" s="75">
        <f t="shared" si="47"/>
        <v>325478.61521506053</v>
      </c>
    </row>
    <row r="85" spans="2:13" x14ac:dyDescent="0.2">
      <c r="B85" s="139" t="s">
        <v>193</v>
      </c>
      <c r="C85" t="s">
        <v>41</v>
      </c>
      <c r="F85" s="114"/>
      <c r="G85" s="114"/>
      <c r="H85" s="114"/>
      <c r="I85" s="114"/>
      <c r="J85" s="168">
        <f>J137</f>
        <v>0</v>
      </c>
      <c r="K85" s="168">
        <f t="shared" ref="K85:M85" si="48">K137</f>
        <v>0</v>
      </c>
      <c r="L85" s="168">
        <f t="shared" si="48"/>
        <v>0</v>
      </c>
      <c r="M85" s="168">
        <f t="shared" si="48"/>
        <v>0</v>
      </c>
    </row>
    <row r="86" spans="2:13" x14ac:dyDescent="0.2">
      <c r="B86" s="141" t="s">
        <v>268</v>
      </c>
      <c r="C86" s="6" t="s">
        <v>48</v>
      </c>
      <c r="D86" s="6"/>
      <c r="E86" s="6"/>
      <c r="F86" s="6"/>
      <c r="G86" s="6"/>
      <c r="H86" s="6"/>
      <c r="I86" s="6"/>
      <c r="J86" s="109">
        <f>SUM(J82:J85)</f>
        <v>441867.96546970739</v>
      </c>
      <c r="K86" s="109">
        <f>SUM(K82:K85)</f>
        <v>639108.44305488898</v>
      </c>
      <c r="L86" s="109">
        <f t="shared" ref="L86:M86" si="49">SUM(L82:L85)</f>
        <v>738544.84251328558</v>
      </c>
      <c r="M86" s="109">
        <f t="shared" si="49"/>
        <v>719793.63906185026</v>
      </c>
    </row>
    <row r="88" spans="2:13" x14ac:dyDescent="0.2">
      <c r="B88" s="139" t="s">
        <v>269</v>
      </c>
      <c r="C88" t="s">
        <v>41</v>
      </c>
      <c r="F88" s="114"/>
      <c r="G88" s="114"/>
      <c r="H88" s="114"/>
      <c r="I88" s="114"/>
      <c r="J88" s="166">
        <v>0</v>
      </c>
      <c r="K88" s="166">
        <v>0</v>
      </c>
      <c r="L88" s="166">
        <v>0</v>
      </c>
      <c r="M88" s="166">
        <v>0</v>
      </c>
    </row>
    <row r="89" spans="2:13" x14ac:dyDescent="0.2">
      <c r="B89" s="141" t="s">
        <v>270</v>
      </c>
      <c r="C89" s="6" t="s">
        <v>48</v>
      </c>
      <c r="J89" s="146">
        <f>J88</f>
        <v>0</v>
      </c>
      <c r="K89" s="146">
        <f t="shared" ref="K89:M89" si="50">K88</f>
        <v>0</v>
      </c>
      <c r="L89" s="146">
        <f t="shared" si="50"/>
        <v>0</v>
      </c>
      <c r="M89" s="146">
        <f t="shared" si="50"/>
        <v>0</v>
      </c>
    </row>
    <row r="91" spans="2:13" ht="16" thickBot="1" x14ac:dyDescent="0.25">
      <c r="B91" s="6" t="s">
        <v>271</v>
      </c>
      <c r="C91" s="6" t="s">
        <v>48</v>
      </c>
      <c r="J91" s="230">
        <f>J89+J86</f>
        <v>441867.96546970739</v>
      </c>
      <c r="K91" s="230">
        <f t="shared" ref="K91:M91" si="51">K89+K86</f>
        <v>639108.44305488898</v>
      </c>
      <c r="L91" s="230">
        <f t="shared" si="51"/>
        <v>738544.84251328558</v>
      </c>
      <c r="M91" s="230">
        <f t="shared" si="51"/>
        <v>719793.63906185026</v>
      </c>
    </row>
    <row r="92" spans="2:13" ht="16" thickTop="1" x14ac:dyDescent="0.2"/>
    <row r="93" spans="2:13" x14ac:dyDescent="0.2">
      <c r="B93" s="6" t="s">
        <v>272</v>
      </c>
    </row>
    <row r="94" spans="2:13" x14ac:dyDescent="0.2">
      <c r="B94" s="139" t="s">
        <v>192</v>
      </c>
      <c r="C94" t="s">
        <v>41</v>
      </c>
      <c r="J94" s="75">
        <f>J135</f>
        <v>62866.060808694885</v>
      </c>
      <c r="K94" s="75">
        <f t="shared" ref="K94:M94" si="52">K135</f>
        <v>128586.36987085165</v>
      </c>
      <c r="L94" s="75">
        <f t="shared" si="52"/>
        <v>165159.98584548684</v>
      </c>
      <c r="M94" s="75">
        <f t="shared" si="52"/>
        <v>249414.68662252428</v>
      </c>
    </row>
    <row r="95" spans="2:13" x14ac:dyDescent="0.2">
      <c r="B95" s="139" t="s">
        <v>241</v>
      </c>
      <c r="C95" t="s">
        <v>41</v>
      </c>
      <c r="J95" s="39">
        <f>J138</f>
        <v>0</v>
      </c>
      <c r="K95" s="39">
        <f t="shared" ref="K95:M95" si="53">K138</f>
        <v>128586.36987085165</v>
      </c>
      <c r="L95" s="39">
        <f t="shared" si="53"/>
        <v>165159.98584548684</v>
      </c>
      <c r="M95" s="39">
        <f t="shared" si="53"/>
        <v>249414.68662252428</v>
      </c>
    </row>
    <row r="96" spans="2:13" x14ac:dyDescent="0.2">
      <c r="B96" s="139" t="s">
        <v>273</v>
      </c>
      <c r="C96" t="s">
        <v>41</v>
      </c>
      <c r="J96" s="168">
        <f>J139</f>
        <v>0</v>
      </c>
      <c r="K96" s="168">
        <f t="shared" ref="K96:M96" si="54">K139</f>
        <v>0</v>
      </c>
      <c r="L96" s="168">
        <f t="shared" si="54"/>
        <v>0</v>
      </c>
      <c r="M96" s="168">
        <f t="shared" si="54"/>
        <v>0</v>
      </c>
    </row>
    <row r="97" spans="2:69" x14ac:dyDescent="0.2">
      <c r="B97" s="141" t="s">
        <v>274</v>
      </c>
      <c r="C97" s="6" t="s">
        <v>48</v>
      </c>
      <c r="J97" s="75">
        <f>SUM(J94:J96)</f>
        <v>62866.060808694885</v>
      </c>
      <c r="K97" s="75">
        <f>SUM(K94:K96)</f>
        <v>257172.73974170329</v>
      </c>
      <c r="L97" s="75">
        <f t="shared" ref="L97:M97" si="55">SUM(L94:L96)</f>
        <v>330319.97169097367</v>
      </c>
      <c r="M97" s="75">
        <f t="shared" si="55"/>
        <v>498829.37324504857</v>
      </c>
    </row>
    <row r="99" spans="2:69" x14ac:dyDescent="0.2">
      <c r="B99" s="139" t="s">
        <v>275</v>
      </c>
      <c r="C99" t="s">
        <v>41</v>
      </c>
      <c r="J99" s="166">
        <v>0</v>
      </c>
      <c r="K99" s="166">
        <v>0</v>
      </c>
      <c r="L99" s="166">
        <v>0</v>
      </c>
      <c r="M99" s="166">
        <v>0</v>
      </c>
    </row>
    <row r="100" spans="2:69" x14ac:dyDescent="0.2">
      <c r="B100" s="141" t="s">
        <v>276</v>
      </c>
      <c r="C100" s="6" t="s">
        <v>48</v>
      </c>
      <c r="J100" s="146">
        <f>J99</f>
        <v>0</v>
      </c>
      <c r="K100" s="146">
        <f t="shared" ref="K100:M100" si="56">K99</f>
        <v>0</v>
      </c>
      <c r="L100" s="146">
        <f t="shared" si="56"/>
        <v>0</v>
      </c>
      <c r="M100" s="146">
        <f t="shared" si="56"/>
        <v>0</v>
      </c>
    </row>
    <row r="102" spans="2:69" x14ac:dyDescent="0.2">
      <c r="B102" s="141" t="s">
        <v>277</v>
      </c>
      <c r="C102" s="6" t="s">
        <v>48</v>
      </c>
      <c r="J102" s="130">
        <f>J100+J97</f>
        <v>62866.060808694885</v>
      </c>
      <c r="K102" s="130">
        <f t="shared" ref="K102:M102" si="57">K100+K97</f>
        <v>257172.73974170329</v>
      </c>
      <c r="L102" s="130">
        <f t="shared" si="57"/>
        <v>330319.97169097367</v>
      </c>
      <c r="M102" s="130">
        <f t="shared" si="57"/>
        <v>498829.37324504857</v>
      </c>
    </row>
    <row r="104" spans="2:69" x14ac:dyDescent="0.2">
      <c r="B104" s="139" t="s">
        <v>211</v>
      </c>
      <c r="C104" t="s">
        <v>41</v>
      </c>
      <c r="J104" s="75">
        <f>J154</f>
        <v>1403.5087719298249</v>
      </c>
      <c r="K104" s="75">
        <f t="shared" ref="K104:M104" si="58">K154</f>
        <v>1403.5087719298249</v>
      </c>
      <c r="L104" s="75">
        <f t="shared" si="58"/>
        <v>1403.5087719298249</v>
      </c>
      <c r="M104" s="75">
        <f t="shared" si="58"/>
        <v>1403.5087719298249</v>
      </c>
    </row>
    <row r="105" spans="2:69" x14ac:dyDescent="0.2">
      <c r="B105" s="139" t="s">
        <v>313</v>
      </c>
      <c r="C105" t="s">
        <v>41</v>
      </c>
      <c r="J105" s="75">
        <f>J159</f>
        <v>379666.66666666669</v>
      </c>
      <c r="K105" s="75">
        <f t="shared" ref="K105:M105" si="59">K159</f>
        <v>341666.66666666669</v>
      </c>
      <c r="L105" s="75">
        <f t="shared" si="59"/>
        <v>303666.66666666669</v>
      </c>
      <c r="M105" s="75">
        <f t="shared" si="59"/>
        <v>-333.33333333333343</v>
      </c>
    </row>
    <row r="106" spans="2:69" x14ac:dyDescent="0.2">
      <c r="B106" s="139" t="s">
        <v>220</v>
      </c>
      <c r="C106" t="s">
        <v>41</v>
      </c>
      <c r="J106" s="144">
        <f>J173</f>
        <v>-2068.2707775840681</v>
      </c>
      <c r="K106" s="144">
        <f t="shared" ref="K106:M106" si="60">K173</f>
        <v>38865.527874589236</v>
      </c>
      <c r="L106" s="144">
        <f t="shared" si="60"/>
        <v>103154.6953837153</v>
      </c>
      <c r="M106" s="144">
        <f t="shared" si="60"/>
        <v>219894.09037820512</v>
      </c>
    </row>
    <row r="107" spans="2:69" x14ac:dyDescent="0.2">
      <c r="B107" s="141" t="s">
        <v>278</v>
      </c>
      <c r="C107" s="6" t="s">
        <v>48</v>
      </c>
      <c r="J107" s="109">
        <f>SUM(J104:J106)</f>
        <v>379001.90466101246</v>
      </c>
      <c r="K107" s="109">
        <f t="shared" ref="K107:M107" si="61">SUM(K104:K106)</f>
        <v>381935.70331318578</v>
      </c>
      <c r="L107" s="109">
        <f t="shared" si="61"/>
        <v>408224.87082231184</v>
      </c>
      <c r="M107" s="109">
        <f t="shared" si="61"/>
        <v>220964.26581680161</v>
      </c>
    </row>
    <row r="108" spans="2:69" x14ac:dyDescent="0.2">
      <c r="B108" s="139"/>
      <c r="J108" s="75"/>
      <c r="K108" s="75"/>
      <c r="L108" s="75"/>
      <c r="M108" s="75"/>
    </row>
    <row r="109" spans="2:69" ht="16" thickBot="1" x14ac:dyDescent="0.25">
      <c r="B109" s="142" t="s">
        <v>279</v>
      </c>
      <c r="C109" s="6" t="s">
        <v>48</v>
      </c>
      <c r="J109" s="230">
        <f>J107+J102</f>
        <v>441867.96546970733</v>
      </c>
      <c r="K109" s="230">
        <f>K107+K102</f>
        <v>639108.4430548891</v>
      </c>
      <c r="L109" s="230">
        <f t="shared" ref="L109:M109" si="62">L107+L102</f>
        <v>738544.84251328558</v>
      </c>
      <c r="M109" s="230">
        <f t="shared" si="62"/>
        <v>719793.63906185015</v>
      </c>
      <c r="BA109" s="75"/>
      <c r="BB109" s="75">
        <f t="shared" ref="BB109:BN109" si="63">K104-L111</f>
        <v>1403.5087719298249</v>
      </c>
      <c r="BC109" s="75">
        <f t="shared" si="63"/>
        <v>1403.5087719298249</v>
      </c>
      <c r="BD109" s="75">
        <f t="shared" si="63"/>
        <v>1403.5087719298249</v>
      </c>
      <c r="BE109" s="75">
        <f t="shared" si="63"/>
        <v>0</v>
      </c>
      <c r="BF109" s="75">
        <f t="shared" si="63"/>
        <v>0</v>
      </c>
      <c r="BG109" s="75">
        <f t="shared" si="63"/>
        <v>0</v>
      </c>
      <c r="BH109" s="75">
        <f t="shared" si="63"/>
        <v>0</v>
      </c>
      <c r="BI109" s="75">
        <f t="shared" si="63"/>
        <v>0</v>
      </c>
      <c r="BJ109" s="75">
        <f t="shared" si="63"/>
        <v>0</v>
      </c>
      <c r="BK109" s="75">
        <f t="shared" si="63"/>
        <v>0</v>
      </c>
      <c r="BL109" s="75">
        <f t="shared" si="63"/>
        <v>0</v>
      </c>
      <c r="BM109" s="75">
        <f t="shared" si="63"/>
        <v>0</v>
      </c>
      <c r="BN109" s="75">
        <f t="shared" si="63"/>
        <v>0</v>
      </c>
      <c r="BO109" s="75"/>
      <c r="BP109" s="75"/>
      <c r="BQ109" s="75"/>
    </row>
    <row r="110" spans="2:69" ht="16" thickTop="1" x14ac:dyDescent="0.2">
      <c r="B110" s="142"/>
      <c r="C110" s="6"/>
      <c r="J110" s="231"/>
      <c r="K110" s="231"/>
      <c r="L110" s="231"/>
      <c r="M110" s="231"/>
    </row>
    <row r="111" spans="2:69" x14ac:dyDescent="0.2">
      <c r="B111" s="232" t="s">
        <v>280</v>
      </c>
      <c r="C111" s="119" t="s">
        <v>281</v>
      </c>
      <c r="J111" s="193">
        <f>J91-J109</f>
        <v>0</v>
      </c>
      <c r="K111" s="77">
        <f t="shared" ref="K111:M111" si="64">K91-K109</f>
        <v>0</v>
      </c>
      <c r="L111" s="77">
        <f t="shared" si="64"/>
        <v>0</v>
      </c>
      <c r="M111" s="77">
        <f t="shared" si="64"/>
        <v>0</v>
      </c>
    </row>
    <row r="112" spans="2:69" x14ac:dyDescent="0.2">
      <c r="K112" s="75"/>
      <c r="L112" s="75"/>
      <c r="M112" s="75"/>
    </row>
    <row r="113" spans="2:66" ht="28" x14ac:dyDescent="0.35">
      <c r="B113" s="5" t="str">
        <f>'Cover Page'!$B$6</f>
        <v>Solea</v>
      </c>
      <c r="L113" s="75">
        <f>L111-K111</f>
        <v>0</v>
      </c>
    </row>
    <row r="114" spans="2:66" x14ac:dyDescent="0.2">
      <c r="B114" s="6" t="str">
        <f>UPPER("currently running: "&amp;CHOOSE(Scenarios!$C$8,Scenarios!$B$15,Scenarios!$B$16,Scenarios!$B$17)&amp;" Scenario")</f>
        <v>CURRENTLY RUNNING: BASE CASE SCENARIO</v>
      </c>
    </row>
    <row r="115" spans="2:66" x14ac:dyDescent="0.2">
      <c r="B115" s="6" t="s">
        <v>182</v>
      </c>
    </row>
    <row r="116" spans="2:66" x14ac:dyDescent="0.2">
      <c r="B116" s="9" t="s">
        <v>2</v>
      </c>
      <c r="C116" s="9" t="s">
        <v>240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  <c r="AO116" s="216"/>
      <c r="AP116" s="216"/>
      <c r="AQ116" s="216"/>
      <c r="AR116" s="216"/>
      <c r="AS116" s="216"/>
      <c r="AT116" s="216"/>
      <c r="AU116" s="216"/>
      <c r="AV116" s="216"/>
      <c r="AW116" s="216"/>
      <c r="AX116" s="216"/>
      <c r="AY116" s="216"/>
      <c r="AZ116" s="216"/>
      <c r="BA116" s="216"/>
      <c r="BB116" s="216"/>
      <c r="BC116" s="216"/>
      <c r="BD116" s="216"/>
      <c r="BE116" s="216"/>
      <c r="BF116" s="216"/>
      <c r="BG116" s="216"/>
      <c r="BH116" s="216"/>
      <c r="BI116" s="216"/>
      <c r="BJ116" s="216"/>
      <c r="BK116" s="216"/>
      <c r="BL116" s="216"/>
      <c r="BM116" s="216"/>
      <c r="BN116" s="216"/>
    </row>
    <row r="117" spans="2:66" x14ac:dyDescent="0.2">
      <c r="B117" s="10" t="s">
        <v>59</v>
      </c>
      <c r="C117" s="10"/>
      <c r="D117" s="10"/>
      <c r="E117" s="10"/>
      <c r="F117" s="11">
        <v>45808</v>
      </c>
      <c r="G117" s="11">
        <v>45838</v>
      </c>
      <c r="H117" s="11">
        <f t="shared" ref="H117:I117" si="65">EOMONTH(EDATE(G117,1),0)</f>
        <v>45869</v>
      </c>
      <c r="I117" s="11">
        <f t="shared" si="65"/>
        <v>45900</v>
      </c>
      <c r="J117" s="11">
        <v>46022</v>
      </c>
      <c r="K117" s="11">
        <v>46387</v>
      </c>
      <c r="L117" s="11">
        <v>46752</v>
      </c>
      <c r="M117" s="11">
        <v>47118</v>
      </c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AB117" s="217"/>
      <c r="AC117" s="217"/>
      <c r="AD117" s="217"/>
      <c r="AE117" s="217"/>
      <c r="AF117" s="217"/>
      <c r="AG117" s="217"/>
      <c r="AH117" s="217"/>
      <c r="AI117" s="217"/>
      <c r="AJ117" s="217"/>
      <c r="AK117" s="217"/>
      <c r="AL117" s="217"/>
      <c r="AM117" s="217"/>
      <c r="AO117" s="217"/>
      <c r="AP117" s="217"/>
      <c r="AQ117" s="217"/>
      <c r="AR117" s="217"/>
      <c r="AS117" s="217"/>
      <c r="AT117" s="217"/>
      <c r="AU117" s="217"/>
      <c r="AV117" s="217"/>
      <c r="AW117" s="217"/>
      <c r="AX117" s="217"/>
      <c r="AY117" s="217"/>
      <c r="AZ117" s="217"/>
      <c r="BA117" s="216"/>
      <c r="BB117" s="217"/>
      <c r="BC117" s="217"/>
      <c r="BD117" s="217"/>
      <c r="BE117" s="217"/>
      <c r="BF117" s="217"/>
      <c r="BG117" s="217"/>
      <c r="BH117" s="217"/>
      <c r="BI117" s="217"/>
      <c r="BJ117" s="217"/>
      <c r="BK117" s="217"/>
      <c r="BL117" s="217"/>
      <c r="BM117" s="217"/>
      <c r="BN117" s="216"/>
    </row>
    <row r="119" spans="2:66" x14ac:dyDescent="0.2">
      <c r="B119" s="137" t="s">
        <v>43</v>
      </c>
      <c r="C119" s="138" t="s">
        <v>49</v>
      </c>
      <c r="D119" s="138"/>
      <c r="E119" s="138"/>
      <c r="F119" s="138"/>
      <c r="G119" s="138">
        <f>Assumptions!G215</f>
        <v>30</v>
      </c>
      <c r="H119" s="138">
        <f>Assumptions!H215</f>
        <v>31</v>
      </c>
      <c r="I119" s="138">
        <f>Assumptions!I215</f>
        <v>31</v>
      </c>
      <c r="J119" s="138">
        <f>_xlfn.DAYS(J117,"08/31/2025")</f>
        <v>122</v>
      </c>
      <c r="K119" s="138">
        <f>_xlfn.DAYS(K117,J117)</f>
        <v>365</v>
      </c>
      <c r="L119" s="138">
        <f t="shared" ref="L119:M119" si="66">_xlfn.DAYS(L117,K117)</f>
        <v>365</v>
      </c>
      <c r="M119" s="218">
        <f t="shared" si="66"/>
        <v>366</v>
      </c>
    </row>
    <row r="121" spans="2:66" x14ac:dyDescent="0.2">
      <c r="B121" s="6" t="s">
        <v>188</v>
      </c>
    </row>
    <row r="122" spans="2:66" x14ac:dyDescent="0.2">
      <c r="B122" s="139" t="s">
        <v>46</v>
      </c>
      <c r="C122" t="s">
        <v>41</v>
      </c>
      <c r="G122" s="76">
        <f>G17</f>
        <v>0</v>
      </c>
      <c r="H122" s="76">
        <f>H17</f>
        <v>0</v>
      </c>
      <c r="I122" s="76">
        <f>I17</f>
        <v>0</v>
      </c>
      <c r="J122" s="75">
        <f>N17</f>
        <v>295213.92750305193</v>
      </c>
      <c r="K122" s="75">
        <f>AA17</f>
        <v>1813764.4406983168</v>
      </c>
      <c r="L122" s="75">
        <f>AN17</f>
        <v>2331813.5884588109</v>
      </c>
      <c r="M122" s="75">
        <f>BA17</f>
        <v>3538141.0460938509</v>
      </c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</row>
    <row r="123" spans="2:66" x14ac:dyDescent="0.2">
      <c r="B123" s="139" t="s">
        <v>189</v>
      </c>
      <c r="C123" t="s">
        <v>41</v>
      </c>
      <c r="G123" s="76" t="e">
        <f>-G24</f>
        <v>#REF!</v>
      </c>
      <c r="H123" s="76" t="e">
        <f>-H24</f>
        <v>#REF!</v>
      </c>
      <c r="I123" s="76" t="e">
        <f>-I24</f>
        <v>#REF!</v>
      </c>
      <c r="J123" s="75">
        <f>-N24</f>
        <v>255655.31395535922</v>
      </c>
      <c r="K123" s="75">
        <f>-AA24</f>
        <v>1564467.5000953616</v>
      </c>
      <c r="L123" s="75">
        <f>-AN24</f>
        <v>2009446.4944534232</v>
      </c>
      <c r="M123" s="75">
        <f>-BA24</f>
        <v>3042859.1767947963</v>
      </c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</row>
    <row r="125" spans="2:66" x14ac:dyDescent="0.2">
      <c r="B125" s="6" t="s">
        <v>190</v>
      </c>
    </row>
    <row r="126" spans="2:66" x14ac:dyDescent="0.2">
      <c r="B126" s="139" t="s">
        <v>191</v>
      </c>
      <c r="C126" t="s">
        <v>49</v>
      </c>
      <c r="G126" s="24">
        <f>Assumptions!G231</f>
        <v>30</v>
      </c>
      <c r="H126" s="24">
        <f>Assumptions!H231</f>
        <v>30</v>
      </c>
      <c r="I126" s="24">
        <f>Assumptions!I231</f>
        <v>30</v>
      </c>
      <c r="J126" s="24">
        <f>Assumptions!N231</f>
        <v>30</v>
      </c>
      <c r="K126" s="24">
        <f>Assumptions!AA231</f>
        <v>30</v>
      </c>
      <c r="L126" s="24">
        <f>Assumptions!AN231</f>
        <v>30</v>
      </c>
      <c r="M126" s="24">
        <f>Assumptions!BA231</f>
        <v>30</v>
      </c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</row>
    <row r="127" spans="2:66" x14ac:dyDescent="0.2">
      <c r="B127" s="139" t="s">
        <v>192</v>
      </c>
      <c r="C127" t="s">
        <v>49</v>
      </c>
      <c r="G127" s="24">
        <f>Assumptions!G232</f>
        <v>30</v>
      </c>
      <c r="H127" s="24">
        <f>Assumptions!H232</f>
        <v>30</v>
      </c>
      <c r="I127" s="24">
        <f>Assumptions!I232</f>
        <v>30</v>
      </c>
      <c r="J127" s="24">
        <v>30</v>
      </c>
      <c r="K127" s="24">
        <f>J127</f>
        <v>30</v>
      </c>
      <c r="L127" s="24">
        <f t="shared" ref="L127:M127" si="67">K127</f>
        <v>30</v>
      </c>
      <c r="M127" s="24">
        <f t="shared" si="67"/>
        <v>30</v>
      </c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</row>
    <row r="128" spans="2:66" x14ac:dyDescent="0.2">
      <c r="B128" s="139" t="s">
        <v>196</v>
      </c>
      <c r="C128" t="s">
        <v>49</v>
      </c>
      <c r="G128" s="41">
        <f>Assumptions!G233</f>
        <v>0</v>
      </c>
      <c r="H128" s="41">
        <f>Assumptions!H233</f>
        <v>0</v>
      </c>
      <c r="I128" s="41">
        <f>Assumptions!I233</f>
        <v>0</v>
      </c>
      <c r="J128" s="41">
        <f>(AVERAGE(J136,E128)/J123)*365</f>
        <v>196.5322840748461</v>
      </c>
      <c r="K128" s="41">
        <f t="shared" ref="K128:M128" si="68">(AVERAGE(K136,F128)/K123)*365</f>
        <v>48.687956792599898</v>
      </c>
      <c r="L128" s="41">
        <f>(AVERAGE(L136,G128)/L123)*365</f>
        <v>23.121953099383482</v>
      </c>
      <c r="M128" s="41">
        <f t="shared" si="68"/>
        <v>19.521063521354783</v>
      </c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</row>
    <row r="129" spans="2:66" x14ac:dyDescent="0.2">
      <c r="B129" s="139" t="s">
        <v>193</v>
      </c>
      <c r="C129" t="s">
        <v>49</v>
      </c>
      <c r="G129" s="159">
        <f>Assumptions!G234</f>
        <v>30</v>
      </c>
      <c r="H129" s="159">
        <f>Assumptions!H234</f>
        <v>30</v>
      </c>
      <c r="I129" s="159">
        <f>Assumptions!I234</f>
        <v>30</v>
      </c>
      <c r="J129" s="159">
        <v>0</v>
      </c>
      <c r="K129" s="24">
        <v>0</v>
      </c>
      <c r="L129" s="24">
        <f t="shared" ref="L129:M130" si="69">K129</f>
        <v>0</v>
      </c>
      <c r="M129" s="24">
        <f t="shared" si="69"/>
        <v>0</v>
      </c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59"/>
      <c r="AM129" s="159"/>
      <c r="AO129" s="159"/>
      <c r="AP129" s="159"/>
      <c r="AQ129" s="159"/>
      <c r="AR129" s="159"/>
      <c r="AS129" s="159"/>
      <c r="AT129" s="159"/>
      <c r="AU129" s="159"/>
      <c r="AV129" s="159"/>
      <c r="AW129" s="159"/>
      <c r="AX129" s="159"/>
      <c r="AY129" s="159"/>
      <c r="AZ129" s="159"/>
      <c r="BB129" s="159"/>
      <c r="BC129" s="159"/>
      <c r="BD129" s="159"/>
      <c r="BE129" s="159"/>
      <c r="BF129" s="159"/>
      <c r="BG129" s="159"/>
      <c r="BH129" s="159"/>
      <c r="BI129" s="159"/>
      <c r="BJ129" s="159"/>
      <c r="BK129" s="159"/>
      <c r="BL129" s="159"/>
      <c r="BM129" s="159"/>
      <c r="BN129" s="159"/>
    </row>
    <row r="130" spans="2:66" x14ac:dyDescent="0.2">
      <c r="B130" s="139" t="s">
        <v>241</v>
      </c>
      <c r="C130" t="s">
        <v>49</v>
      </c>
      <c r="G130" s="159"/>
      <c r="H130" s="159"/>
      <c r="I130" s="159"/>
      <c r="J130" s="159">
        <v>0</v>
      </c>
      <c r="K130" s="24">
        <v>30</v>
      </c>
      <c r="L130" s="24">
        <f t="shared" si="69"/>
        <v>30</v>
      </c>
      <c r="M130" s="24">
        <f t="shared" si="69"/>
        <v>30</v>
      </c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O130" s="159"/>
      <c r="AP130" s="159"/>
      <c r="AQ130" s="159"/>
      <c r="AR130" s="159"/>
      <c r="AS130" s="159"/>
      <c r="AT130" s="159"/>
      <c r="AU130" s="159"/>
      <c r="AV130" s="159"/>
      <c r="AW130" s="159"/>
      <c r="AX130" s="159"/>
      <c r="AY130" s="159"/>
      <c r="AZ130" s="159"/>
      <c r="BB130" s="159"/>
      <c r="BC130" s="159"/>
      <c r="BD130" s="159"/>
      <c r="BE130" s="159"/>
      <c r="BF130" s="159"/>
      <c r="BG130" s="159"/>
      <c r="BH130" s="159"/>
      <c r="BI130" s="159"/>
      <c r="BJ130" s="159"/>
      <c r="BK130" s="159"/>
      <c r="BL130" s="159"/>
      <c r="BM130" s="159"/>
      <c r="BN130" s="159"/>
    </row>
    <row r="131" spans="2:66" x14ac:dyDescent="0.2">
      <c r="B131" s="139" t="s">
        <v>248</v>
      </c>
      <c r="C131" t="s">
        <v>13</v>
      </c>
      <c r="G131" s="159"/>
      <c r="H131" s="159"/>
      <c r="I131" s="159"/>
      <c r="J131" s="167">
        <v>0</v>
      </c>
      <c r="K131" s="167">
        <v>0</v>
      </c>
      <c r="L131" s="222">
        <f t="shared" ref="L131:M131" si="70">K131</f>
        <v>0</v>
      </c>
      <c r="M131" s="222">
        <f t="shared" si="70"/>
        <v>0</v>
      </c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O131" s="159"/>
      <c r="AP131" s="159"/>
      <c r="AQ131" s="159"/>
      <c r="AR131" s="159"/>
      <c r="AS131" s="159"/>
      <c r="AT131" s="159"/>
      <c r="AU131" s="159"/>
      <c r="AV131" s="159"/>
      <c r="AW131" s="159"/>
      <c r="AX131" s="159"/>
      <c r="AY131" s="159"/>
      <c r="AZ131" s="159"/>
      <c r="BB131" s="159"/>
      <c r="BC131" s="159"/>
      <c r="BD131" s="159"/>
      <c r="BE131" s="159"/>
      <c r="BF131" s="159"/>
      <c r="BG131" s="159"/>
      <c r="BH131" s="159"/>
      <c r="BI131" s="159"/>
      <c r="BJ131" s="159"/>
      <c r="BK131" s="159"/>
      <c r="BL131" s="159"/>
      <c r="BM131" s="159"/>
      <c r="BN131" s="159"/>
    </row>
    <row r="133" spans="2:66" x14ac:dyDescent="0.2">
      <c r="B133" s="6" t="s">
        <v>194</v>
      </c>
    </row>
    <row r="134" spans="2:66" x14ac:dyDescent="0.2">
      <c r="B134" s="139" t="s">
        <v>191</v>
      </c>
      <c r="C134" t="s">
        <v>41</v>
      </c>
      <c r="G134" s="75">
        <f t="shared" ref="G134:M134" si="71">G122/G119*G126</f>
        <v>0</v>
      </c>
      <c r="H134" s="75">
        <f t="shared" si="71"/>
        <v>0</v>
      </c>
      <c r="I134" s="75">
        <f t="shared" si="71"/>
        <v>0</v>
      </c>
      <c r="J134" s="219">
        <f>J122/J119*J126</f>
        <v>72593.588730258663</v>
      </c>
      <c r="K134" s="219">
        <f t="shared" si="71"/>
        <v>149076.5293724644</v>
      </c>
      <c r="L134" s="219">
        <f t="shared" si="71"/>
        <v>191655.91138017623</v>
      </c>
      <c r="M134" s="219">
        <f t="shared" si="71"/>
        <v>290011.56115523365</v>
      </c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</row>
    <row r="135" spans="2:66" x14ac:dyDescent="0.2">
      <c r="B135" s="139" t="s">
        <v>192</v>
      </c>
      <c r="C135" t="s">
        <v>41</v>
      </c>
      <c r="G135" s="75" t="e">
        <f t="shared" ref="G135:M135" si="72">G123/G119*G127</f>
        <v>#REF!</v>
      </c>
      <c r="H135" s="75" t="e">
        <f t="shared" si="72"/>
        <v>#REF!</v>
      </c>
      <c r="I135" s="75" t="e">
        <f t="shared" si="72"/>
        <v>#REF!</v>
      </c>
      <c r="J135" s="219">
        <f>J123/J119*J127</f>
        <v>62866.060808694885</v>
      </c>
      <c r="K135" s="219">
        <f t="shared" si="72"/>
        <v>128586.36987085165</v>
      </c>
      <c r="L135" s="219">
        <f t="shared" si="72"/>
        <v>165159.98584548684</v>
      </c>
      <c r="M135" s="219">
        <f t="shared" si="72"/>
        <v>249414.68662252428</v>
      </c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</row>
    <row r="136" spans="2:66" x14ac:dyDescent="0.2">
      <c r="B136" s="139" t="s">
        <v>196</v>
      </c>
      <c r="C136" t="s">
        <v>41</v>
      </c>
      <c r="E136" s="75">
        <f>Inventory!C126</f>
        <v>122740.36764659446</v>
      </c>
      <c r="G136" s="75" t="e">
        <f t="shared" ref="G136:I136" si="73">G123/G119*G128</f>
        <v>#REF!</v>
      </c>
      <c r="H136" s="75" t="e">
        <f t="shared" si="73"/>
        <v>#REF!</v>
      </c>
      <c r="I136" s="75" t="e">
        <f t="shared" si="73"/>
        <v>#REF!</v>
      </c>
      <c r="J136" s="270">
        <f>Inventory!C75</f>
        <v>137656.2268151195</v>
      </c>
      <c r="K136" s="219">
        <f>Inventory!D75</f>
        <v>208686.92067964314</v>
      </c>
      <c r="L136" s="219">
        <f>Inventory!E75</f>
        <v>254588.09644094575</v>
      </c>
      <c r="M136" s="219">
        <f>Inventory!F75</f>
        <v>325478.61521506053</v>
      </c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</row>
    <row r="137" spans="2:66" x14ac:dyDescent="0.2">
      <c r="B137" s="139" t="s">
        <v>193</v>
      </c>
      <c r="C137" t="s">
        <v>41</v>
      </c>
      <c r="G137" s="213">
        <f t="shared" ref="G137:M137" si="74">G122/G119*G129</f>
        <v>0</v>
      </c>
      <c r="H137" s="213">
        <f t="shared" si="74"/>
        <v>0</v>
      </c>
      <c r="I137" s="213">
        <f t="shared" si="74"/>
        <v>0</v>
      </c>
      <c r="J137" s="220">
        <f t="shared" si="74"/>
        <v>0</v>
      </c>
      <c r="K137" s="220">
        <f t="shared" si="74"/>
        <v>0</v>
      </c>
      <c r="L137" s="220">
        <f t="shared" si="74"/>
        <v>0</v>
      </c>
      <c r="M137" s="220">
        <f t="shared" si="74"/>
        <v>0</v>
      </c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  <c r="AZ137" s="155"/>
      <c r="BB137" s="155"/>
      <c r="BC137" s="155"/>
      <c r="BD137" s="155"/>
      <c r="BE137" s="155"/>
      <c r="BF137" s="155"/>
      <c r="BG137" s="155"/>
      <c r="BH137" s="155"/>
      <c r="BI137" s="155"/>
      <c r="BJ137" s="155"/>
      <c r="BK137" s="155"/>
      <c r="BL137" s="155"/>
      <c r="BM137" s="155"/>
      <c r="BN137" s="155"/>
    </row>
    <row r="138" spans="2:66" x14ac:dyDescent="0.2">
      <c r="B138" s="139" t="s">
        <v>241</v>
      </c>
      <c r="C138" t="s">
        <v>41</v>
      </c>
      <c r="G138" s="213"/>
      <c r="H138" s="213"/>
      <c r="I138" s="213"/>
      <c r="J138" s="220">
        <f>J123/J119*J130</f>
        <v>0</v>
      </c>
      <c r="K138" s="220">
        <f>K123/K119*K130</f>
        <v>128586.36987085165</v>
      </c>
      <c r="L138" s="220">
        <f t="shared" ref="L138:M138" si="75">L123/L119*L130</f>
        <v>165159.98584548684</v>
      </c>
      <c r="M138" s="220">
        <f t="shared" si="75"/>
        <v>249414.68662252428</v>
      </c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  <c r="AO138" s="155"/>
      <c r="AP138" s="155"/>
      <c r="AQ138" s="155"/>
      <c r="AR138" s="155"/>
      <c r="AS138" s="155"/>
      <c r="AT138" s="155"/>
      <c r="AU138" s="155"/>
      <c r="AV138" s="155"/>
      <c r="AW138" s="155"/>
      <c r="AX138" s="155"/>
      <c r="AY138" s="155"/>
      <c r="AZ138" s="155"/>
      <c r="BB138" s="155"/>
      <c r="BC138" s="155"/>
      <c r="BD138" s="155"/>
      <c r="BE138" s="155"/>
      <c r="BF138" s="155"/>
      <c r="BG138" s="155"/>
      <c r="BH138" s="155"/>
      <c r="BI138" s="155"/>
      <c r="BJ138" s="155"/>
      <c r="BK138" s="155"/>
      <c r="BL138" s="155"/>
      <c r="BM138" s="155"/>
      <c r="BN138" s="155"/>
    </row>
    <row r="139" spans="2:66" x14ac:dyDescent="0.2">
      <c r="B139" s="140" t="s">
        <v>247</v>
      </c>
      <c r="C139" s="114" t="s">
        <v>41</v>
      </c>
      <c r="D139" s="114"/>
      <c r="E139" s="114"/>
      <c r="F139" s="114"/>
      <c r="G139" s="115" t="e">
        <f>G124/G121*G133</f>
        <v>#DIV/0!</v>
      </c>
      <c r="H139" s="115" t="e">
        <f>H124/H121*H133</f>
        <v>#DIV/0!</v>
      </c>
      <c r="I139" s="115" t="e">
        <f>I124/I121*I133</f>
        <v>#DIV/0!</v>
      </c>
      <c r="J139" s="221">
        <f>J131*J122</f>
        <v>0</v>
      </c>
      <c r="K139" s="221">
        <f>K131*K122</f>
        <v>0</v>
      </c>
      <c r="L139" s="221">
        <f>L131*L122</f>
        <v>0</v>
      </c>
      <c r="M139" s="221">
        <f>M131*M122</f>
        <v>0</v>
      </c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  <c r="AO139" s="155"/>
      <c r="AP139" s="155"/>
      <c r="AQ139" s="155"/>
      <c r="AR139" s="155"/>
      <c r="AS139" s="155"/>
      <c r="AT139" s="155"/>
      <c r="AU139" s="155"/>
      <c r="AV139" s="155"/>
      <c r="AW139" s="155"/>
      <c r="AX139" s="155"/>
      <c r="AY139" s="155"/>
      <c r="AZ139" s="155"/>
      <c r="BB139" s="155"/>
      <c r="BC139" s="155"/>
      <c r="BD139" s="155"/>
      <c r="BE139" s="155"/>
      <c r="BF139" s="155"/>
      <c r="BG139" s="155"/>
      <c r="BH139" s="155"/>
      <c r="BI139" s="155"/>
      <c r="BJ139" s="155"/>
      <c r="BK139" s="155"/>
      <c r="BL139" s="155"/>
      <c r="BM139" s="155"/>
      <c r="BN139" s="155"/>
    </row>
    <row r="140" spans="2:66" x14ac:dyDescent="0.2">
      <c r="B140" s="142" t="s">
        <v>209</v>
      </c>
      <c r="C140" s="6" t="s">
        <v>48</v>
      </c>
      <c r="D140" s="6"/>
      <c r="E140" s="49"/>
      <c r="F140" s="6"/>
      <c r="G140" s="49" t="e">
        <f>G134+G136+G137-G135</f>
        <v>#REF!</v>
      </c>
      <c r="H140" s="49" t="e">
        <f>H134+H136+H137-H135</f>
        <v>#REF!</v>
      </c>
      <c r="I140" s="49" t="e">
        <f>I134+I136+I137-I135</f>
        <v>#REF!</v>
      </c>
      <c r="J140" s="49">
        <f>J134+J136+J137-J135-J139-J138</f>
        <v>147383.75473668327</v>
      </c>
      <c r="K140" s="49">
        <f>K134+K136+K137-K135-K139-K138</f>
        <v>100590.71031040429</v>
      </c>
      <c r="L140" s="49">
        <f t="shared" ref="L140" si="76">L134+L136+L137-L135-L139-L138</f>
        <v>115924.03613014825</v>
      </c>
      <c r="M140" s="49">
        <f>M134+M136+M137-M135-M139-M138</f>
        <v>116660.80312524561</v>
      </c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</row>
    <row r="142" spans="2:66" ht="16" thickBot="1" x14ac:dyDescent="0.25">
      <c r="B142" s="142" t="s">
        <v>210</v>
      </c>
      <c r="C142" s="6" t="s">
        <v>48</v>
      </c>
      <c r="H142" s="214" t="e">
        <f t="shared" ref="H142:I142" si="77">H140-G140</f>
        <v>#REF!</v>
      </c>
      <c r="I142" s="214" t="e">
        <f t="shared" si="77"/>
        <v>#REF!</v>
      </c>
      <c r="J142" s="214">
        <f>E140-J140</f>
        <v>-147383.75473668327</v>
      </c>
      <c r="K142" s="214">
        <f>J140-K140</f>
        <v>46793.044426278982</v>
      </c>
      <c r="L142" s="214">
        <f t="shared" ref="L142:M142" si="78">K140-L140</f>
        <v>-15333.325819743957</v>
      </c>
      <c r="M142" s="214">
        <f t="shared" si="78"/>
        <v>-736.766995097365</v>
      </c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  <c r="BI142" s="215"/>
      <c r="BJ142" s="215"/>
      <c r="BK142" s="215"/>
      <c r="BL142" s="215"/>
      <c r="BM142" s="215"/>
      <c r="BN142" s="215"/>
    </row>
    <row r="143" spans="2:66" ht="16" thickTop="1" x14ac:dyDescent="0.2"/>
    <row r="144" spans="2:66" ht="28" x14ac:dyDescent="0.35">
      <c r="B144" s="5" t="str">
        <f>'Cover Page'!$B$6</f>
        <v>Solea</v>
      </c>
    </row>
    <row r="145" spans="2:66" x14ac:dyDescent="0.2">
      <c r="B145" s="6" t="str">
        <f>UPPER("currently running: "&amp;CHOOSE(Scenarios!$C$8,Scenarios!$B$15,Scenarios!$B$16,Scenarios!$B$17)&amp;" Scenario")</f>
        <v>CURRENTLY RUNNING: BASE CASE SCENARIO</v>
      </c>
    </row>
    <row r="146" spans="2:66" x14ac:dyDescent="0.2">
      <c r="B146" s="6" t="s">
        <v>221</v>
      </c>
    </row>
    <row r="147" spans="2:66" x14ac:dyDescent="0.2">
      <c r="B147" s="9" t="s">
        <v>2</v>
      </c>
      <c r="C147" s="9" t="s">
        <v>240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6"/>
      <c r="AK147" s="216"/>
      <c r="AL147" s="216"/>
      <c r="AM147" s="216"/>
      <c r="AN147" s="216"/>
      <c r="AO147" s="216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216"/>
      <c r="BH147" s="216"/>
      <c r="BI147" s="216"/>
      <c r="BJ147" s="216"/>
      <c r="BK147" s="216"/>
      <c r="BL147" s="216"/>
      <c r="BM147" s="216"/>
      <c r="BN147" s="216"/>
    </row>
    <row r="148" spans="2:66" x14ac:dyDescent="0.2">
      <c r="B148" s="10" t="s">
        <v>59</v>
      </c>
      <c r="C148" s="10"/>
      <c r="D148" s="10"/>
      <c r="E148" s="10"/>
      <c r="F148" s="11">
        <v>45808</v>
      </c>
      <c r="G148" s="11">
        <v>45838</v>
      </c>
      <c r="H148" s="11">
        <f t="shared" ref="H148:I148" si="79">EOMONTH(EDATE(G148,1),0)</f>
        <v>45869</v>
      </c>
      <c r="I148" s="11">
        <f t="shared" si="79"/>
        <v>45900</v>
      </c>
      <c r="J148" s="10">
        <v>2025</v>
      </c>
      <c r="K148" s="10">
        <v>2026</v>
      </c>
      <c r="L148" s="10">
        <v>2027</v>
      </c>
      <c r="M148" s="10">
        <v>2028</v>
      </c>
      <c r="R148" s="217"/>
      <c r="S148" s="217"/>
      <c r="T148" s="217"/>
      <c r="U148" s="217"/>
      <c r="V148" s="217"/>
      <c r="W148" s="217"/>
      <c r="X148" s="217"/>
      <c r="Y148" s="217"/>
      <c r="Z148" s="217"/>
      <c r="AB148" s="217"/>
      <c r="AC148" s="217"/>
      <c r="AD148" s="217"/>
      <c r="AE148" s="217"/>
      <c r="AF148" s="217"/>
      <c r="AG148" s="217"/>
      <c r="AH148" s="217"/>
      <c r="AI148" s="217"/>
      <c r="AJ148" s="217"/>
      <c r="AK148" s="217"/>
      <c r="AL148" s="217"/>
      <c r="AM148" s="217"/>
      <c r="AO148" s="217"/>
      <c r="AP148" s="217"/>
      <c r="AQ148" s="217"/>
      <c r="AR148" s="217"/>
      <c r="AS148" s="217"/>
      <c r="AT148" s="217"/>
      <c r="AU148" s="217"/>
      <c r="AV148" s="217"/>
      <c r="AW148" s="217"/>
      <c r="AX148" s="217"/>
      <c r="AY148" s="217"/>
      <c r="AZ148" s="217"/>
      <c r="BB148" s="217">
        <f>EOMONTH(EDATE(AZ148,1),0)</f>
        <v>31</v>
      </c>
      <c r="BC148" s="217">
        <f>EOMONTH(EDATE(BB148,1),0)</f>
        <v>59</v>
      </c>
      <c r="BD148" s="217">
        <f t="shared" ref="BD148" si="80">EOMONTH(EDATE(BC148,1),0)</f>
        <v>91</v>
      </c>
      <c r="BE148" s="217">
        <f t="shared" ref="BE148" si="81">EOMONTH(EDATE(BD148,1),0)</f>
        <v>121</v>
      </c>
      <c r="BF148" s="217">
        <f t="shared" ref="BF148" si="82">EOMONTH(EDATE(BE148,1),0)</f>
        <v>152</v>
      </c>
      <c r="BG148" s="217">
        <f t="shared" ref="BG148" si="83">EOMONTH(EDATE(BF148,1),0)</f>
        <v>182</v>
      </c>
      <c r="BH148" s="217">
        <f t="shared" ref="BH148" si="84">EOMONTH(EDATE(BG148,1),0)</f>
        <v>213</v>
      </c>
      <c r="BI148" s="217">
        <f t="shared" ref="BI148" si="85">EOMONTH(EDATE(BH148,1),0)</f>
        <v>244</v>
      </c>
      <c r="BJ148" s="217">
        <f t="shared" ref="BJ148" si="86">EOMONTH(EDATE(BI148,1),0)</f>
        <v>274</v>
      </c>
      <c r="BK148" s="217">
        <f t="shared" ref="BK148" si="87">EOMONTH(EDATE(BJ148,1),0)</f>
        <v>305</v>
      </c>
      <c r="BL148" s="217">
        <f t="shared" ref="BL148" si="88">EOMONTH(EDATE(BK148,1),0)</f>
        <v>335</v>
      </c>
      <c r="BM148" s="217">
        <f t="shared" ref="BM148" si="89">EOMONTH(EDATE(BL148,1),0)</f>
        <v>366</v>
      </c>
      <c r="BN148" s="216">
        <v>2029</v>
      </c>
    </row>
    <row r="150" spans="2:66" x14ac:dyDescent="0.2">
      <c r="B150" s="6" t="s">
        <v>211</v>
      </c>
    </row>
    <row r="151" spans="2:66" x14ac:dyDescent="0.2">
      <c r="B151" s="139" t="s">
        <v>312</v>
      </c>
      <c r="C151" t="s">
        <v>41</v>
      </c>
      <c r="J151" s="244">
        <v>1E-4</v>
      </c>
    </row>
    <row r="152" spans="2:66" x14ac:dyDescent="0.2">
      <c r="B152" s="139" t="s">
        <v>212</v>
      </c>
      <c r="C152" t="s">
        <v>41</v>
      </c>
      <c r="G152" t="e">
        <f t="shared" ref="G152:H152" si="90">H152</f>
        <v>#REF!</v>
      </c>
      <c r="H152" t="e">
        <f t="shared" si="90"/>
        <v>#REF!</v>
      </c>
      <c r="I152" t="e">
        <f>#REF!</f>
        <v>#REF!</v>
      </c>
      <c r="J152" s="245">
        <f>J151*'Investor Returns'!D48</f>
        <v>1403.5087719298249</v>
      </c>
      <c r="K152" s="245">
        <f>J152</f>
        <v>1403.5087719298249</v>
      </c>
      <c r="L152" s="245">
        <f>K152</f>
        <v>1403.5087719298249</v>
      </c>
      <c r="M152" s="245">
        <f>L152</f>
        <v>1403.5087719298249</v>
      </c>
      <c r="BB152">
        <f>M152</f>
        <v>1403.5087719298249</v>
      </c>
      <c r="BC152">
        <f t="shared" ref="BC152:BN152" si="91">BB152</f>
        <v>1403.5087719298249</v>
      </c>
      <c r="BD152">
        <f t="shared" si="91"/>
        <v>1403.5087719298249</v>
      </c>
      <c r="BE152">
        <f t="shared" si="91"/>
        <v>1403.5087719298249</v>
      </c>
      <c r="BF152">
        <f t="shared" si="91"/>
        <v>1403.5087719298249</v>
      </c>
      <c r="BG152">
        <f t="shared" si="91"/>
        <v>1403.5087719298249</v>
      </c>
      <c r="BH152">
        <f t="shared" si="91"/>
        <v>1403.5087719298249</v>
      </c>
      <c r="BI152">
        <f t="shared" si="91"/>
        <v>1403.5087719298249</v>
      </c>
      <c r="BJ152">
        <f t="shared" si="91"/>
        <v>1403.5087719298249</v>
      </c>
      <c r="BK152">
        <f t="shared" si="91"/>
        <v>1403.5087719298249</v>
      </c>
      <c r="BL152">
        <f t="shared" si="91"/>
        <v>1403.5087719298249</v>
      </c>
      <c r="BM152">
        <f t="shared" si="91"/>
        <v>1403.5087719298249</v>
      </c>
      <c r="BN152">
        <f t="shared" si="91"/>
        <v>1403.5087719298249</v>
      </c>
    </row>
    <row r="153" spans="2:66" x14ac:dyDescent="0.2">
      <c r="B153" s="139" t="s">
        <v>213</v>
      </c>
      <c r="C153" t="s">
        <v>41</v>
      </c>
      <c r="G153" s="166">
        <v>0</v>
      </c>
      <c r="H153" s="166">
        <v>0</v>
      </c>
      <c r="I153" s="166">
        <v>0</v>
      </c>
      <c r="J153" s="166">
        <v>0</v>
      </c>
      <c r="K153" s="166">
        <v>0</v>
      </c>
      <c r="L153" s="166">
        <v>0</v>
      </c>
      <c r="M153" s="166">
        <v>0</v>
      </c>
      <c r="R153" s="146"/>
      <c r="S153" s="146"/>
      <c r="T153" s="146"/>
      <c r="U153" s="146"/>
      <c r="V153" s="146"/>
      <c r="W153" s="146"/>
      <c r="X153" s="146"/>
      <c r="Y153" s="146"/>
      <c r="Z153" s="146"/>
      <c r="AB153" s="146"/>
      <c r="AC153" s="146"/>
      <c r="AD153" s="146"/>
      <c r="AE153" s="146"/>
      <c r="AF153" s="146"/>
      <c r="AG153" s="146"/>
      <c r="AH153" s="146"/>
      <c r="AI153" s="146"/>
      <c r="AJ153" s="146"/>
      <c r="AK153" s="146"/>
      <c r="AL153" s="146"/>
      <c r="AM153" s="14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6"/>
      <c r="AY153" s="146"/>
      <c r="AZ153" s="146"/>
      <c r="BB153" s="146">
        <v>0</v>
      </c>
      <c r="BC153" s="146">
        <v>0</v>
      </c>
      <c r="BD153" s="146">
        <v>0</v>
      </c>
      <c r="BE153" s="146">
        <v>0</v>
      </c>
      <c r="BF153" s="146">
        <v>0</v>
      </c>
      <c r="BG153" s="146">
        <v>0</v>
      </c>
      <c r="BH153" s="146">
        <v>0</v>
      </c>
      <c r="BI153" s="146">
        <v>0</v>
      </c>
      <c r="BJ153" s="146">
        <v>0</v>
      </c>
      <c r="BK153" s="146">
        <v>0</v>
      </c>
      <c r="BL153" s="146">
        <v>0</v>
      </c>
      <c r="BM153" s="146">
        <v>0</v>
      </c>
      <c r="BN153" s="146">
        <v>0</v>
      </c>
    </row>
    <row r="154" spans="2:66" x14ac:dyDescent="0.2">
      <c r="B154" s="141" t="s">
        <v>214</v>
      </c>
      <c r="C154" s="6" t="s">
        <v>48</v>
      </c>
      <c r="D154" s="6"/>
      <c r="E154" s="6"/>
      <c r="F154" s="6"/>
      <c r="G154" s="6" t="e">
        <f>G153+G152</f>
        <v>#REF!</v>
      </c>
      <c r="H154" s="6" t="e">
        <f t="shared" ref="H154:BN154" si="92">H153+H152</f>
        <v>#REF!</v>
      </c>
      <c r="I154" s="6" t="e">
        <f t="shared" si="92"/>
        <v>#REF!</v>
      </c>
      <c r="J154" s="109">
        <f>J153+J152</f>
        <v>1403.5087719298249</v>
      </c>
      <c r="K154" s="109">
        <f>K153+K152</f>
        <v>1403.5087719298249</v>
      </c>
      <c r="L154" s="109">
        <f>L153+L152</f>
        <v>1403.5087719298249</v>
      </c>
      <c r="M154" s="109">
        <f>M153+M152</f>
        <v>1403.5087719298249</v>
      </c>
      <c r="R154" s="6"/>
      <c r="S154" s="6"/>
      <c r="T154" s="6"/>
      <c r="U154" s="6"/>
      <c r="V154" s="6"/>
      <c r="W154" s="6"/>
      <c r="X154" s="6"/>
      <c r="Y154" s="6"/>
      <c r="Z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B154" s="6">
        <f t="shared" si="92"/>
        <v>1403.5087719298249</v>
      </c>
      <c r="BC154" s="6">
        <f t="shared" si="92"/>
        <v>1403.5087719298249</v>
      </c>
      <c r="BD154" s="6">
        <f t="shared" si="92"/>
        <v>1403.5087719298249</v>
      </c>
      <c r="BE154" s="6">
        <f t="shared" si="92"/>
        <v>1403.5087719298249</v>
      </c>
      <c r="BF154" s="6">
        <f t="shared" si="92"/>
        <v>1403.5087719298249</v>
      </c>
      <c r="BG154" s="6">
        <f t="shared" si="92"/>
        <v>1403.5087719298249</v>
      </c>
      <c r="BH154" s="6">
        <f t="shared" si="92"/>
        <v>1403.5087719298249</v>
      </c>
      <c r="BI154" s="6">
        <f t="shared" si="92"/>
        <v>1403.5087719298249</v>
      </c>
      <c r="BJ154" s="6">
        <f t="shared" si="92"/>
        <v>1403.5087719298249</v>
      </c>
      <c r="BK154" s="6">
        <f t="shared" si="92"/>
        <v>1403.5087719298249</v>
      </c>
      <c r="BL154" s="6">
        <f t="shared" si="92"/>
        <v>1403.5087719298249</v>
      </c>
      <c r="BM154" s="6">
        <f t="shared" si="92"/>
        <v>1403.5087719298249</v>
      </c>
      <c r="BN154" s="6">
        <f t="shared" si="92"/>
        <v>1403.5087719298249</v>
      </c>
    </row>
    <row r="155" spans="2:66" x14ac:dyDescent="0.2">
      <c r="B155" s="141"/>
      <c r="C155" s="6"/>
      <c r="D155" s="6"/>
      <c r="E155" s="6"/>
      <c r="F155" s="6"/>
      <c r="G155" s="6"/>
      <c r="H155" s="6"/>
      <c r="I155" s="6"/>
      <c r="J155" s="109"/>
      <c r="K155" s="109"/>
      <c r="L155" s="109"/>
      <c r="M155" s="109"/>
      <c r="R155" s="6"/>
      <c r="S155" s="6"/>
      <c r="T155" s="6"/>
      <c r="U155" s="6"/>
      <c r="V155" s="6"/>
      <c r="W155" s="6"/>
      <c r="X155" s="6"/>
      <c r="Y155" s="6"/>
      <c r="Z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2:66" x14ac:dyDescent="0.2">
      <c r="B156" s="142" t="s">
        <v>313</v>
      </c>
      <c r="C156" s="6"/>
      <c r="D156" s="6"/>
      <c r="E156" s="6"/>
      <c r="F156" s="6"/>
      <c r="G156" s="6"/>
      <c r="H156" s="6"/>
      <c r="I156" s="6"/>
      <c r="J156" s="109"/>
      <c r="K156" s="109"/>
      <c r="L156" s="109"/>
      <c r="M156" s="109"/>
      <c r="R156" s="6"/>
      <c r="S156" s="6"/>
      <c r="T156" s="6"/>
      <c r="U156" s="6"/>
      <c r="V156" s="6"/>
      <c r="W156" s="6"/>
      <c r="X156" s="6"/>
      <c r="Y156" s="6"/>
      <c r="Z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2:66" x14ac:dyDescent="0.2">
      <c r="B157" s="139" t="s">
        <v>315</v>
      </c>
      <c r="C157" t="s">
        <v>41</v>
      </c>
      <c r="D157" s="6"/>
      <c r="E157" s="6"/>
      <c r="F157" s="6"/>
      <c r="G157" s="6"/>
      <c r="H157" s="6"/>
      <c r="I157" s="6"/>
      <c r="J157" s="75">
        <f>'Investor Returns'!D21</f>
        <v>380000</v>
      </c>
      <c r="K157" s="75">
        <f>J157-(K163*$J$165)</f>
        <v>342000</v>
      </c>
      <c r="L157" s="75">
        <f t="shared" ref="L157:M157" si="93">K157-(L163*$J$165)</f>
        <v>304000</v>
      </c>
      <c r="M157" s="75">
        <f t="shared" si="93"/>
        <v>0</v>
      </c>
      <c r="R157" s="6"/>
      <c r="S157" s="6"/>
      <c r="T157" s="6"/>
      <c r="U157" s="6"/>
      <c r="V157" s="6"/>
      <c r="W157" s="6"/>
      <c r="X157" s="6"/>
      <c r="Y157" s="6"/>
      <c r="Z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75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2:66" x14ac:dyDescent="0.2">
      <c r="B158" s="139" t="s">
        <v>312</v>
      </c>
      <c r="C158" t="s">
        <v>41</v>
      </c>
      <c r="D158" s="6"/>
      <c r="E158" s="6"/>
      <c r="F158" s="204"/>
      <c r="G158" s="204"/>
      <c r="H158" s="204"/>
      <c r="I158" s="204"/>
      <c r="J158" s="144">
        <f>J151*'Investor Returns'!D28</f>
        <v>333.33333333333343</v>
      </c>
      <c r="K158" s="144">
        <f>J158</f>
        <v>333.33333333333343</v>
      </c>
      <c r="L158" s="144">
        <f t="shared" ref="L158:M158" si="94">K158</f>
        <v>333.33333333333343</v>
      </c>
      <c r="M158" s="144">
        <f t="shared" si="94"/>
        <v>333.33333333333343</v>
      </c>
      <c r="R158" s="6"/>
      <c r="S158" s="6"/>
      <c r="T158" s="6"/>
      <c r="U158" s="6"/>
      <c r="V158" s="6"/>
      <c r="W158" s="6"/>
      <c r="X158" s="6"/>
      <c r="Y158" s="6"/>
      <c r="Z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2:66" x14ac:dyDescent="0.2">
      <c r="B159" s="141" t="s">
        <v>314</v>
      </c>
      <c r="C159" s="6" t="s">
        <v>48</v>
      </c>
      <c r="D159" s="6"/>
      <c r="E159" s="6"/>
      <c r="F159" s="6"/>
      <c r="G159" s="6"/>
      <c r="H159" s="6"/>
      <c r="I159" s="6"/>
      <c r="J159" s="109">
        <f>MAX(J157-J158,0)</f>
        <v>379666.66666666669</v>
      </c>
      <c r="K159" s="109">
        <f t="shared" ref="K159:M159" si="95">K157-K158</f>
        <v>341666.66666666669</v>
      </c>
      <c r="L159" s="109">
        <f t="shared" si="95"/>
        <v>303666.66666666669</v>
      </c>
      <c r="M159" s="109">
        <f t="shared" si="95"/>
        <v>-333.33333333333343</v>
      </c>
      <c r="R159" s="6"/>
      <c r="S159" s="6"/>
      <c r="T159" s="6"/>
      <c r="U159" s="6"/>
      <c r="V159" s="6"/>
      <c r="W159" s="6"/>
      <c r="X159" s="6"/>
      <c r="Y159" s="6"/>
      <c r="Z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2:66" x14ac:dyDescent="0.2">
      <c r="B160" s="141"/>
      <c r="C160" s="6"/>
      <c r="D160" s="6"/>
      <c r="E160" s="6"/>
      <c r="F160" s="6"/>
      <c r="G160" s="6"/>
      <c r="H160" s="6"/>
      <c r="I160" s="6"/>
      <c r="J160" s="109"/>
      <c r="K160" s="109"/>
      <c r="L160" s="109"/>
      <c r="M160" s="109"/>
      <c r="R160" s="6"/>
      <c r="S160" s="6"/>
      <c r="T160" s="6"/>
      <c r="U160" s="6"/>
      <c r="V160" s="6"/>
      <c r="W160" s="6"/>
      <c r="X160" s="6"/>
      <c r="Y160" s="6"/>
      <c r="Z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2:66" x14ac:dyDescent="0.2">
      <c r="B161" s="142" t="s">
        <v>316</v>
      </c>
      <c r="C161" s="6" t="s">
        <v>48</v>
      </c>
      <c r="D161" s="6"/>
      <c r="E161" s="6"/>
      <c r="F161" s="6"/>
      <c r="G161" s="6"/>
      <c r="H161" s="6"/>
      <c r="I161" s="6"/>
      <c r="J161" s="109">
        <f>J159+J154</f>
        <v>381070.17543859652</v>
      </c>
      <c r="K161" s="109">
        <f>K159+K154</f>
        <v>343070.17543859652</v>
      </c>
      <c r="L161" s="109">
        <f t="shared" ref="L161:M161" si="96">L159+L154</f>
        <v>305070.17543859652</v>
      </c>
      <c r="M161" s="109">
        <f t="shared" si="96"/>
        <v>1070.1754385964914</v>
      </c>
      <c r="R161" s="6"/>
      <c r="S161" s="6"/>
      <c r="T161" s="6"/>
      <c r="U161" s="6"/>
      <c r="V161" s="6"/>
      <c r="W161" s="6"/>
      <c r="X161" s="6"/>
      <c r="Y161" s="6"/>
      <c r="Z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2:66" x14ac:dyDescent="0.2">
      <c r="B162" s="141"/>
      <c r="C162" s="6"/>
      <c r="D162" s="6"/>
      <c r="E162" s="6"/>
      <c r="F162" s="6"/>
      <c r="G162" s="6"/>
      <c r="H162" s="6"/>
      <c r="I162" s="6"/>
      <c r="J162" s="109"/>
      <c r="K162" s="109"/>
      <c r="L162" s="109"/>
      <c r="M162" s="109"/>
      <c r="R162" s="6"/>
      <c r="S162" s="6"/>
      <c r="T162" s="6"/>
      <c r="U162" s="6"/>
      <c r="V162" s="6"/>
      <c r="W162" s="6"/>
      <c r="X162" s="6"/>
      <c r="Y162" s="6"/>
      <c r="Z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2:66" x14ac:dyDescent="0.2">
      <c r="B163" s="139" t="s">
        <v>388</v>
      </c>
      <c r="C163" t="s">
        <v>123</v>
      </c>
      <c r="G163" s="128" t="e">
        <f t="shared" ref="G163:H163" si="97">H163</f>
        <v>#REF!</v>
      </c>
      <c r="H163" s="128" t="e">
        <f t="shared" si="97"/>
        <v>#REF!</v>
      </c>
      <c r="I163" s="128" t="e">
        <f>#REF!</f>
        <v>#REF!</v>
      </c>
      <c r="J163" s="167">
        <v>0</v>
      </c>
      <c r="K163" s="167">
        <v>0.1</v>
      </c>
      <c r="L163" s="167">
        <v>0.1</v>
      </c>
      <c r="M163" s="222">
        <f>1-SUM(K163:L163)</f>
        <v>0.8</v>
      </c>
      <c r="N163" t="s">
        <v>362</v>
      </c>
      <c r="O163" t="s">
        <v>382</v>
      </c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3"/>
      <c r="AO163" s="128"/>
      <c r="AP163" s="128"/>
      <c r="AQ163" s="128"/>
      <c r="AR163" s="128"/>
      <c r="AS163" s="128"/>
      <c r="AT163" s="128"/>
      <c r="AU163" s="128"/>
      <c r="AV163" s="128"/>
      <c r="AW163" s="128"/>
      <c r="AX163" s="128"/>
      <c r="AY163" s="128"/>
      <c r="AZ163" s="128"/>
      <c r="BB163" s="128">
        <f t="shared" ref="BB163:BM163" si="98">AO163</f>
        <v>0</v>
      </c>
      <c r="BC163" s="128">
        <f t="shared" si="98"/>
        <v>0</v>
      </c>
      <c r="BD163" s="128">
        <f t="shared" si="98"/>
        <v>0</v>
      </c>
      <c r="BE163" s="128">
        <f t="shared" si="98"/>
        <v>0</v>
      </c>
      <c r="BF163" s="128">
        <f t="shared" si="98"/>
        <v>0</v>
      </c>
      <c r="BG163" s="128">
        <f t="shared" si="98"/>
        <v>0</v>
      </c>
      <c r="BH163" s="128">
        <f t="shared" si="98"/>
        <v>0</v>
      </c>
      <c r="BI163" s="128">
        <f t="shared" si="98"/>
        <v>0</v>
      </c>
      <c r="BJ163" s="128">
        <f t="shared" si="98"/>
        <v>0</v>
      </c>
      <c r="BK163" s="128">
        <f t="shared" si="98"/>
        <v>0</v>
      </c>
      <c r="BL163" s="128">
        <f t="shared" si="98"/>
        <v>0</v>
      </c>
      <c r="BM163" s="128">
        <f t="shared" si="98"/>
        <v>0</v>
      </c>
      <c r="BN163" s="128">
        <f>M163</f>
        <v>0.8</v>
      </c>
    </row>
    <row r="164" spans="2:66" x14ac:dyDescent="0.2">
      <c r="B164" s="139" t="s">
        <v>389</v>
      </c>
      <c r="C164" t="s">
        <v>123</v>
      </c>
      <c r="G164" s="128" t="e">
        <f t="shared" ref="G164" si="99">H164</f>
        <v>#REF!</v>
      </c>
      <c r="H164" s="128" t="e">
        <f t="shared" ref="H164" si="100">I164</f>
        <v>#REF!</v>
      </c>
      <c r="I164" s="128" t="e">
        <f>#REF!</f>
        <v>#REF!</v>
      </c>
      <c r="J164" s="167">
        <v>0</v>
      </c>
      <c r="K164" s="167">
        <v>0.55000000000000004</v>
      </c>
      <c r="L164" s="167">
        <v>0.55000000000000004</v>
      </c>
      <c r="M164" s="167">
        <v>0.55000000000000004</v>
      </c>
      <c r="AB164" s="128"/>
      <c r="AC164" s="128"/>
      <c r="AD164" s="128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3"/>
      <c r="AO164" s="128"/>
      <c r="AP164" s="128"/>
      <c r="AQ164" s="128"/>
      <c r="AR164" s="128"/>
      <c r="AS164" s="128"/>
      <c r="AT164" s="128"/>
      <c r="AU164" s="128"/>
      <c r="AV164" s="128"/>
      <c r="AW164" s="128"/>
      <c r="AX164" s="128"/>
      <c r="AY164" s="128"/>
      <c r="AZ164" s="128"/>
      <c r="BB164" s="128"/>
      <c r="BC164" s="128"/>
      <c r="BD164" s="128"/>
      <c r="BE164" s="128"/>
      <c r="BF164" s="128"/>
      <c r="BG164" s="128"/>
      <c r="BH164" s="128"/>
      <c r="BI164" s="128"/>
      <c r="BJ164" s="128"/>
      <c r="BK164" s="128"/>
      <c r="BL164" s="128"/>
      <c r="BM164" s="128"/>
      <c r="BN164" s="128"/>
    </row>
    <row r="165" spans="2:66" x14ac:dyDescent="0.2">
      <c r="B165" s="139" t="s">
        <v>255</v>
      </c>
      <c r="C165" t="s">
        <v>41</v>
      </c>
      <c r="G165" s="144" t="e">
        <f t="shared" ref="G165:I166" si="101">G49</f>
        <v>#REF!</v>
      </c>
      <c r="H165" s="144" t="e">
        <f t="shared" si="101"/>
        <v>#REF!</v>
      </c>
      <c r="I165" s="144" t="e">
        <f t="shared" si="101"/>
        <v>#REF!</v>
      </c>
      <c r="J165" s="75">
        <f>'Production Funding'!G16</f>
        <v>380000</v>
      </c>
      <c r="K165" s="75"/>
      <c r="L165" s="75"/>
      <c r="M165" s="75"/>
      <c r="R165" s="75"/>
      <c r="S165" s="75"/>
      <c r="T165" s="75"/>
      <c r="U165" s="75"/>
      <c r="V165" s="75"/>
      <c r="W165" s="75"/>
      <c r="X165" s="75"/>
      <c r="Y165" s="75"/>
      <c r="Z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B165" s="75" t="e">
        <f t="shared" ref="BB165:BN165" si="102">BB49</f>
        <v>#REF!</v>
      </c>
      <c r="BC165" s="75" t="e">
        <f t="shared" si="102"/>
        <v>#REF!</v>
      </c>
      <c r="BD165" s="75" t="e">
        <f t="shared" si="102"/>
        <v>#REF!</v>
      </c>
      <c r="BE165" s="75" t="e">
        <f t="shared" si="102"/>
        <v>#REF!</v>
      </c>
      <c r="BF165" s="75" t="e">
        <f t="shared" si="102"/>
        <v>#REF!</v>
      </c>
      <c r="BG165" s="75" t="e">
        <f t="shared" si="102"/>
        <v>#REF!</v>
      </c>
      <c r="BH165" s="75" t="e">
        <f t="shared" si="102"/>
        <v>#REF!</v>
      </c>
      <c r="BI165" s="75" t="e">
        <f t="shared" si="102"/>
        <v>#REF!</v>
      </c>
      <c r="BJ165" s="75" t="e">
        <f t="shared" si="102"/>
        <v>#REF!</v>
      </c>
      <c r="BK165" s="75" t="e">
        <f t="shared" si="102"/>
        <v>#REF!</v>
      </c>
      <c r="BL165" s="75" t="e">
        <f t="shared" si="102"/>
        <v>#REF!</v>
      </c>
      <c r="BM165" s="75" t="e">
        <f t="shared" si="102"/>
        <v>#REF!</v>
      </c>
      <c r="BN165" s="75" t="e">
        <f t="shared" si="102"/>
        <v>#REF!</v>
      </c>
    </row>
    <row r="166" spans="2:66" x14ac:dyDescent="0.2">
      <c r="B166" s="139" t="s">
        <v>180</v>
      </c>
      <c r="C166" t="s">
        <v>41</v>
      </c>
      <c r="G166" s="144" t="e">
        <f t="shared" si="101"/>
        <v>#REF!</v>
      </c>
      <c r="H166" s="144" t="e">
        <f t="shared" si="101"/>
        <v>#REF!</v>
      </c>
      <c r="I166" s="144" t="e">
        <f t="shared" si="101"/>
        <v>#REF!</v>
      </c>
      <c r="J166" s="144">
        <f>J171</f>
        <v>-2068.2707775840681</v>
      </c>
      <c r="K166" s="144">
        <f t="shared" ref="K166:L166" si="103">K171</f>
        <v>90963.99700482958</v>
      </c>
      <c r="L166" s="144">
        <f t="shared" si="103"/>
        <v>142864.81668694684</v>
      </c>
      <c r="M166" s="144">
        <f>M171</f>
        <v>259420.87776553299</v>
      </c>
      <c r="R166" s="75"/>
      <c r="S166" s="75"/>
      <c r="T166" s="75"/>
      <c r="U166" s="75"/>
      <c r="V166" s="75"/>
      <c r="W166" s="75"/>
      <c r="X166" s="75"/>
      <c r="Y166" s="75"/>
      <c r="Z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B166" s="75" t="e">
        <f t="shared" ref="BB166:BN166" si="104">BB50</f>
        <v>#REF!</v>
      </c>
      <c r="BC166" s="75" t="e">
        <f t="shared" si="104"/>
        <v>#REF!</v>
      </c>
      <c r="BD166" s="75" t="e">
        <f t="shared" si="104"/>
        <v>#REF!</v>
      </c>
      <c r="BE166" s="75" t="e">
        <f t="shared" si="104"/>
        <v>#REF!</v>
      </c>
      <c r="BF166" s="75" t="e">
        <f t="shared" si="104"/>
        <v>#REF!</v>
      </c>
      <c r="BG166" s="75" t="e">
        <f t="shared" si="104"/>
        <v>#REF!</v>
      </c>
      <c r="BH166" s="75" t="e">
        <f t="shared" si="104"/>
        <v>#REF!</v>
      </c>
      <c r="BI166" s="75" t="e">
        <f t="shared" si="104"/>
        <v>#REF!</v>
      </c>
      <c r="BJ166" s="75" t="e">
        <f t="shared" si="104"/>
        <v>#REF!</v>
      </c>
      <c r="BK166" s="75" t="e">
        <f t="shared" si="104"/>
        <v>#REF!</v>
      </c>
      <c r="BL166" s="75" t="e">
        <f t="shared" si="104"/>
        <v>#REF!</v>
      </c>
      <c r="BM166" s="75" t="e">
        <f t="shared" si="104"/>
        <v>#REF!</v>
      </c>
      <c r="BN166" s="75" t="e">
        <f t="shared" si="104"/>
        <v>#REF!</v>
      </c>
    </row>
    <row r="167" spans="2:66" s="6" customFormat="1" x14ac:dyDescent="0.2">
      <c r="B167" s="141" t="s">
        <v>219</v>
      </c>
      <c r="C167" s="6" t="s">
        <v>48</v>
      </c>
      <c r="G167" s="130" t="e">
        <f>MAX(G165*G163,0)</f>
        <v>#REF!</v>
      </c>
      <c r="H167" s="130" t="e">
        <f t="shared" ref="H167:BN167" si="105">MAX(H165*H163,0)</f>
        <v>#REF!</v>
      </c>
      <c r="I167" s="130" t="e">
        <f t="shared" si="105"/>
        <v>#REF!</v>
      </c>
      <c r="J167" s="130">
        <f>MAX(J165*J163,0)</f>
        <v>0</v>
      </c>
      <c r="K167" s="130">
        <f>(K164*K166)</f>
        <v>50030.198352656276</v>
      </c>
      <c r="L167" s="130">
        <f t="shared" ref="L167:M167" si="106">(L164*L166)</f>
        <v>78575.649177820771</v>
      </c>
      <c r="M167" s="130">
        <f t="shared" si="106"/>
        <v>142681.48277104314</v>
      </c>
      <c r="R167" s="209"/>
      <c r="S167" s="209"/>
      <c r="T167" s="209"/>
      <c r="U167" s="209"/>
      <c r="V167" s="209"/>
      <c r="W167" s="209"/>
      <c r="X167" s="209"/>
      <c r="Y167" s="209"/>
      <c r="Z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  <c r="AL167" s="209"/>
      <c r="AM167" s="209"/>
      <c r="AO167" s="209"/>
      <c r="AP167" s="209"/>
      <c r="AQ167" s="209"/>
      <c r="AR167" s="209"/>
      <c r="AS167" s="209"/>
      <c r="AT167" s="209"/>
      <c r="AU167" s="209"/>
      <c r="AV167" s="209"/>
      <c r="AW167" s="209"/>
      <c r="AX167" s="209"/>
      <c r="AY167" s="209"/>
      <c r="AZ167" s="209"/>
      <c r="BB167" s="209" t="e">
        <f t="shared" si="105"/>
        <v>#REF!</v>
      </c>
      <c r="BC167" s="209" t="e">
        <f t="shared" si="105"/>
        <v>#REF!</v>
      </c>
      <c r="BD167" s="209" t="e">
        <f t="shared" si="105"/>
        <v>#REF!</v>
      </c>
      <c r="BE167" s="209" t="e">
        <f t="shared" si="105"/>
        <v>#REF!</v>
      </c>
      <c r="BF167" s="209" t="e">
        <f t="shared" si="105"/>
        <v>#REF!</v>
      </c>
      <c r="BG167" s="209" t="e">
        <f t="shared" si="105"/>
        <v>#REF!</v>
      </c>
      <c r="BH167" s="209" t="e">
        <f t="shared" si="105"/>
        <v>#REF!</v>
      </c>
      <c r="BI167" s="209" t="e">
        <f t="shared" si="105"/>
        <v>#REF!</v>
      </c>
      <c r="BJ167" s="209" t="e">
        <f t="shared" si="105"/>
        <v>#REF!</v>
      </c>
      <c r="BK167" s="209" t="e">
        <f t="shared" si="105"/>
        <v>#REF!</v>
      </c>
      <c r="BL167" s="209" t="e">
        <f t="shared" si="105"/>
        <v>#REF!</v>
      </c>
      <c r="BM167" s="209" t="e">
        <f t="shared" si="105"/>
        <v>#REF!</v>
      </c>
      <c r="BN167" s="209" t="e">
        <f t="shared" si="105"/>
        <v>#REF!</v>
      </c>
    </row>
    <row r="169" spans="2:66" x14ac:dyDescent="0.2">
      <c r="B169" s="6" t="s">
        <v>220</v>
      </c>
      <c r="K169" s="39"/>
      <c r="L169" s="39"/>
      <c r="M169" s="39"/>
    </row>
    <row r="170" spans="2:66" x14ac:dyDescent="0.2">
      <c r="B170" s="139" t="s">
        <v>212</v>
      </c>
      <c r="C170" t="s">
        <v>41</v>
      </c>
      <c r="G170" s="146">
        <v>0</v>
      </c>
      <c r="H170" s="75" t="e">
        <f>G173</f>
        <v>#REF!</v>
      </c>
      <c r="I170" s="75" t="e">
        <f t="shared" ref="I170:BN170" si="107">H173</f>
        <v>#REF!</v>
      </c>
      <c r="J170" s="75"/>
      <c r="K170" s="75">
        <f>J173</f>
        <v>-2068.2707775840681</v>
      </c>
      <c r="L170" s="75">
        <f>K173</f>
        <v>38865.527874589236</v>
      </c>
      <c r="M170" s="75">
        <f>L173</f>
        <v>103154.6953837153</v>
      </c>
      <c r="R170" s="75"/>
      <c r="S170" s="75"/>
      <c r="T170" s="75"/>
      <c r="U170" s="75"/>
      <c r="V170" s="75"/>
      <c r="W170" s="75"/>
      <c r="X170" s="75"/>
      <c r="Y170" s="75"/>
      <c r="Z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B170" s="75">
        <f>M173</f>
        <v>219894.09037820512</v>
      </c>
      <c r="BC170" s="75" t="e">
        <f t="shared" si="107"/>
        <v>#REF!</v>
      </c>
      <c r="BD170" s="75" t="e">
        <f t="shared" si="107"/>
        <v>#REF!</v>
      </c>
      <c r="BE170" s="75" t="e">
        <f t="shared" si="107"/>
        <v>#REF!</v>
      </c>
      <c r="BF170" s="75" t="e">
        <f t="shared" si="107"/>
        <v>#REF!</v>
      </c>
      <c r="BG170" s="75" t="e">
        <f t="shared" si="107"/>
        <v>#REF!</v>
      </c>
      <c r="BH170" s="75" t="e">
        <f t="shared" si="107"/>
        <v>#REF!</v>
      </c>
      <c r="BI170" s="75" t="e">
        <f t="shared" si="107"/>
        <v>#REF!</v>
      </c>
      <c r="BJ170" s="75" t="e">
        <f t="shared" si="107"/>
        <v>#REF!</v>
      </c>
      <c r="BK170" s="75" t="e">
        <f t="shared" si="107"/>
        <v>#REF!</v>
      </c>
      <c r="BL170" s="75" t="e">
        <f t="shared" si="107"/>
        <v>#REF!</v>
      </c>
      <c r="BM170" s="75" t="e">
        <f t="shared" si="107"/>
        <v>#REF!</v>
      </c>
      <c r="BN170" s="75" t="e">
        <f t="shared" si="107"/>
        <v>#REF!</v>
      </c>
    </row>
    <row r="171" spans="2:66" x14ac:dyDescent="0.2">
      <c r="B171" s="139" t="s">
        <v>218</v>
      </c>
      <c r="C171" t="s">
        <v>41</v>
      </c>
      <c r="G171" s="75" t="e">
        <f>G49</f>
        <v>#REF!</v>
      </c>
      <c r="H171" s="75" t="e">
        <f>H49</f>
        <v>#REF!</v>
      </c>
      <c r="I171" s="75" t="e">
        <f>I49</f>
        <v>#REF!</v>
      </c>
      <c r="J171" s="75">
        <f>N49</f>
        <v>-2068.2707775840681</v>
      </c>
      <c r="K171" s="75">
        <f>AA49</f>
        <v>90963.99700482958</v>
      </c>
      <c r="L171" s="75">
        <f>AN49</f>
        <v>142864.81668694684</v>
      </c>
      <c r="M171" s="75">
        <f>BA49</f>
        <v>259420.87776553299</v>
      </c>
      <c r="R171" s="75"/>
      <c r="S171" s="75"/>
      <c r="T171" s="75"/>
      <c r="U171" s="75"/>
      <c r="V171" s="75"/>
      <c r="W171" s="75"/>
      <c r="X171" s="75"/>
      <c r="Y171" s="75"/>
      <c r="Z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B171" s="75" t="e">
        <f t="shared" ref="BB171:BN171" si="108">BB49</f>
        <v>#REF!</v>
      </c>
      <c r="BC171" s="75" t="e">
        <f t="shared" si="108"/>
        <v>#REF!</v>
      </c>
      <c r="BD171" s="75" t="e">
        <f t="shared" si="108"/>
        <v>#REF!</v>
      </c>
      <c r="BE171" s="75" t="e">
        <f t="shared" si="108"/>
        <v>#REF!</v>
      </c>
      <c r="BF171" s="75" t="e">
        <f t="shared" si="108"/>
        <v>#REF!</v>
      </c>
      <c r="BG171" s="75" t="e">
        <f t="shared" si="108"/>
        <v>#REF!</v>
      </c>
      <c r="BH171" s="75" t="e">
        <f t="shared" si="108"/>
        <v>#REF!</v>
      </c>
      <c r="BI171" s="75" t="e">
        <f t="shared" si="108"/>
        <v>#REF!</v>
      </c>
      <c r="BJ171" s="75" t="e">
        <f t="shared" si="108"/>
        <v>#REF!</v>
      </c>
      <c r="BK171" s="75" t="e">
        <f t="shared" si="108"/>
        <v>#REF!</v>
      </c>
      <c r="BL171" s="75" t="e">
        <f t="shared" si="108"/>
        <v>#REF!</v>
      </c>
      <c r="BM171" s="75" t="e">
        <f t="shared" si="108"/>
        <v>#REF!</v>
      </c>
      <c r="BN171" s="75" t="e">
        <f t="shared" si="108"/>
        <v>#REF!</v>
      </c>
    </row>
    <row r="172" spans="2:66" x14ac:dyDescent="0.2">
      <c r="B172" s="139" t="s">
        <v>219</v>
      </c>
      <c r="C172" t="s">
        <v>41</v>
      </c>
      <c r="G172" s="168" t="e">
        <f>-G167</f>
        <v>#REF!</v>
      </c>
      <c r="H172" s="168" t="e">
        <f t="shared" ref="H172:BN172" si="109">-H167</f>
        <v>#REF!</v>
      </c>
      <c r="I172" s="168" t="e">
        <f t="shared" si="109"/>
        <v>#REF!</v>
      </c>
      <c r="J172" s="168">
        <f>-J167</f>
        <v>0</v>
      </c>
      <c r="K172" s="168">
        <f>-K167</f>
        <v>-50030.198352656276</v>
      </c>
      <c r="L172" s="168">
        <f>-L167</f>
        <v>-78575.649177820771</v>
      </c>
      <c r="M172" s="168">
        <f>-M167</f>
        <v>-142681.48277104314</v>
      </c>
      <c r="R172" s="39"/>
      <c r="S172" s="39"/>
      <c r="T172" s="39"/>
      <c r="U172" s="39"/>
      <c r="V172" s="39"/>
      <c r="W172" s="39"/>
      <c r="X172" s="39"/>
      <c r="Y172" s="39"/>
      <c r="Z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B172" s="39" t="e">
        <f t="shared" si="109"/>
        <v>#REF!</v>
      </c>
      <c r="BC172" s="39" t="e">
        <f t="shared" si="109"/>
        <v>#REF!</v>
      </c>
      <c r="BD172" s="39" t="e">
        <f t="shared" si="109"/>
        <v>#REF!</v>
      </c>
      <c r="BE172" s="39" t="e">
        <f t="shared" si="109"/>
        <v>#REF!</v>
      </c>
      <c r="BF172" s="39" t="e">
        <f t="shared" si="109"/>
        <v>#REF!</v>
      </c>
      <c r="BG172" s="39" t="e">
        <f t="shared" si="109"/>
        <v>#REF!</v>
      </c>
      <c r="BH172" s="39" t="e">
        <f t="shared" si="109"/>
        <v>#REF!</v>
      </c>
      <c r="BI172" s="39" t="e">
        <f t="shared" si="109"/>
        <v>#REF!</v>
      </c>
      <c r="BJ172" s="39" t="e">
        <f t="shared" si="109"/>
        <v>#REF!</v>
      </c>
      <c r="BK172" s="39" t="e">
        <f t="shared" si="109"/>
        <v>#REF!</v>
      </c>
      <c r="BL172" s="39" t="e">
        <f t="shared" si="109"/>
        <v>#REF!</v>
      </c>
      <c r="BM172" s="39" t="e">
        <f t="shared" si="109"/>
        <v>#REF!</v>
      </c>
      <c r="BN172" s="39" t="e">
        <f t="shared" si="109"/>
        <v>#REF!</v>
      </c>
    </row>
    <row r="173" spans="2:66" x14ac:dyDescent="0.2">
      <c r="B173" s="141" t="s">
        <v>214</v>
      </c>
      <c r="C173" s="6" t="s">
        <v>48</v>
      </c>
      <c r="G173" s="75" t="e">
        <f>SUM(G170:G172)</f>
        <v>#REF!</v>
      </c>
      <c r="H173" s="75" t="e">
        <f t="shared" ref="H173:BN173" si="110">SUM(H170:H172)</f>
        <v>#REF!</v>
      </c>
      <c r="I173" s="75" t="e">
        <f t="shared" si="110"/>
        <v>#REF!</v>
      </c>
      <c r="J173" s="75">
        <f>SUM(J170:J172)</f>
        <v>-2068.2707775840681</v>
      </c>
      <c r="K173" s="75">
        <f t="shared" ref="K173:M173" si="111">SUM(K170:K172)</f>
        <v>38865.527874589236</v>
      </c>
      <c r="L173" s="75">
        <f t="shared" si="111"/>
        <v>103154.6953837153</v>
      </c>
      <c r="M173" s="75">
        <f t="shared" si="111"/>
        <v>219894.09037820512</v>
      </c>
      <c r="R173" s="75"/>
      <c r="S173" s="75"/>
      <c r="T173" s="75"/>
      <c r="U173" s="75"/>
      <c r="V173" s="75"/>
      <c r="W173" s="75"/>
      <c r="X173" s="75"/>
      <c r="Y173" s="75"/>
      <c r="Z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B173" s="75" t="e">
        <f t="shared" si="110"/>
        <v>#REF!</v>
      </c>
      <c r="BC173" s="75" t="e">
        <f t="shared" si="110"/>
        <v>#REF!</v>
      </c>
      <c r="BD173" s="75" t="e">
        <f t="shared" si="110"/>
        <v>#REF!</v>
      </c>
      <c r="BE173" s="75" t="e">
        <f t="shared" si="110"/>
        <v>#REF!</v>
      </c>
      <c r="BF173" s="75" t="e">
        <f t="shared" si="110"/>
        <v>#REF!</v>
      </c>
      <c r="BG173" s="75" t="e">
        <f t="shared" si="110"/>
        <v>#REF!</v>
      </c>
      <c r="BH173" s="75" t="e">
        <f t="shared" si="110"/>
        <v>#REF!</v>
      </c>
      <c r="BI173" s="75" t="e">
        <f t="shared" si="110"/>
        <v>#REF!</v>
      </c>
      <c r="BJ173" s="75" t="e">
        <f t="shared" si="110"/>
        <v>#REF!</v>
      </c>
      <c r="BK173" s="75" t="e">
        <f t="shared" si="110"/>
        <v>#REF!</v>
      </c>
      <c r="BL173" s="75" t="e">
        <f t="shared" si="110"/>
        <v>#REF!</v>
      </c>
      <c r="BM173" s="75" t="e">
        <f t="shared" si="110"/>
        <v>#REF!</v>
      </c>
      <c r="BN173" s="75" t="e">
        <f t="shared" si="110"/>
        <v>#REF!</v>
      </c>
    </row>
    <row r="177" spans="2:5" x14ac:dyDescent="0.2">
      <c r="B177" s="75"/>
      <c r="C177" s="39"/>
      <c r="D177" s="39"/>
      <c r="E177" s="39"/>
    </row>
    <row r="179" spans="2:5" x14ac:dyDescent="0.2">
      <c r="B179" s="35"/>
      <c r="D179" s="6"/>
    </row>
    <row r="182" spans="2:5" x14ac:dyDescent="0.2">
      <c r="B182" s="42"/>
    </row>
    <row r="183" spans="2:5" x14ac:dyDescent="0.2">
      <c r="D183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80B21-0F6F-4026-9A3F-D93C129F091B}">
  <dimension ref="B1:M20"/>
  <sheetViews>
    <sheetView showGridLines="0" topLeftCell="B1" workbookViewId="0">
      <selection activeCell="G18" sqref="G18"/>
    </sheetView>
  </sheetViews>
  <sheetFormatPr baseColWidth="10" defaultColWidth="8.83203125" defaultRowHeight="15" x14ac:dyDescent="0.2"/>
  <cols>
    <col min="2" max="2" width="41.33203125" bestFit="1" customWidth="1"/>
    <col min="3" max="3" width="18.83203125" bestFit="1" customWidth="1"/>
    <col min="4" max="4" width="23.6640625" bestFit="1" customWidth="1"/>
    <col min="5" max="5" width="24.5" bestFit="1" customWidth="1"/>
    <col min="6" max="6" width="27" bestFit="1" customWidth="1"/>
    <col min="7" max="7" width="22.83203125" bestFit="1" customWidth="1"/>
    <col min="8" max="8" width="25.6640625" bestFit="1" customWidth="1"/>
    <col min="9" max="9" width="10.5" bestFit="1" customWidth="1"/>
    <col min="10" max="10" width="11.33203125" bestFit="1" customWidth="1"/>
    <col min="11" max="11" width="28.33203125" bestFit="1" customWidth="1"/>
    <col min="12" max="12" width="11.33203125" bestFit="1" customWidth="1"/>
    <col min="15" max="15" width="22.83203125" bestFit="1" customWidth="1"/>
  </cols>
  <sheetData>
    <row r="1" spans="2:13" ht="28" x14ac:dyDescent="0.35">
      <c r="B1" s="5" t="str">
        <f>'Cover Page'!B6</f>
        <v>Solea</v>
      </c>
      <c r="C1" s="5"/>
    </row>
    <row r="2" spans="2:13" x14ac:dyDescent="0.2">
      <c r="B2" s="6" t="str">
        <f>UPPER("currently running: "&amp;CHOOSE(Scenarios!$C$8,Scenarios!B15,Scenarios!B16,Scenarios!B17)&amp;" Scenario")</f>
        <v>CURRENTLY RUNNING: BASE CASE SCENARIO</v>
      </c>
      <c r="C2" s="6"/>
    </row>
    <row r="3" spans="2:13" x14ac:dyDescent="0.2">
      <c r="B3" s="6"/>
      <c r="C3" s="6"/>
    </row>
    <row r="4" spans="2:13" x14ac:dyDescent="0.2">
      <c r="B4" s="6" t="s">
        <v>263</v>
      </c>
      <c r="C4" s="6"/>
    </row>
    <row r="5" spans="2:13" x14ac:dyDescent="0.2">
      <c r="B5" s="6"/>
      <c r="C5" s="6"/>
    </row>
    <row r="6" spans="2:13" x14ac:dyDescent="0.2">
      <c r="B6" s="132"/>
      <c r="C6" s="60" t="s">
        <v>223</v>
      </c>
      <c r="D6" s="60" t="s">
        <v>224</v>
      </c>
      <c r="E6" s="60" t="s">
        <v>319</v>
      </c>
      <c r="F6" s="60" t="s">
        <v>225</v>
      </c>
      <c r="G6" s="60" t="s">
        <v>226</v>
      </c>
    </row>
    <row r="7" spans="2:13" ht="6.75" customHeight="1" x14ac:dyDescent="0.2"/>
    <row r="8" spans="2:13" x14ac:dyDescent="0.2">
      <c r="B8" t="s">
        <v>6</v>
      </c>
      <c r="C8" s="76">
        <f>'Price Analysis'!$C$16</f>
        <v>13.260391191314776</v>
      </c>
      <c r="D8" s="194">
        <v>2</v>
      </c>
      <c r="E8" s="194">
        <v>2083</v>
      </c>
      <c r="F8" s="195">
        <f>E8*D8</f>
        <v>4166</v>
      </c>
      <c r="G8" s="163">
        <f>F8*C8</f>
        <v>55242.789703017355</v>
      </c>
      <c r="H8" s="123"/>
      <c r="J8">
        <f>G8/$G$12</f>
        <v>0.22988405814692264</v>
      </c>
      <c r="L8" s="42">
        <f>(H8*J8)+(H9*J9)+(H10*J10)+(H11*J11)</f>
        <v>0</v>
      </c>
      <c r="M8">
        <f>G12/G16</f>
        <v>0.63238731536333603</v>
      </c>
    </row>
    <row r="9" spans="2:13" x14ac:dyDescent="0.2">
      <c r="B9" t="s">
        <v>7</v>
      </c>
      <c r="C9" s="76">
        <f>'Price Analysis'!$C$17</f>
        <v>19.281658462659831</v>
      </c>
      <c r="D9" s="194">
        <v>2</v>
      </c>
      <c r="E9" s="194">
        <v>2083</v>
      </c>
      <c r="F9" s="195">
        <f t="shared" ref="F9:F10" si="0">E9*D9</f>
        <v>4166</v>
      </c>
      <c r="G9" s="163">
        <f>F9*C9</f>
        <v>80327.389155440847</v>
      </c>
      <c r="H9" s="123"/>
      <c r="J9">
        <f t="shared" ref="J9:J11" si="1">G9/$G$12</f>
        <v>0.33426961778491138</v>
      </c>
      <c r="L9">
        <v>6</v>
      </c>
      <c r="M9">
        <f>SUM(G13:G15)/G16</f>
        <v>0.35761924243802357</v>
      </c>
    </row>
    <row r="10" spans="2:13" x14ac:dyDescent="0.2">
      <c r="B10" t="s">
        <v>153</v>
      </c>
      <c r="C10" s="76">
        <f>'Price Analysis'!$C$18</f>
        <v>17.729268401127385</v>
      </c>
      <c r="D10" s="194">
        <v>2</v>
      </c>
      <c r="E10" s="194">
        <v>2083</v>
      </c>
      <c r="F10" s="195">
        <f t="shared" si="0"/>
        <v>4166</v>
      </c>
      <c r="G10" s="163">
        <f t="shared" ref="G10:G11" si="2">F10*C10</f>
        <v>73860.132159096684</v>
      </c>
      <c r="H10" s="123"/>
      <c r="J10">
        <f t="shared" si="1"/>
        <v>0.30735715931944996</v>
      </c>
    </row>
    <row r="11" spans="2:13" x14ac:dyDescent="0.2">
      <c r="B11" s="114" t="s">
        <v>154</v>
      </c>
      <c r="C11" s="121">
        <f>'Price Analysis'!$C$19</f>
        <v>10.292289606837606</v>
      </c>
      <c r="D11" s="196" t="s">
        <v>227</v>
      </c>
      <c r="E11" s="196" t="s">
        <v>227</v>
      </c>
      <c r="F11" s="197">
        <v>3000</v>
      </c>
      <c r="G11" s="198">
        <f t="shared" si="2"/>
        <v>30876.86882051282</v>
      </c>
      <c r="H11" s="123"/>
      <c r="J11">
        <f t="shared" si="1"/>
        <v>0.12848916474871605</v>
      </c>
      <c r="L11" s="42">
        <f>(M8*L8)+(L9*M9)</f>
        <v>2.1457154546281414</v>
      </c>
    </row>
    <row r="12" spans="2:13" x14ac:dyDescent="0.2">
      <c r="B12" s="6" t="s">
        <v>145</v>
      </c>
      <c r="C12" s="80"/>
      <c r="D12" s="199"/>
      <c r="E12" s="199"/>
      <c r="F12" s="251">
        <f>SUM(F8:F11)</f>
        <v>15498</v>
      </c>
      <c r="G12" s="200">
        <f>SUM(G8:G11)</f>
        <v>240307.17983806771</v>
      </c>
      <c r="H12" s="123"/>
    </row>
    <row r="13" spans="2:13" x14ac:dyDescent="0.2">
      <c r="B13" t="s">
        <v>73</v>
      </c>
      <c r="C13" s="76"/>
      <c r="D13" s="76"/>
      <c r="G13" s="249">
        <f>-SUM('Model '!N30:O33)</f>
        <v>11125</v>
      </c>
      <c r="H13" s="123"/>
    </row>
    <row r="14" spans="2:13" x14ac:dyDescent="0.2">
      <c r="B14" t="s">
        <v>261</v>
      </c>
      <c r="C14" s="76"/>
      <c r="D14" s="76"/>
      <c r="G14" s="249">
        <f>('Output '!Z191+'Output '!Z190)*12</f>
        <v>88724.235150738794</v>
      </c>
    </row>
    <row r="15" spans="2:13" x14ac:dyDescent="0.2">
      <c r="B15" t="s">
        <v>262</v>
      </c>
      <c r="C15" s="76"/>
      <c r="D15" s="76"/>
      <c r="G15" s="249">
        <f>C18*G12</f>
        <v>36046.076975710152</v>
      </c>
      <c r="H15" s="123"/>
    </row>
    <row r="16" spans="2:13" x14ac:dyDescent="0.2">
      <c r="B16" s="45" t="s">
        <v>228</v>
      </c>
      <c r="C16" s="45"/>
      <c r="D16" s="45"/>
      <c r="E16" s="45"/>
      <c r="F16" s="45"/>
      <c r="G16" s="133">
        <f>ROUNDUP(G13+G12+G14+G15,-4)</f>
        <v>380000</v>
      </c>
    </row>
    <row r="18" spans="2:7" x14ac:dyDescent="0.2">
      <c r="B18" s="227" t="s">
        <v>322</v>
      </c>
      <c r="C18" s="228">
        <v>0.15</v>
      </c>
      <c r="G18" s="77">
        <f>380000-SUM(G12:G14)</f>
        <v>39843.585011193529</v>
      </c>
    </row>
    <row r="20" spans="2:7" x14ac:dyDescent="0.2">
      <c r="G20" s="76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2D4F-2D6D-4D06-92BB-2B5467E7F4BD}">
  <dimension ref="B1:O81"/>
  <sheetViews>
    <sheetView showGridLines="0" topLeftCell="B69" zoomScale="91" workbookViewId="0">
      <selection activeCell="E11" sqref="E11"/>
    </sheetView>
  </sheetViews>
  <sheetFormatPr baseColWidth="10" defaultColWidth="8.83203125" defaultRowHeight="15" outlineLevelRow="1" x14ac:dyDescent="0.2"/>
  <cols>
    <col min="2" max="2" width="41.33203125" bestFit="1" customWidth="1"/>
    <col min="3" max="3" width="18.83203125" bestFit="1" customWidth="1"/>
    <col min="4" max="4" width="33.5" bestFit="1" customWidth="1"/>
    <col min="5" max="5" width="24.5" bestFit="1" customWidth="1"/>
    <col min="6" max="6" width="27" bestFit="1" customWidth="1"/>
    <col min="7" max="7" width="22.83203125" bestFit="1" customWidth="1"/>
    <col min="8" max="8" width="25.6640625" bestFit="1" customWidth="1"/>
    <col min="9" max="9" width="10.5" bestFit="1" customWidth="1"/>
    <col min="10" max="10" width="11.33203125" bestFit="1" customWidth="1"/>
    <col min="11" max="11" width="28.33203125" bestFit="1" customWidth="1"/>
    <col min="12" max="12" width="11.33203125" bestFit="1" customWidth="1"/>
    <col min="15" max="15" width="22.83203125" bestFit="1" customWidth="1"/>
  </cols>
  <sheetData>
    <row r="1" spans="2:15" ht="28" x14ac:dyDescent="0.35">
      <c r="B1" s="5" t="str">
        <f>'Cover Page'!B6</f>
        <v>Solea</v>
      </c>
      <c r="C1" s="5"/>
    </row>
    <row r="2" spans="2:15" x14ac:dyDescent="0.2">
      <c r="B2" s="6" t="str">
        <f>UPPER("currently running: "&amp;CHOOSE(Scenarios!$C$8,Scenarios!B15,Scenarios!B16,Scenarios!B17)&amp;" Scenario")</f>
        <v>CURRENTLY RUNNING: BASE CASE SCENARIO</v>
      </c>
      <c r="C2" s="6"/>
    </row>
    <row r="3" spans="2:15" x14ac:dyDescent="0.2">
      <c r="B3" s="6" t="s">
        <v>222</v>
      </c>
      <c r="C3" s="6"/>
    </row>
    <row r="4" spans="2:15" x14ac:dyDescent="0.2">
      <c r="B4" s="6"/>
      <c r="C4" s="6"/>
    </row>
    <row r="5" spans="2:15" x14ac:dyDescent="0.2">
      <c r="B5" s="6" t="s">
        <v>157</v>
      </c>
      <c r="G5" s="39"/>
      <c r="L5" s="124"/>
    </row>
    <row r="6" spans="2:15" x14ac:dyDescent="0.2">
      <c r="B6" s="10"/>
      <c r="C6" s="60" t="s">
        <v>148</v>
      </c>
      <c r="D6" s="60" t="s">
        <v>155</v>
      </c>
      <c r="E6" s="60"/>
      <c r="F6" s="60"/>
      <c r="G6" s="60"/>
      <c r="J6" s="42"/>
      <c r="L6" s="124"/>
      <c r="O6" s="42" t="e">
        <f>0.015*#REF!</f>
        <v>#REF!</v>
      </c>
    </row>
    <row r="7" spans="2:15" x14ac:dyDescent="0.2">
      <c r="B7" t="s">
        <v>6</v>
      </c>
      <c r="C7" s="38">
        <v>0.2727272828752485</v>
      </c>
      <c r="D7" s="135">
        <v>2250.0001151161018</v>
      </c>
      <c r="E7" s="44"/>
      <c r="G7" s="39"/>
      <c r="J7" s="76"/>
      <c r="L7" s="124"/>
    </row>
    <row r="8" spans="2:15" x14ac:dyDescent="0.2">
      <c r="B8" t="s">
        <v>7</v>
      </c>
      <c r="C8" s="38">
        <v>0.36363635856237575</v>
      </c>
      <c r="D8" s="135">
        <v>3000</v>
      </c>
      <c r="E8" s="44"/>
      <c r="L8" s="125"/>
      <c r="M8" s="125"/>
    </row>
    <row r="9" spans="2:15" x14ac:dyDescent="0.2">
      <c r="B9" t="s">
        <v>121</v>
      </c>
      <c r="C9" s="38">
        <v>0.18181817928118787</v>
      </c>
      <c r="D9" s="135">
        <v>1500</v>
      </c>
      <c r="E9" s="44"/>
      <c r="J9" s="101"/>
    </row>
    <row r="10" spans="2:15" x14ac:dyDescent="0.2">
      <c r="B10" t="s">
        <v>122</v>
      </c>
      <c r="C10" s="38">
        <v>0.18181817928118787</v>
      </c>
      <c r="D10" s="135">
        <v>1500</v>
      </c>
      <c r="E10" s="44"/>
    </row>
    <row r="11" spans="2:15" x14ac:dyDescent="0.2">
      <c r="B11" s="6" t="s">
        <v>145</v>
      </c>
      <c r="C11" s="129">
        <f>SUM(C7:C10)</f>
        <v>1</v>
      </c>
      <c r="D11" s="131">
        <f>SUM(D7:D10)</f>
        <v>8250.0001151161014</v>
      </c>
      <c r="E11" s="131"/>
    </row>
    <row r="12" spans="2:15" x14ac:dyDescent="0.2">
      <c r="B12" s="6"/>
      <c r="C12" s="129"/>
      <c r="D12" s="131"/>
    </row>
    <row r="13" spans="2:15" x14ac:dyDescent="0.2">
      <c r="B13" s="6" t="s">
        <v>158</v>
      </c>
      <c r="J13" s="123"/>
    </row>
    <row r="14" spans="2:15" x14ac:dyDescent="0.2">
      <c r="B14" s="132" t="s">
        <v>150</v>
      </c>
      <c r="C14" s="60" t="s">
        <v>201</v>
      </c>
      <c r="D14" s="60" t="s">
        <v>392</v>
      </c>
      <c r="E14" s="60" t="s">
        <v>202</v>
      </c>
      <c r="F14" s="60" t="s">
        <v>203</v>
      </c>
      <c r="G14" s="60" t="s">
        <v>197</v>
      </c>
    </row>
    <row r="15" spans="2:15" ht="6.75" customHeight="1" x14ac:dyDescent="0.2"/>
    <row r="16" spans="2:15" x14ac:dyDescent="0.2">
      <c r="B16" t="s">
        <v>6</v>
      </c>
      <c r="C16" s="193">
        <f>D40</f>
        <v>13.260391191314776</v>
      </c>
      <c r="D16" s="76">
        <f>C16+($C$81/(1-$C$77))</f>
        <v>13.667141346774027</v>
      </c>
      <c r="E16" s="95">
        <f>D16-C16</f>
        <v>0.40675015545925142</v>
      </c>
      <c r="F16" s="163">
        <f>Scenarios!N22</f>
        <v>2.5</v>
      </c>
      <c r="G16" s="163">
        <f>F16+C16</f>
        <v>15.760391191314776</v>
      </c>
      <c r="H16" s="123"/>
    </row>
    <row r="17" spans="2:12" x14ac:dyDescent="0.2">
      <c r="B17" t="s">
        <v>7</v>
      </c>
      <c r="C17" s="193">
        <f>D51</f>
        <v>19.281658462659831</v>
      </c>
      <c r="D17" s="76">
        <f>C17+($C$81/(1-$C$77))</f>
        <v>19.688408618119084</v>
      </c>
      <c r="E17" s="95">
        <f t="shared" ref="E17:E19" si="0">D17-C17</f>
        <v>0.40675015545925319</v>
      </c>
      <c r="F17" s="163">
        <f>Scenarios!N30</f>
        <v>2.5</v>
      </c>
      <c r="G17" s="163">
        <f t="shared" ref="G17:G19" si="1">F17+C17</f>
        <v>21.781658462659831</v>
      </c>
      <c r="H17" s="123"/>
    </row>
    <row r="18" spans="2:12" x14ac:dyDescent="0.2">
      <c r="B18" t="s">
        <v>153</v>
      </c>
      <c r="C18" s="193">
        <f>D62</f>
        <v>17.729268401127385</v>
      </c>
      <c r="D18" s="76">
        <f t="shared" ref="D18:D19" si="2">C18+($C$81/(1-$C$77))</f>
        <v>18.136018556586638</v>
      </c>
      <c r="E18" s="95">
        <f t="shared" si="0"/>
        <v>0.40675015545925319</v>
      </c>
      <c r="F18" s="163">
        <f>Scenarios!N36</f>
        <v>2.5</v>
      </c>
      <c r="G18" s="163">
        <f t="shared" si="1"/>
        <v>20.229268401127385</v>
      </c>
      <c r="H18" s="123"/>
    </row>
    <row r="19" spans="2:12" x14ac:dyDescent="0.2">
      <c r="B19" t="s">
        <v>154</v>
      </c>
      <c r="C19" s="193">
        <f>D73</f>
        <v>10.292289606837606</v>
      </c>
      <c r="D19" s="76">
        <f t="shared" si="2"/>
        <v>10.699039762296858</v>
      </c>
      <c r="E19" s="95">
        <f t="shared" si="0"/>
        <v>0.40675015545925142</v>
      </c>
      <c r="F19" s="163">
        <f>Scenarios!N42</f>
        <v>2.5</v>
      </c>
      <c r="G19" s="163">
        <f t="shared" si="1"/>
        <v>12.792289606837606</v>
      </c>
      <c r="H19" s="123"/>
    </row>
    <row r="20" spans="2:12" x14ac:dyDescent="0.2">
      <c r="C20" s="76"/>
      <c r="D20" s="76"/>
    </row>
    <row r="21" spans="2:12" hidden="1" x14ac:dyDescent="0.2">
      <c r="B21" s="6" t="s">
        <v>160</v>
      </c>
      <c r="C21" s="76"/>
      <c r="D21" s="76"/>
    </row>
    <row r="22" spans="2:12" hidden="1" x14ac:dyDescent="0.2">
      <c r="B22" s="132" t="s">
        <v>149</v>
      </c>
      <c r="C22" s="60" t="s">
        <v>46</v>
      </c>
      <c r="D22" s="60" t="s">
        <v>161</v>
      </c>
      <c r="E22" s="60" t="s">
        <v>162</v>
      </c>
      <c r="F22" s="60" t="s">
        <v>73</v>
      </c>
      <c r="G22" s="60" t="s">
        <v>181</v>
      </c>
      <c r="I22" s="169"/>
    </row>
    <row r="23" spans="2:12" ht="6" hidden="1" customHeight="1" x14ac:dyDescent="0.2">
      <c r="C23" s="76"/>
      <c r="D23" s="76"/>
    </row>
    <row r="24" spans="2:12" hidden="1" x14ac:dyDescent="0.2">
      <c r="B24" t="s">
        <v>6</v>
      </c>
      <c r="C24" s="75">
        <f>G16*D7</f>
        <v>35460.881994733041</v>
      </c>
      <c r="D24" s="75">
        <f>C16*D7</f>
        <v>29835.88170694279</v>
      </c>
      <c r="E24" s="75">
        <f>C24-D24</f>
        <v>5625.0002877902516</v>
      </c>
      <c r="I24" s="123"/>
    </row>
    <row r="25" spans="2:12" hidden="1" x14ac:dyDescent="0.2">
      <c r="B25" t="s">
        <v>7</v>
      </c>
      <c r="C25" s="75">
        <f>G17*D8</f>
        <v>65344.975387979495</v>
      </c>
      <c r="D25" s="75">
        <f>C17*D8</f>
        <v>57844.975387979495</v>
      </c>
      <c r="E25" s="75">
        <f t="shared" ref="E25:E28" si="3">C25-D25</f>
        <v>7500</v>
      </c>
      <c r="I25" s="123"/>
    </row>
    <row r="26" spans="2:12" hidden="1" x14ac:dyDescent="0.2">
      <c r="B26" t="s">
        <v>153</v>
      </c>
      <c r="C26" s="75">
        <f>G18*D9</f>
        <v>30343.902601691076</v>
      </c>
      <c r="D26" s="75">
        <f>C18*D9</f>
        <v>26593.902601691076</v>
      </c>
      <c r="E26" s="75">
        <f t="shared" si="3"/>
        <v>3750</v>
      </c>
      <c r="I26" s="123"/>
    </row>
    <row r="27" spans="2:12" hidden="1" x14ac:dyDescent="0.2">
      <c r="B27" t="s">
        <v>154</v>
      </c>
      <c r="C27" s="75">
        <f>G19*D10</f>
        <v>19188.43441025641</v>
      </c>
      <c r="D27" s="75">
        <f>C19*D10</f>
        <v>15438.43441025641</v>
      </c>
      <c r="E27" s="75">
        <f t="shared" si="3"/>
        <v>3750</v>
      </c>
      <c r="I27" s="123"/>
    </row>
    <row r="28" spans="2:12" hidden="1" x14ac:dyDescent="0.2">
      <c r="B28" s="45" t="s">
        <v>145</v>
      </c>
      <c r="C28" s="110">
        <f>SUM(C24:C27)</f>
        <v>150338.19439466004</v>
      </c>
      <c r="D28" s="110">
        <f>SUM(D24:D27)</f>
        <v>129713.19410686976</v>
      </c>
      <c r="E28" s="110">
        <f t="shared" si="3"/>
        <v>20625.000287790273</v>
      </c>
      <c r="F28" s="112">
        <f>C76+(C77*C28)</f>
        <v>3528.3819439466006</v>
      </c>
      <c r="G28" s="122">
        <f>E28-F28</f>
        <v>17096.618343843671</v>
      </c>
    </row>
    <row r="29" spans="2:12" x14ac:dyDescent="0.2">
      <c r="C29" s="76"/>
      <c r="D29" s="76"/>
      <c r="E29" s="75"/>
      <c r="F29" s="75"/>
      <c r="G29" s="75"/>
      <c r="H29" s="75"/>
    </row>
    <row r="30" spans="2:12" x14ac:dyDescent="0.2">
      <c r="B30" s="8" t="s">
        <v>159</v>
      </c>
      <c r="C30" s="8"/>
      <c r="D30" s="8"/>
      <c r="E30" s="6"/>
      <c r="F30" s="162"/>
      <c r="G30" s="42"/>
      <c r="H30" s="6"/>
      <c r="K30" s="6"/>
    </row>
    <row r="31" spans="2:12" x14ac:dyDescent="0.2">
      <c r="B31" s="132" t="s">
        <v>6</v>
      </c>
      <c r="C31" s="60" t="s">
        <v>149</v>
      </c>
      <c r="D31" s="60" t="s">
        <v>150</v>
      </c>
      <c r="E31" s="6"/>
      <c r="F31" s="42"/>
      <c r="H31" s="6"/>
      <c r="I31" s="39"/>
      <c r="K31" s="6"/>
    </row>
    <row r="32" spans="2:12" x14ac:dyDescent="0.2">
      <c r="B32" t="s">
        <v>138</v>
      </c>
      <c r="C32" s="75">
        <f>'Output '!P33</f>
        <v>17793.318815999999</v>
      </c>
      <c r="D32" s="76">
        <f>C32/Assumptions!$P$18</f>
        <v>7.9081412913980449</v>
      </c>
      <c r="E32" s="75"/>
      <c r="F32" s="76"/>
      <c r="G32" s="76"/>
      <c r="H32" s="192"/>
      <c r="I32" s="75"/>
      <c r="L32" s="75"/>
    </row>
    <row r="33" spans="2:12" x14ac:dyDescent="0.2">
      <c r="B33" t="s">
        <v>115</v>
      </c>
      <c r="C33" s="75">
        <f>'Output '!$P$60</f>
        <v>9832.5005030573648</v>
      </c>
      <c r="D33" s="77">
        <f>C33/Assumptions!$P$18</f>
        <v>4.37</v>
      </c>
      <c r="E33" s="75"/>
      <c r="F33" s="193"/>
      <c r="G33" s="319"/>
      <c r="H33" s="192"/>
      <c r="I33" s="75"/>
      <c r="L33" s="75"/>
    </row>
    <row r="34" spans="2:12" x14ac:dyDescent="0.2">
      <c r="B34" s="114" t="s">
        <v>139</v>
      </c>
      <c r="C34" s="115">
        <f>SUM(C35:C39)</f>
        <v>2210.0623878854249</v>
      </c>
      <c r="D34" s="161">
        <f>C34/Assumptions!$P$18</f>
        <v>0.98224989991673128</v>
      </c>
      <c r="E34" s="155"/>
      <c r="F34" s="193"/>
      <c r="G34" s="319"/>
      <c r="H34" s="192"/>
      <c r="I34" s="40"/>
      <c r="L34" s="40"/>
    </row>
    <row r="35" spans="2:12" outlineLevel="1" x14ac:dyDescent="0.2">
      <c r="B35" s="119" t="s">
        <v>140</v>
      </c>
      <c r="C35" s="116">
        <f>'Output '!$P$71*C7</f>
        <v>115.38462128800521</v>
      </c>
      <c r="D35" s="181">
        <f>C35/D7</f>
        <v>5.1282051282051273E-2</v>
      </c>
      <c r="E35" s="321"/>
      <c r="F35" s="296"/>
      <c r="G35" s="307"/>
      <c r="H35" s="192"/>
      <c r="I35" s="116"/>
      <c r="K35" s="119"/>
      <c r="L35" s="116"/>
    </row>
    <row r="36" spans="2:12" outlineLevel="1" x14ac:dyDescent="0.2">
      <c r="B36" s="119" t="s">
        <v>141</v>
      </c>
      <c r="C36" s="116">
        <f>'Output '!$P$76*C7</f>
        <v>52.500002686042372</v>
      </c>
      <c r="D36" s="307">
        <f>C36/D7</f>
        <v>2.3333333333333331E-2</v>
      </c>
      <c r="E36" s="116"/>
      <c r="F36" s="181"/>
      <c r="G36" s="127"/>
      <c r="H36" s="192"/>
      <c r="I36" s="299"/>
      <c r="K36" s="119"/>
      <c r="L36" s="116"/>
    </row>
    <row r="37" spans="2:12" outlineLevel="1" x14ac:dyDescent="0.2">
      <c r="B37" s="119" t="s">
        <v>142</v>
      </c>
      <c r="C37" s="116">
        <f>'Output '!$P$83</f>
        <v>141.48266666666669</v>
      </c>
      <c r="D37" s="307">
        <f>C37/Inventory!I14</f>
        <v>8.5333333333333344E-2</v>
      </c>
      <c r="E37" s="116"/>
      <c r="F37" s="127"/>
      <c r="G37" s="298"/>
      <c r="H37" s="192"/>
      <c r="I37" s="306"/>
      <c r="K37" s="305"/>
      <c r="L37" s="116"/>
    </row>
    <row r="38" spans="2:12" outlineLevel="1" x14ac:dyDescent="0.2">
      <c r="B38" s="119" t="s">
        <v>143</v>
      </c>
      <c r="C38" s="117">
        <f>'Output '!$P$117</f>
        <v>1848.195094558668</v>
      </c>
      <c r="D38" s="309">
        <f>C38/Assumptions!$P$18</f>
        <v>0.82141999999999982</v>
      </c>
      <c r="E38" s="187"/>
      <c r="F38" s="316"/>
      <c r="G38" s="203"/>
      <c r="H38" s="192"/>
      <c r="I38" s="187"/>
      <c r="K38" s="119"/>
      <c r="L38" s="126"/>
    </row>
    <row r="39" spans="2:12" outlineLevel="1" x14ac:dyDescent="0.2">
      <c r="B39" s="120" t="s">
        <v>144</v>
      </c>
      <c r="C39" s="118">
        <f>'Output '!$P$153</f>
        <v>52.500002686042372</v>
      </c>
      <c r="D39" s="317">
        <f>C39/Assumptions!$P$18</f>
        <v>2.3333333333333331E-2</v>
      </c>
      <c r="E39" s="295"/>
      <c r="F39" s="296"/>
      <c r="G39" s="127"/>
      <c r="H39" s="192"/>
      <c r="I39" s="116"/>
      <c r="K39" s="119"/>
      <c r="L39" s="116"/>
    </row>
    <row r="40" spans="2:12" x14ac:dyDescent="0.2">
      <c r="B40" s="6" t="s">
        <v>145</v>
      </c>
      <c r="C40" s="109">
        <f>SUM(C32:C34)</f>
        <v>29835.88170694279</v>
      </c>
      <c r="D40" s="279">
        <f>C40/Assumptions!$P$18</f>
        <v>13.260391191314776</v>
      </c>
      <c r="E40" s="279"/>
      <c r="F40" s="80"/>
      <c r="G40" s="80"/>
      <c r="H40" s="192"/>
      <c r="I40" s="109"/>
      <c r="K40" s="6"/>
      <c r="L40" s="109"/>
    </row>
    <row r="41" spans="2:12" ht="7.5" customHeight="1" x14ac:dyDescent="0.2">
      <c r="B41" s="6"/>
      <c r="C41" s="109"/>
      <c r="E41" s="279"/>
      <c r="H41" s="192"/>
      <c r="I41" s="109"/>
      <c r="K41" s="6"/>
      <c r="L41" s="109"/>
    </row>
    <row r="42" spans="2:12" x14ac:dyDescent="0.2">
      <c r="B42" s="132" t="s">
        <v>7</v>
      </c>
      <c r="C42" s="60" t="s">
        <v>149</v>
      </c>
      <c r="D42" s="60" t="s">
        <v>150</v>
      </c>
      <c r="E42" s="300"/>
      <c r="F42" s="189"/>
      <c r="G42" s="189"/>
      <c r="H42" s="192"/>
    </row>
    <row r="43" spans="2:12" x14ac:dyDescent="0.2">
      <c r="B43" t="s">
        <v>138</v>
      </c>
      <c r="C43" s="75">
        <f>'Output '!P38</f>
        <v>41674.447900799998</v>
      </c>
      <c r="D43" s="76">
        <f>C43/Assumptions!$P$19</f>
        <v>13.891482633599999</v>
      </c>
      <c r="E43" s="77"/>
      <c r="F43" s="76"/>
      <c r="G43" s="76"/>
      <c r="H43" s="192"/>
    </row>
    <row r="44" spans="2:12" x14ac:dyDescent="0.2">
      <c r="B44" t="s">
        <v>115</v>
      </c>
      <c r="C44" s="75">
        <f>'Output '!$P$61</f>
        <v>13110</v>
      </c>
      <c r="D44" s="77">
        <f>C44/Assumptions!$P$19</f>
        <v>4.37</v>
      </c>
      <c r="E44" s="77"/>
      <c r="F44" s="76"/>
      <c r="G44" s="76"/>
      <c r="H44" s="192"/>
    </row>
    <row r="45" spans="2:12" x14ac:dyDescent="0.2">
      <c r="B45" s="114" t="s">
        <v>139</v>
      </c>
      <c r="C45" s="115">
        <f>SUM(C46:C50)</f>
        <v>3060.5274871794873</v>
      </c>
      <c r="D45" s="341">
        <f>C45/Assumptions!$P$19</f>
        <v>1.0201758290598291</v>
      </c>
      <c r="E45" s="301"/>
      <c r="F45" s="76"/>
      <c r="G45" s="76"/>
      <c r="H45" s="192"/>
    </row>
    <row r="46" spans="2:12" outlineLevel="1" x14ac:dyDescent="0.2">
      <c r="B46" s="119" t="s">
        <v>140</v>
      </c>
      <c r="C46" s="116">
        <f>'Output '!$P$71*C8</f>
        <v>153.84615384615384</v>
      </c>
      <c r="D46" s="181">
        <f>C46/D8</f>
        <v>5.128205128205128E-2</v>
      </c>
      <c r="E46" s="295"/>
      <c r="F46" s="181"/>
      <c r="G46" s="181"/>
      <c r="H46" s="192"/>
    </row>
    <row r="47" spans="2:12" outlineLevel="1" x14ac:dyDescent="0.2">
      <c r="B47" s="119" t="s">
        <v>141</v>
      </c>
      <c r="C47" s="116">
        <f>'Output '!$P$76*C8</f>
        <v>70</v>
      </c>
      <c r="D47" s="181">
        <f>C47/D8</f>
        <v>2.3333333333333334E-2</v>
      </c>
      <c r="E47" s="295"/>
      <c r="F47" s="184"/>
      <c r="G47" s="303"/>
      <c r="H47" s="192"/>
    </row>
    <row r="48" spans="2:12" outlineLevel="1" x14ac:dyDescent="0.2">
      <c r="B48" s="119" t="s">
        <v>142</v>
      </c>
      <c r="C48" s="116">
        <f>'Output '!$P$90</f>
        <v>302.42133333333339</v>
      </c>
      <c r="D48" s="297">
        <f>C48/Inventory!I15</f>
        <v>8.5333333333333344E-2</v>
      </c>
      <c r="E48" s="307"/>
      <c r="F48" s="181"/>
      <c r="G48" s="181"/>
      <c r="H48" s="192"/>
    </row>
    <row r="49" spans="2:8" outlineLevel="1" x14ac:dyDescent="0.2">
      <c r="B49" s="119" t="s">
        <v>143</v>
      </c>
      <c r="C49" s="117">
        <f>'Output '!$P$126</f>
        <v>2464.2599999999998</v>
      </c>
      <c r="D49" s="182">
        <f>C49/Assumptions!$P$19</f>
        <v>0.82141999999999993</v>
      </c>
      <c r="E49" s="302"/>
      <c r="F49" s="190"/>
      <c r="G49" s="190"/>
      <c r="H49" s="192"/>
    </row>
    <row r="50" spans="2:8" outlineLevel="1" x14ac:dyDescent="0.2">
      <c r="B50" s="120" t="s">
        <v>144</v>
      </c>
      <c r="C50" s="118">
        <f>'Output '!$P$160</f>
        <v>70</v>
      </c>
      <c r="D50" s="183">
        <f>C50/Assumptions!$P$19</f>
        <v>2.3333333333333334E-2</v>
      </c>
      <c r="E50" s="295"/>
      <c r="F50" s="181"/>
      <c r="G50" s="181"/>
      <c r="H50" s="192"/>
    </row>
    <row r="51" spans="2:8" x14ac:dyDescent="0.2">
      <c r="B51" s="6" t="s">
        <v>145</v>
      </c>
      <c r="C51" s="109">
        <f>SUM(C43:C45)</f>
        <v>57844.975387979488</v>
      </c>
      <c r="D51" s="80">
        <f>C51/Assumptions!$P$19</f>
        <v>19.281658462659831</v>
      </c>
      <c r="E51" s="279"/>
      <c r="F51" s="80"/>
      <c r="G51" s="80"/>
      <c r="H51" s="192"/>
    </row>
    <row r="52" spans="2:8" ht="7.5" customHeight="1" x14ac:dyDescent="0.2">
      <c r="E52" s="77"/>
      <c r="H52" s="192"/>
    </row>
    <row r="53" spans="2:8" x14ac:dyDescent="0.2">
      <c r="B53" s="132" t="s">
        <v>121</v>
      </c>
      <c r="C53" s="60" t="s">
        <v>149</v>
      </c>
      <c r="D53" s="60" t="s">
        <v>150</v>
      </c>
      <c r="E53" s="300"/>
      <c r="F53" s="189"/>
      <c r="G53" s="189"/>
      <c r="H53" s="192"/>
    </row>
    <row r="54" spans="2:8" x14ac:dyDescent="0.2">
      <c r="B54" t="s">
        <v>138</v>
      </c>
      <c r="C54" s="75">
        <f>'Output '!P43</f>
        <v>18337.801524768001</v>
      </c>
      <c r="D54" s="76">
        <f>C54/Assumptions!$P$20</f>
        <v>12.225201016512001</v>
      </c>
      <c r="E54" s="77"/>
      <c r="F54" s="76"/>
      <c r="G54" s="76"/>
      <c r="H54" s="192"/>
    </row>
    <row r="55" spans="2:8" x14ac:dyDescent="0.2">
      <c r="B55" t="s">
        <v>115</v>
      </c>
      <c r="C55" s="75">
        <f>'Output '!$P$62</f>
        <v>6555</v>
      </c>
      <c r="D55" s="77">
        <f>C55/Assumptions!$P$20</f>
        <v>4.37</v>
      </c>
      <c r="E55" s="77"/>
      <c r="F55" s="76"/>
      <c r="G55" s="77"/>
      <c r="H55" s="192"/>
    </row>
    <row r="56" spans="2:8" x14ac:dyDescent="0.2">
      <c r="B56" s="114" t="s">
        <v>139</v>
      </c>
      <c r="C56" s="115">
        <f>SUM(C57:C61)</f>
        <v>1701.1010769230768</v>
      </c>
      <c r="D56" s="121">
        <f>C56/Assumptions!$P$20</f>
        <v>1.1340673846153846</v>
      </c>
      <c r="E56" s="301"/>
      <c r="F56" s="76"/>
      <c r="G56" s="76"/>
      <c r="H56" s="192"/>
    </row>
    <row r="57" spans="2:8" outlineLevel="1" x14ac:dyDescent="0.2">
      <c r="B57" s="119" t="s">
        <v>140</v>
      </c>
      <c r="C57" s="116">
        <f>'Output '!$P$71*C9</f>
        <v>76.92307692307692</v>
      </c>
      <c r="D57" s="181">
        <f>C57/D9</f>
        <v>5.128205128205128E-2</v>
      </c>
      <c r="E57" s="295"/>
      <c r="F57" s="127"/>
      <c r="G57" s="127"/>
      <c r="H57" s="192"/>
    </row>
    <row r="58" spans="2:8" outlineLevel="1" x14ac:dyDescent="0.2">
      <c r="B58" s="119" t="s">
        <v>141</v>
      </c>
      <c r="C58" s="116">
        <f>'Output '!$P$76*C9</f>
        <v>35</v>
      </c>
      <c r="D58" s="181">
        <f>C58/D9</f>
        <v>2.3333333333333334E-2</v>
      </c>
      <c r="E58" s="295"/>
      <c r="F58" s="127"/>
      <c r="G58" s="127"/>
      <c r="H58" s="192"/>
    </row>
    <row r="59" spans="2:8" outlineLevel="1" x14ac:dyDescent="0.2">
      <c r="B59" s="119" t="s">
        <v>142</v>
      </c>
      <c r="C59" s="116">
        <f>'Output '!$P$97</f>
        <v>322.04800000000006</v>
      </c>
      <c r="D59" s="296">
        <f>C59/Inventory!I16</f>
        <v>8.5333333333333344E-2</v>
      </c>
      <c r="E59" s="295"/>
      <c r="F59" s="127"/>
      <c r="G59" s="127"/>
      <c r="H59" s="192"/>
    </row>
    <row r="60" spans="2:8" outlineLevel="1" x14ac:dyDescent="0.2">
      <c r="B60" s="119" t="s">
        <v>143</v>
      </c>
      <c r="C60" s="117">
        <f>'Output '!$P$135</f>
        <v>1232.1299999999999</v>
      </c>
      <c r="D60" s="320">
        <f>C60/Assumptions!$P$20</f>
        <v>0.82141999999999993</v>
      </c>
      <c r="E60" s="302"/>
      <c r="F60" s="188"/>
      <c r="G60" s="188"/>
      <c r="H60" s="192"/>
    </row>
    <row r="61" spans="2:8" outlineLevel="1" x14ac:dyDescent="0.2">
      <c r="B61" s="120" t="s">
        <v>144</v>
      </c>
      <c r="C61" s="118">
        <f>'Output '!$P$167</f>
        <v>35</v>
      </c>
      <c r="D61" s="304">
        <f>C61/Assumptions!$P$20</f>
        <v>2.3333333333333334E-2</v>
      </c>
      <c r="E61" s="295"/>
      <c r="F61" s="127"/>
      <c r="G61" s="127"/>
      <c r="H61" s="192"/>
    </row>
    <row r="62" spans="2:8" x14ac:dyDescent="0.2">
      <c r="B62" s="6" t="s">
        <v>145</v>
      </c>
      <c r="C62" s="109">
        <f>SUM(C54:C56)</f>
        <v>26593.902601691079</v>
      </c>
      <c r="D62" s="80">
        <f>C62/Assumptions!$P$20</f>
        <v>17.729268401127385</v>
      </c>
      <c r="E62" s="279"/>
      <c r="F62" s="80"/>
      <c r="G62" s="80"/>
      <c r="H62" s="192"/>
    </row>
    <row r="63" spans="2:8" ht="8.25" customHeight="1" x14ac:dyDescent="0.2">
      <c r="E63" s="77"/>
      <c r="H63" s="192"/>
    </row>
    <row r="64" spans="2:8" x14ac:dyDescent="0.2">
      <c r="B64" s="132" t="s">
        <v>122</v>
      </c>
      <c r="C64" s="60" t="s">
        <v>149</v>
      </c>
      <c r="D64" s="60" t="s">
        <v>150</v>
      </c>
      <c r="E64" s="300"/>
      <c r="F64" s="189"/>
      <c r="G64" s="189"/>
      <c r="H64" s="192"/>
    </row>
    <row r="65" spans="2:8" x14ac:dyDescent="0.2">
      <c r="B65" t="s">
        <v>138</v>
      </c>
      <c r="C65" s="75">
        <f>'Output '!P48</f>
        <v>7353</v>
      </c>
      <c r="D65" s="310">
        <f>C65/Assumptions!$P$21</f>
        <v>4.9020000000000001</v>
      </c>
      <c r="E65" s="77"/>
      <c r="F65" s="76"/>
      <c r="G65" s="76"/>
      <c r="H65" s="192"/>
    </row>
    <row r="66" spans="2:8" x14ac:dyDescent="0.2">
      <c r="B66" t="s">
        <v>115</v>
      </c>
      <c r="C66" s="75">
        <f>'Output '!$P$63</f>
        <v>6555</v>
      </c>
      <c r="D66" s="76">
        <f>C66/Assumptions!$P$21</f>
        <v>4.37</v>
      </c>
      <c r="E66" s="77"/>
      <c r="F66" s="76"/>
      <c r="G66" s="76"/>
      <c r="H66" s="192"/>
    </row>
    <row r="67" spans="2:8" x14ac:dyDescent="0.2">
      <c r="B67" s="114" t="s">
        <v>139</v>
      </c>
      <c r="C67" s="115">
        <f>SUM(C68:C72)</f>
        <v>1530.43441025641</v>
      </c>
      <c r="D67" s="121">
        <f>C67/Assumptions!$P$21</f>
        <v>1.0202896068376066</v>
      </c>
      <c r="E67" s="301"/>
      <c r="F67" s="76"/>
      <c r="G67" s="76"/>
      <c r="H67" s="192"/>
    </row>
    <row r="68" spans="2:8" outlineLevel="1" x14ac:dyDescent="0.2">
      <c r="B68" s="119" t="s">
        <v>140</v>
      </c>
      <c r="C68" s="116">
        <f>'Output '!$P$71*C10</f>
        <v>76.92307692307692</v>
      </c>
      <c r="D68" s="181">
        <f>C68/D10</f>
        <v>5.128205128205128E-2</v>
      </c>
      <c r="E68" s="295"/>
      <c r="F68" s="307"/>
      <c r="G68" s="127"/>
      <c r="H68" s="192"/>
    </row>
    <row r="69" spans="2:8" outlineLevel="1" x14ac:dyDescent="0.2">
      <c r="B69" s="119" t="s">
        <v>141</v>
      </c>
      <c r="C69" s="116">
        <f>'Output '!$P$76*C10</f>
        <v>35</v>
      </c>
      <c r="D69" s="181">
        <f>C69/D10</f>
        <v>2.3333333333333334E-2</v>
      </c>
      <c r="E69" s="295"/>
      <c r="F69" s="127"/>
      <c r="G69" s="127"/>
      <c r="H69" s="192"/>
    </row>
    <row r="70" spans="2:8" outlineLevel="1" x14ac:dyDescent="0.2">
      <c r="B70" s="119" t="s">
        <v>142</v>
      </c>
      <c r="C70" s="116">
        <f>'Output '!$P$104</f>
        <v>151.38133333333334</v>
      </c>
      <c r="D70" s="296">
        <f>C70/Inventory!I17</f>
        <v>8.5333333333333344E-2</v>
      </c>
      <c r="E70" s="295"/>
      <c r="F70" s="127"/>
      <c r="G70" s="127"/>
      <c r="H70" s="192"/>
    </row>
    <row r="71" spans="2:8" outlineLevel="1" x14ac:dyDescent="0.2">
      <c r="B71" s="119" t="s">
        <v>143</v>
      </c>
      <c r="C71" s="117">
        <f>'Output '!$P$144</f>
        <v>1232.1299999999999</v>
      </c>
      <c r="D71" s="309">
        <f>C71/Assumptions!$P$21</f>
        <v>0.82141999999999993</v>
      </c>
      <c r="E71" s="302"/>
      <c r="F71" s="188"/>
      <c r="G71" s="188"/>
      <c r="H71" s="192"/>
    </row>
    <row r="72" spans="2:8" outlineLevel="1" x14ac:dyDescent="0.2">
      <c r="B72" s="120" t="s">
        <v>144</v>
      </c>
      <c r="C72" s="118">
        <f>'Output '!$P$174</f>
        <v>35</v>
      </c>
      <c r="D72" s="308">
        <f>C72/Assumptions!$P$21</f>
        <v>2.3333333333333334E-2</v>
      </c>
      <c r="E72" s="295"/>
      <c r="F72" s="127"/>
      <c r="G72" s="127"/>
      <c r="H72" s="192"/>
    </row>
    <row r="73" spans="2:8" x14ac:dyDescent="0.2">
      <c r="B73" s="6" t="s">
        <v>145</v>
      </c>
      <c r="C73" s="109">
        <f>SUM(C65:C67)</f>
        <v>15438.43441025641</v>
      </c>
      <c r="D73" s="80">
        <f>C73/Assumptions!$P$21</f>
        <v>10.292289606837606</v>
      </c>
      <c r="E73" s="279"/>
      <c r="F73" s="80"/>
      <c r="G73" s="80"/>
      <c r="H73" s="192"/>
    </row>
    <row r="75" spans="2:8" x14ac:dyDescent="0.2">
      <c r="B75" s="10" t="s">
        <v>151</v>
      </c>
      <c r="C75" s="10"/>
      <c r="D75" s="10"/>
    </row>
    <row r="76" spans="2:8" x14ac:dyDescent="0.2">
      <c r="B76" t="s">
        <v>156</v>
      </c>
      <c r="C76" s="75">
        <f>'Output '!$M$183+'Output '!$M$184+'Output '!$M$185+'Output '!$M$186</f>
        <v>2025</v>
      </c>
      <c r="D76" s="6"/>
    </row>
    <row r="77" spans="2:8" x14ac:dyDescent="0.2">
      <c r="B77" t="s">
        <v>152</v>
      </c>
      <c r="C77" s="128">
        <f>Assumptions!N222</f>
        <v>0.01</v>
      </c>
    </row>
    <row r="79" spans="2:8" x14ac:dyDescent="0.2">
      <c r="B79" s="10" t="s">
        <v>198</v>
      </c>
      <c r="C79" s="10"/>
      <c r="D79" s="10"/>
    </row>
    <row r="80" spans="2:8" x14ac:dyDescent="0.2">
      <c r="B80" t="s">
        <v>199</v>
      </c>
      <c r="C80" s="75">
        <f>C76+C77*(D28)</f>
        <v>3322.1319410686974</v>
      </c>
      <c r="D80" s="6"/>
    </row>
    <row r="81" spans="2:3" x14ac:dyDescent="0.2">
      <c r="B81" t="s">
        <v>200</v>
      </c>
      <c r="C81" s="101">
        <f>C80/D11</f>
        <v>0.4026826539046594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5602-C9AE-4A59-803D-FE55658BB244}">
  <dimension ref="B2:N57"/>
  <sheetViews>
    <sheetView showGridLines="0" workbookViewId="0">
      <selection activeCell="D21" sqref="D21"/>
    </sheetView>
  </sheetViews>
  <sheetFormatPr baseColWidth="10" defaultColWidth="8.83203125" defaultRowHeight="15" x14ac:dyDescent="0.2"/>
  <cols>
    <col min="2" max="2" width="29.83203125" customWidth="1"/>
    <col min="3" max="3" width="13.33203125" bestFit="1" customWidth="1"/>
    <col min="4" max="4" width="14.33203125" bestFit="1" customWidth="1"/>
    <col min="7" max="7" width="10.5" bestFit="1" customWidth="1"/>
    <col min="8" max="9" width="11.5" bestFit="1" customWidth="1"/>
    <col min="12" max="12" width="10.5" bestFit="1" customWidth="1"/>
  </cols>
  <sheetData>
    <row r="2" spans="2:14" ht="28" x14ac:dyDescent="0.35">
      <c r="B2" s="5" t="str">
        <f>'Cover Page'!$B$6</f>
        <v>Solea</v>
      </c>
    </row>
    <row r="3" spans="2:14" x14ac:dyDescent="0.2">
      <c r="B3" s="6" t="str">
        <f>UPPER("currently running: "&amp;CHOOSE(Scenarios!$C$8,Scenarios!$B$15,Scenarios!$B$16,Scenarios!$B$17)&amp;" Scenario")</f>
        <v>CURRENTLY RUNNING: BASE CASE SCENARIO</v>
      </c>
    </row>
    <row r="4" spans="2:14" x14ac:dyDescent="0.2">
      <c r="B4" s="6" t="s">
        <v>285</v>
      </c>
    </row>
    <row r="5" spans="2:14" x14ac:dyDescent="0.2">
      <c r="B5" s="9" t="s">
        <v>2</v>
      </c>
      <c r="C5" s="9" t="s">
        <v>240</v>
      </c>
      <c r="D5" s="10"/>
      <c r="E5" s="10"/>
      <c r="F5" s="10"/>
      <c r="G5" s="10"/>
      <c r="H5" s="10"/>
      <c r="I5" s="10"/>
    </row>
    <row r="6" spans="2:14" x14ac:dyDescent="0.2">
      <c r="B6" s="10" t="s">
        <v>59</v>
      </c>
      <c r="C6" s="10"/>
      <c r="D6" s="10"/>
      <c r="E6" s="10"/>
      <c r="F6" s="10">
        <v>2025</v>
      </c>
      <c r="G6" s="10">
        <v>2026</v>
      </c>
      <c r="H6" s="10">
        <v>2027</v>
      </c>
      <c r="I6" s="10">
        <v>2028</v>
      </c>
    </row>
    <row r="8" spans="2:14" x14ac:dyDescent="0.2">
      <c r="B8" t="s">
        <v>286</v>
      </c>
      <c r="F8" s="75">
        <f>-'Production Funding'!G16</f>
        <v>-380000</v>
      </c>
    </row>
    <row r="9" spans="2:14" x14ac:dyDescent="0.2">
      <c r="B9" s="114" t="s">
        <v>287</v>
      </c>
      <c r="C9" s="114"/>
      <c r="D9" s="114"/>
      <c r="E9" s="114"/>
      <c r="F9" s="114"/>
      <c r="G9" s="115">
        <f>'Model '!K167+'Model '!K163*'Model '!$J$165</f>
        <v>88030.198352656269</v>
      </c>
      <c r="H9" s="115">
        <f>'Model '!L167+'Model '!L163*'Model '!$J$165</f>
        <v>116575.64917782077</v>
      </c>
      <c r="I9" s="115">
        <f>'Model '!M167+'Model '!M163*'Model '!$J$165</f>
        <v>446681.48277104314</v>
      </c>
    </row>
    <row r="10" spans="2:14" x14ac:dyDescent="0.2">
      <c r="B10" s="6" t="s">
        <v>145</v>
      </c>
      <c r="C10" s="6"/>
      <c r="D10" s="6"/>
      <c r="E10" s="6"/>
      <c r="F10" s="109">
        <f>SUM(F8:F9)</f>
        <v>-380000</v>
      </c>
      <c r="G10" s="109">
        <f t="shared" ref="G10:I10" si="0">SUM(G8:G9)</f>
        <v>88030.198352656269</v>
      </c>
      <c r="H10" s="109">
        <f t="shared" si="0"/>
        <v>116575.64917782077</v>
      </c>
      <c r="I10" s="109">
        <f t="shared" si="0"/>
        <v>446681.48277104314</v>
      </c>
    </row>
    <row r="12" spans="2:14" x14ac:dyDescent="0.2">
      <c r="B12" s="235" t="s">
        <v>284</v>
      </c>
      <c r="C12" s="236"/>
      <c r="D12" s="236"/>
      <c r="E12" s="247">
        <f>IRR(F10:I10,0)</f>
        <v>0.24146023400647953</v>
      </c>
      <c r="G12" s="75">
        <f>G10/(1+$E$12)</f>
        <v>70908.592914460445</v>
      </c>
      <c r="H12" s="75">
        <f>H10/(1+$E$12)^2</f>
        <v>75638.379653118493</v>
      </c>
      <c r="I12" s="75">
        <f>I10/(1+$E$12)^3</f>
        <v>233453.02743242122</v>
      </c>
    </row>
    <row r="14" spans="2:14" x14ac:dyDescent="0.2">
      <c r="B14" s="235" t="s">
        <v>283</v>
      </c>
      <c r="C14" s="236"/>
      <c r="D14" s="236"/>
      <c r="E14" s="237">
        <f>2-(G10+H10+F10)/I10</f>
        <v>2.3926604509805149</v>
      </c>
      <c r="J14" s="38"/>
      <c r="L14" s="250"/>
      <c r="M14" s="250"/>
      <c r="N14" s="250"/>
    </row>
    <row r="15" spans="2:14" x14ac:dyDescent="0.2">
      <c r="H15" s="123"/>
      <c r="J15" s="75"/>
      <c r="L15" s="75"/>
    </row>
    <row r="16" spans="2:14" x14ac:dyDescent="0.2">
      <c r="B16" s="235" t="s">
        <v>288</v>
      </c>
      <c r="C16" s="236"/>
      <c r="D16" s="236"/>
      <c r="E16" s="248">
        <f>SUM(G10:I10)/-F10</f>
        <v>1.7139140271092637</v>
      </c>
      <c r="F16" s="75"/>
      <c r="J16" s="38"/>
    </row>
    <row r="17" spans="2:12" x14ac:dyDescent="0.2">
      <c r="F17" s="75"/>
    </row>
    <row r="18" spans="2:12" x14ac:dyDescent="0.2">
      <c r="B18" s="10" t="s">
        <v>289</v>
      </c>
      <c r="C18" s="10"/>
      <c r="D18" s="10"/>
      <c r="E18" s="216"/>
      <c r="F18" s="216"/>
      <c r="G18" s="216"/>
      <c r="H18" s="216"/>
      <c r="I18" s="216"/>
    </row>
    <row r="20" spans="2:12" x14ac:dyDescent="0.2">
      <c r="B20" t="s">
        <v>290</v>
      </c>
      <c r="C20" t="s">
        <v>13</v>
      </c>
      <c r="D20" s="238">
        <v>0.25</v>
      </c>
    </row>
    <row r="21" spans="2:12" x14ac:dyDescent="0.2">
      <c r="B21" t="s">
        <v>291</v>
      </c>
      <c r="C21" t="s">
        <v>41</v>
      </c>
      <c r="D21" s="144">
        <f>-F8</f>
        <v>380000</v>
      </c>
    </row>
    <row r="22" spans="2:12" x14ac:dyDescent="0.2">
      <c r="B22" s="6" t="s">
        <v>292</v>
      </c>
      <c r="C22" s="6" t="s">
        <v>48</v>
      </c>
      <c r="D22" s="130">
        <f>D21/D20</f>
        <v>1520000</v>
      </c>
    </row>
    <row r="24" spans="2:12" x14ac:dyDescent="0.2">
      <c r="B24" t="s">
        <v>293</v>
      </c>
      <c r="C24" t="s">
        <v>41</v>
      </c>
      <c r="D24" s="39">
        <f>D22-D21</f>
        <v>1140000</v>
      </c>
    </row>
    <row r="26" spans="2:12" x14ac:dyDescent="0.2">
      <c r="B26" t="s">
        <v>294</v>
      </c>
      <c r="C26" t="s">
        <v>104</v>
      </c>
      <c r="D26" s="239">
        <v>10000000</v>
      </c>
    </row>
    <row r="27" spans="2:12" x14ac:dyDescent="0.2">
      <c r="B27" s="6" t="s">
        <v>295</v>
      </c>
      <c r="C27" s="6" t="s">
        <v>104</v>
      </c>
      <c r="D27" s="240">
        <f>D26/(1-D20)</f>
        <v>13333333.333333334</v>
      </c>
    </row>
    <row r="28" spans="2:12" x14ac:dyDescent="0.2">
      <c r="B28" t="s">
        <v>296</v>
      </c>
      <c r="C28" t="s">
        <v>104</v>
      </c>
      <c r="D28" s="39">
        <f>D27-D26</f>
        <v>3333333.333333334</v>
      </c>
    </row>
    <row r="30" spans="2:12" x14ac:dyDescent="0.2">
      <c r="B30" t="s">
        <v>297</v>
      </c>
      <c r="C30" t="s">
        <v>41</v>
      </c>
      <c r="D30" s="42">
        <f>D21/D28</f>
        <v>0.11399999999999998</v>
      </c>
    </row>
    <row r="31" spans="2:12" x14ac:dyDescent="0.2">
      <c r="D31" s="42"/>
    </row>
    <row r="32" spans="2:12" x14ac:dyDescent="0.2">
      <c r="B32" t="s">
        <v>303</v>
      </c>
      <c r="C32" t="s">
        <v>13</v>
      </c>
      <c r="D32" s="238">
        <v>0.05</v>
      </c>
      <c r="L32" s="42"/>
    </row>
    <row r="33" spans="2:9" x14ac:dyDescent="0.2">
      <c r="D33" s="238"/>
    </row>
    <row r="34" spans="2:9" x14ac:dyDescent="0.2">
      <c r="B34" s="6" t="s">
        <v>305</v>
      </c>
      <c r="D34" s="238"/>
    </row>
    <row r="35" spans="2:9" x14ac:dyDescent="0.2">
      <c r="B35" t="s">
        <v>304</v>
      </c>
      <c r="C35" t="s">
        <v>104</v>
      </c>
      <c r="D35" s="39">
        <f>D32*D26</f>
        <v>500000</v>
      </c>
    </row>
    <row r="36" spans="2:9" x14ac:dyDescent="0.2">
      <c r="B36" t="s">
        <v>308</v>
      </c>
      <c r="C36" t="s">
        <v>104</v>
      </c>
      <c r="D36" s="39">
        <f>D26-D35</f>
        <v>9500000</v>
      </c>
    </row>
    <row r="37" spans="2:9" x14ac:dyDescent="0.2">
      <c r="D37" s="42"/>
    </row>
    <row r="38" spans="2:9" x14ac:dyDescent="0.2">
      <c r="B38" s="6" t="s">
        <v>306</v>
      </c>
    </row>
    <row r="39" spans="2:9" x14ac:dyDescent="0.2">
      <c r="B39" s="10" t="s">
        <v>298</v>
      </c>
      <c r="C39" s="10" t="s">
        <v>299</v>
      </c>
      <c r="D39" s="10" t="s">
        <v>300</v>
      </c>
      <c r="E39" s="216"/>
      <c r="F39" s="216"/>
      <c r="G39" s="216"/>
      <c r="H39" s="216"/>
      <c r="I39" s="216"/>
    </row>
    <row r="41" spans="2:9" x14ac:dyDescent="0.2">
      <c r="B41" t="s">
        <v>301</v>
      </c>
      <c r="C41" s="39">
        <f>D36</f>
        <v>9500000</v>
      </c>
      <c r="D41" s="35">
        <f>C41/$C$44</f>
        <v>0.71250000000000002</v>
      </c>
    </row>
    <row r="42" spans="2:9" x14ac:dyDescent="0.2">
      <c r="B42" t="s">
        <v>302</v>
      </c>
      <c r="C42" s="75">
        <f>D28</f>
        <v>3333333.333333334</v>
      </c>
      <c r="D42" s="35">
        <f t="shared" ref="D42" si="1">C42/$C$44</f>
        <v>0.25000000000000006</v>
      </c>
    </row>
    <row r="43" spans="2:9" x14ac:dyDescent="0.2">
      <c r="B43" s="114" t="s">
        <v>307</v>
      </c>
      <c r="C43" s="168">
        <f>D35</f>
        <v>500000</v>
      </c>
      <c r="D43" s="241">
        <f>C43/$C$44</f>
        <v>3.7499999999999999E-2</v>
      </c>
    </row>
    <row r="44" spans="2:9" x14ac:dyDescent="0.2">
      <c r="B44" s="6" t="s">
        <v>145</v>
      </c>
      <c r="C44" s="49">
        <f>SUM(C41:C43)</f>
        <v>13333333.333333334</v>
      </c>
      <c r="D44" s="242">
        <f>SUM(D41:D43)</f>
        <v>1.0000000000000002</v>
      </c>
    </row>
    <row r="46" spans="2:9" x14ac:dyDescent="0.2">
      <c r="B46" s="6" t="s">
        <v>318</v>
      </c>
    </row>
    <row r="47" spans="2:9" x14ac:dyDescent="0.2">
      <c r="B47" t="s">
        <v>309</v>
      </c>
      <c r="C47" t="s">
        <v>104</v>
      </c>
      <c r="D47" s="39">
        <f>D27</f>
        <v>13333333.333333334</v>
      </c>
    </row>
    <row r="48" spans="2:9" x14ac:dyDescent="0.2">
      <c r="B48" s="204" t="s">
        <v>310</v>
      </c>
      <c r="C48" s="204" t="s">
        <v>104</v>
      </c>
      <c r="D48" s="243">
        <f>D47/(1-D32)</f>
        <v>14035087.719298247</v>
      </c>
    </row>
    <row r="49" spans="2:4" x14ac:dyDescent="0.2">
      <c r="B49" t="s">
        <v>311</v>
      </c>
      <c r="C49" t="s">
        <v>104</v>
      </c>
      <c r="D49" s="42">
        <f>D48-D47</f>
        <v>701754.38596491329</v>
      </c>
    </row>
    <row r="51" spans="2:4" x14ac:dyDescent="0.2">
      <c r="B51" s="6" t="s">
        <v>306</v>
      </c>
    </row>
    <row r="52" spans="2:4" x14ac:dyDescent="0.2">
      <c r="B52" s="10" t="s">
        <v>298</v>
      </c>
      <c r="C52" s="10" t="s">
        <v>299</v>
      </c>
      <c r="D52" s="10" t="s">
        <v>300</v>
      </c>
    </row>
    <row r="54" spans="2:4" x14ac:dyDescent="0.2">
      <c r="B54" t="s">
        <v>301</v>
      </c>
      <c r="C54" s="39">
        <f>D26</f>
        <v>10000000</v>
      </c>
      <c r="D54" s="35">
        <f>C54/$C$57</f>
        <v>0.71249999999999991</v>
      </c>
    </row>
    <row r="55" spans="2:4" x14ac:dyDescent="0.2">
      <c r="B55" t="s">
        <v>302</v>
      </c>
      <c r="C55" s="75">
        <f>D28</f>
        <v>3333333.333333334</v>
      </c>
      <c r="D55" s="35">
        <f t="shared" ref="D55:D56" si="2">C55/$C$57</f>
        <v>0.23750000000000002</v>
      </c>
    </row>
    <row r="56" spans="2:4" x14ac:dyDescent="0.2">
      <c r="B56" s="114" t="s">
        <v>307</v>
      </c>
      <c r="C56" s="168">
        <f>D49</f>
        <v>701754.38596491329</v>
      </c>
      <c r="D56" s="241">
        <f t="shared" si="2"/>
        <v>5.0000000000000065E-2</v>
      </c>
    </row>
    <row r="57" spans="2:4" x14ac:dyDescent="0.2">
      <c r="B57" s="6" t="s">
        <v>145</v>
      </c>
      <c r="C57" s="49">
        <f>SUM(C54:C56)</f>
        <v>14035087.719298247</v>
      </c>
      <c r="D57" s="242">
        <f>SUM(D54:D56)</f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B54C-4786-42E4-A2D3-9B838C9CD196}">
  <dimension ref="B2:BO126"/>
  <sheetViews>
    <sheetView showGridLines="0" workbookViewId="0">
      <selection activeCell="B1" sqref="B1"/>
    </sheetView>
  </sheetViews>
  <sheetFormatPr baseColWidth="10" defaultColWidth="8.83203125" defaultRowHeight="15" x14ac:dyDescent="0.2"/>
  <cols>
    <col min="1" max="1" width="5.1640625" customWidth="1"/>
    <col min="2" max="2" width="41.33203125" bestFit="1" customWidth="1"/>
    <col min="3" max="3" width="14.5" customWidth="1"/>
    <col min="4" max="6" width="10.5" bestFit="1" customWidth="1"/>
    <col min="7" max="8" width="10.6640625" bestFit="1" customWidth="1"/>
    <col min="9" max="17" width="9.83203125" bestFit="1" customWidth="1"/>
    <col min="18" max="20" width="10.83203125" bestFit="1" customWidth="1"/>
    <col min="21" max="21" width="10.6640625" customWidth="1"/>
    <col min="22" max="23" width="12.1640625" bestFit="1" customWidth="1"/>
    <col min="24" max="27" width="9.6640625" bestFit="1" customWidth="1"/>
    <col min="28" max="33" width="10.6640625" bestFit="1" customWidth="1"/>
    <col min="34" max="34" width="10.5" customWidth="1"/>
    <col min="35" max="41" width="10.6640625" bestFit="1" customWidth="1"/>
    <col min="42" max="46" width="12.1640625" bestFit="1" customWidth="1"/>
    <col min="47" max="47" width="10.5" bestFit="1" customWidth="1"/>
  </cols>
  <sheetData>
    <row r="2" spans="2:67" ht="28" x14ac:dyDescent="0.35">
      <c r="B2" s="5" t="str">
        <f>'Cover Page'!$B$6</f>
        <v>Solea</v>
      </c>
    </row>
    <row r="3" spans="2:67" x14ac:dyDescent="0.2">
      <c r="B3" s="6" t="str">
        <f>UPPER("currently running: "&amp;CHOOSE(Scenarios!$C$8,Scenarios!B15,Scenarios!B16,Scenarios!B17)&amp;" Scenario")</f>
        <v>CURRENTLY RUNNING: BASE CASE SCENARIO</v>
      </c>
    </row>
    <row r="4" spans="2:67" x14ac:dyDescent="0.2">
      <c r="B4" s="6" t="s">
        <v>390</v>
      </c>
    </row>
    <row r="5" spans="2:67" x14ac:dyDescent="0.2">
      <c r="B5" s="10" t="s">
        <v>321</v>
      </c>
      <c r="C5" s="11">
        <v>45899</v>
      </c>
      <c r="D5" s="11">
        <f>Assumptions!J6</f>
        <v>45930</v>
      </c>
      <c r="E5" s="11">
        <f>Assumptions!K6</f>
        <v>45961</v>
      </c>
      <c r="F5" s="11">
        <f>Assumptions!L6</f>
        <v>45991</v>
      </c>
      <c r="G5" s="11">
        <f>Assumptions!M6</f>
        <v>46022</v>
      </c>
      <c r="H5" s="10">
        <f>Assumptions!N6</f>
        <v>2025</v>
      </c>
      <c r="I5" s="11">
        <f>Assumptions!O6</f>
        <v>46053</v>
      </c>
      <c r="J5" s="11">
        <f>Assumptions!P6</f>
        <v>46081</v>
      </c>
      <c r="K5" s="11">
        <f>Assumptions!Q6</f>
        <v>46112</v>
      </c>
      <c r="L5" s="11">
        <f>Assumptions!R6</f>
        <v>46142</v>
      </c>
      <c r="M5" s="11">
        <f>Assumptions!S6</f>
        <v>46173</v>
      </c>
      <c r="N5" s="11">
        <f>Assumptions!T6</f>
        <v>46203</v>
      </c>
      <c r="O5" s="11">
        <f>Assumptions!U6</f>
        <v>46234</v>
      </c>
      <c r="P5" s="11">
        <f>Assumptions!V6</f>
        <v>46265</v>
      </c>
      <c r="Q5" s="11">
        <f>Assumptions!W6</f>
        <v>46295</v>
      </c>
      <c r="R5" s="11">
        <f>Assumptions!X6</f>
        <v>46326</v>
      </c>
      <c r="S5" s="11">
        <f>Assumptions!Y6</f>
        <v>46356</v>
      </c>
      <c r="T5" s="11">
        <f>Assumptions!Z6</f>
        <v>46387</v>
      </c>
      <c r="U5" s="10">
        <f>Assumptions!AA6</f>
        <v>2026</v>
      </c>
      <c r="V5" s="11">
        <f>Assumptions!AB6</f>
        <v>46418</v>
      </c>
      <c r="W5" s="11">
        <f>Assumptions!AC6</f>
        <v>46446</v>
      </c>
      <c r="X5" s="11">
        <f>Assumptions!AD6</f>
        <v>46477</v>
      </c>
      <c r="Y5" s="11">
        <f>Assumptions!AE6</f>
        <v>46507</v>
      </c>
      <c r="Z5" s="11">
        <f>Assumptions!AF6</f>
        <v>46538</v>
      </c>
      <c r="AA5" s="11">
        <f>Assumptions!AG6</f>
        <v>46568</v>
      </c>
      <c r="AB5" s="11">
        <f>Assumptions!AH6</f>
        <v>46599</v>
      </c>
      <c r="AC5" s="11">
        <f>Assumptions!AI6</f>
        <v>46630</v>
      </c>
      <c r="AD5" s="11">
        <f>Assumptions!AJ6</f>
        <v>46660</v>
      </c>
      <c r="AE5" s="11">
        <f>Assumptions!AK6</f>
        <v>46691</v>
      </c>
      <c r="AF5" s="11">
        <f>Assumptions!AL6</f>
        <v>46721</v>
      </c>
      <c r="AG5" s="11">
        <f>Assumptions!AM6</f>
        <v>46752</v>
      </c>
      <c r="AH5" s="10">
        <f>Assumptions!AN6</f>
        <v>2027</v>
      </c>
      <c r="AI5" s="11">
        <f>Assumptions!AO6</f>
        <v>46783</v>
      </c>
      <c r="AJ5" s="11">
        <f>Assumptions!AP6</f>
        <v>46812</v>
      </c>
      <c r="AK5" s="11">
        <f>Assumptions!AQ6</f>
        <v>46843</v>
      </c>
      <c r="AL5" s="11">
        <f>Assumptions!AR6</f>
        <v>46873</v>
      </c>
      <c r="AM5" s="11">
        <f>Assumptions!AS6</f>
        <v>46904</v>
      </c>
      <c r="AN5" s="11">
        <f>Assumptions!AT6</f>
        <v>46934</v>
      </c>
      <c r="AO5" s="11">
        <f>Assumptions!AU6</f>
        <v>46965</v>
      </c>
      <c r="AP5" s="11">
        <f>Assumptions!AV6</f>
        <v>46996</v>
      </c>
      <c r="AQ5" s="11">
        <f>Assumptions!AW6</f>
        <v>47026</v>
      </c>
      <c r="AR5" s="11">
        <f>Assumptions!AX6</f>
        <v>47057</v>
      </c>
      <c r="AS5" s="11">
        <f>Assumptions!AY6</f>
        <v>47087</v>
      </c>
      <c r="AT5" s="11">
        <f>Assumptions!AZ6</f>
        <v>47118</v>
      </c>
      <c r="AU5" s="10">
        <f>Assumptions!BA6</f>
        <v>2028</v>
      </c>
      <c r="AV5" s="217"/>
      <c r="AW5" s="217"/>
      <c r="AX5" s="217"/>
      <c r="AY5" s="217"/>
      <c r="AZ5" s="217"/>
      <c r="BA5" s="217"/>
      <c r="BB5" s="216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6"/>
    </row>
    <row r="6" spans="2:67" x14ac:dyDescent="0.2">
      <c r="B6" t="s">
        <v>6</v>
      </c>
      <c r="D6" s="76">
        <v>614</v>
      </c>
      <c r="E6" s="76">
        <v>941</v>
      </c>
      <c r="F6" s="76">
        <v>1269</v>
      </c>
      <c r="G6" s="76">
        <v>1596</v>
      </c>
      <c r="H6" s="76">
        <f>SUM(D6:G6)</f>
        <v>4420</v>
      </c>
      <c r="I6" s="76">
        <v>1922</v>
      </c>
      <c r="J6" s="76">
        <v>2250.0001151161018</v>
      </c>
      <c r="K6" s="76">
        <v>2250.0001151161018</v>
      </c>
      <c r="L6" s="76">
        <v>2250.0001151161018</v>
      </c>
      <c r="M6" s="76">
        <v>2250.0001151161018</v>
      </c>
      <c r="N6" s="76">
        <v>2250.0001151161018</v>
      </c>
      <c r="O6" s="76">
        <v>2250.0001151161018</v>
      </c>
      <c r="P6" s="76">
        <v>2250.0001151161018</v>
      </c>
      <c r="Q6" s="76">
        <v>2250.0001151161018</v>
      </c>
      <c r="R6" s="76">
        <v>2250.0001151161018</v>
      </c>
      <c r="S6" s="76">
        <v>2250.0001151161018</v>
      </c>
      <c r="T6" s="76">
        <v>2250.0001151161018</v>
      </c>
      <c r="U6" s="76"/>
      <c r="V6" s="76">
        <v>2250.0001151161018</v>
      </c>
      <c r="W6" s="76">
        <v>2250.0001151161018</v>
      </c>
      <c r="X6" s="76">
        <v>2368</v>
      </c>
      <c r="Y6" s="76">
        <v>2486</v>
      </c>
      <c r="Z6" s="76">
        <v>2605</v>
      </c>
      <c r="AA6" s="76">
        <v>2723</v>
      </c>
      <c r="AB6" s="76">
        <v>2841</v>
      </c>
      <c r="AC6" s="76">
        <v>2960</v>
      </c>
      <c r="AD6" s="76">
        <v>3078</v>
      </c>
      <c r="AE6" s="76">
        <v>3196</v>
      </c>
      <c r="AF6" s="76">
        <v>3315</v>
      </c>
      <c r="AG6" s="76">
        <v>3433</v>
      </c>
      <c r="AH6" s="76"/>
      <c r="AI6" s="76">
        <v>3552</v>
      </c>
      <c r="AJ6" s="76">
        <v>3670</v>
      </c>
      <c r="AK6" s="76">
        <v>3788</v>
      </c>
      <c r="AL6" s="76">
        <v>3907</v>
      </c>
      <c r="AM6" s="76">
        <v>4025</v>
      </c>
      <c r="AN6" s="76">
        <v>4143</v>
      </c>
      <c r="AO6" s="76">
        <v>4262</v>
      </c>
      <c r="AP6" s="76">
        <v>4500.0001674415998</v>
      </c>
      <c r="AQ6" s="76">
        <v>4500.0001674415998</v>
      </c>
      <c r="AR6" s="76">
        <v>4500.0001674415998</v>
      </c>
      <c r="AS6" s="76">
        <v>4500.0001674415998</v>
      </c>
      <c r="AT6" s="76">
        <v>4500.0001674415998</v>
      </c>
    </row>
    <row r="7" spans="2:67" x14ac:dyDescent="0.2">
      <c r="B7" t="s">
        <v>7</v>
      </c>
      <c r="D7" s="76">
        <v>818</v>
      </c>
      <c r="E7" s="76">
        <v>1255</v>
      </c>
      <c r="F7" s="76">
        <v>1691</v>
      </c>
      <c r="G7" s="76">
        <v>2128</v>
      </c>
      <c r="H7" s="76">
        <f t="shared" ref="H7:H9" si="0">SUM(D7:G7)</f>
        <v>5892</v>
      </c>
      <c r="I7" s="76">
        <v>2564</v>
      </c>
      <c r="J7" s="76">
        <v>3000</v>
      </c>
      <c r="K7" s="76">
        <v>3000</v>
      </c>
      <c r="L7" s="76">
        <v>3000</v>
      </c>
      <c r="M7" s="76">
        <v>3000</v>
      </c>
      <c r="N7" s="76">
        <v>3000</v>
      </c>
      <c r="O7" s="76">
        <v>3000</v>
      </c>
      <c r="P7" s="76">
        <v>3000</v>
      </c>
      <c r="Q7" s="76">
        <v>3000</v>
      </c>
      <c r="R7" s="76">
        <v>3000</v>
      </c>
      <c r="S7" s="76">
        <v>3000</v>
      </c>
      <c r="T7" s="76">
        <v>3000</v>
      </c>
      <c r="U7" s="76"/>
      <c r="V7" s="76">
        <v>3000</v>
      </c>
      <c r="W7" s="76">
        <v>3000</v>
      </c>
      <c r="X7" s="76">
        <v>3158</v>
      </c>
      <c r="Y7" s="76">
        <v>3316</v>
      </c>
      <c r="Z7" s="76">
        <v>3474</v>
      </c>
      <c r="AA7" s="76">
        <v>3632</v>
      </c>
      <c r="AB7" s="76">
        <v>3790</v>
      </c>
      <c r="AC7" s="76">
        <v>3947</v>
      </c>
      <c r="AD7" s="76">
        <v>4105</v>
      </c>
      <c r="AE7" s="76">
        <v>4263</v>
      </c>
      <c r="AF7" s="76">
        <v>4420</v>
      </c>
      <c r="AG7" s="76">
        <v>4578</v>
      </c>
      <c r="AH7" s="76"/>
      <c r="AI7" s="76">
        <v>4736</v>
      </c>
      <c r="AJ7" s="76">
        <v>4894</v>
      </c>
      <c r="AK7" s="76">
        <v>5052</v>
      </c>
      <c r="AL7" s="76">
        <v>5210</v>
      </c>
      <c r="AM7" s="76">
        <v>5368</v>
      </c>
      <c r="AN7" s="76">
        <v>5526</v>
      </c>
      <c r="AO7" s="76">
        <v>5683</v>
      </c>
      <c r="AP7" s="76">
        <v>5999.9999162792001</v>
      </c>
      <c r="AQ7" s="76">
        <v>5999.9999162792001</v>
      </c>
      <c r="AR7" s="76">
        <v>5999.9999162792001</v>
      </c>
      <c r="AS7" s="76">
        <v>5999.9999162792001</v>
      </c>
      <c r="AT7" s="76">
        <v>5999.9999162792001</v>
      </c>
    </row>
    <row r="8" spans="2:67" x14ac:dyDescent="0.2">
      <c r="B8" t="s">
        <v>8</v>
      </c>
      <c r="D8" s="76">
        <v>409</v>
      </c>
      <c r="E8" s="76">
        <v>627</v>
      </c>
      <c r="F8" s="76">
        <v>845</v>
      </c>
      <c r="G8" s="76">
        <v>1063</v>
      </c>
      <c r="H8" s="76">
        <f t="shared" si="0"/>
        <v>2944</v>
      </c>
      <c r="I8" s="76">
        <v>1282</v>
      </c>
      <c r="J8" s="76">
        <v>1500</v>
      </c>
      <c r="K8" s="76">
        <v>1500</v>
      </c>
      <c r="L8" s="76">
        <v>1500</v>
      </c>
      <c r="M8" s="76">
        <v>1500</v>
      </c>
      <c r="N8" s="76">
        <v>1500</v>
      </c>
      <c r="O8" s="76">
        <v>1500</v>
      </c>
      <c r="P8" s="76">
        <v>1500</v>
      </c>
      <c r="Q8" s="76">
        <v>1500</v>
      </c>
      <c r="R8" s="76">
        <v>1500</v>
      </c>
      <c r="S8" s="76">
        <v>1500</v>
      </c>
      <c r="T8" s="76">
        <v>1500</v>
      </c>
      <c r="U8" s="76"/>
      <c r="V8" s="76">
        <v>1500</v>
      </c>
      <c r="W8" s="76">
        <v>1500</v>
      </c>
      <c r="X8" s="76">
        <v>1579</v>
      </c>
      <c r="Y8" s="76">
        <v>1658</v>
      </c>
      <c r="Z8" s="76">
        <v>1737</v>
      </c>
      <c r="AA8" s="76">
        <v>1816</v>
      </c>
      <c r="AB8" s="76">
        <v>1895</v>
      </c>
      <c r="AC8" s="76">
        <v>1974</v>
      </c>
      <c r="AD8" s="76">
        <v>2053</v>
      </c>
      <c r="AE8" s="76">
        <v>2132</v>
      </c>
      <c r="AF8" s="76">
        <v>2210</v>
      </c>
      <c r="AG8" s="76">
        <v>2289</v>
      </c>
      <c r="AH8" s="76"/>
      <c r="AI8" s="76">
        <v>2368</v>
      </c>
      <c r="AJ8" s="76">
        <v>2447</v>
      </c>
      <c r="AK8" s="76">
        <v>2526</v>
      </c>
      <c r="AL8" s="76">
        <v>2604</v>
      </c>
      <c r="AM8" s="76">
        <v>2683</v>
      </c>
      <c r="AN8" s="76">
        <v>2762</v>
      </c>
      <c r="AO8" s="76">
        <v>2841</v>
      </c>
      <c r="AP8" s="76">
        <v>2999.9999581396</v>
      </c>
      <c r="AQ8" s="76">
        <v>2999.9999581396</v>
      </c>
      <c r="AR8" s="76">
        <v>2999.9999581396</v>
      </c>
      <c r="AS8" s="76">
        <v>2999.9999581396</v>
      </c>
      <c r="AT8" s="76">
        <v>2999.9999581396</v>
      </c>
    </row>
    <row r="9" spans="2:67" x14ac:dyDescent="0.2">
      <c r="B9" s="114" t="s">
        <v>9</v>
      </c>
      <c r="C9" s="114"/>
      <c r="D9" s="121">
        <v>409</v>
      </c>
      <c r="E9" s="121">
        <v>627</v>
      </c>
      <c r="F9" s="121">
        <v>845</v>
      </c>
      <c r="G9" s="121">
        <v>1063</v>
      </c>
      <c r="H9" s="121">
        <f t="shared" si="0"/>
        <v>2944</v>
      </c>
      <c r="I9" s="121">
        <v>1282</v>
      </c>
      <c r="J9" s="121">
        <v>1500</v>
      </c>
      <c r="K9" s="121">
        <v>1500</v>
      </c>
      <c r="L9" s="121">
        <v>1500</v>
      </c>
      <c r="M9" s="121">
        <v>1500</v>
      </c>
      <c r="N9" s="121">
        <v>1500</v>
      </c>
      <c r="O9" s="121">
        <v>1500</v>
      </c>
      <c r="P9" s="121">
        <v>1500</v>
      </c>
      <c r="Q9" s="121">
        <v>1500</v>
      </c>
      <c r="R9" s="121">
        <v>1500</v>
      </c>
      <c r="S9" s="121">
        <v>1500</v>
      </c>
      <c r="T9" s="121">
        <v>1500</v>
      </c>
      <c r="U9" s="121"/>
      <c r="V9" s="121">
        <v>1500</v>
      </c>
      <c r="W9" s="121">
        <v>1500</v>
      </c>
      <c r="X9" s="121">
        <v>1579</v>
      </c>
      <c r="Y9" s="121">
        <v>1658</v>
      </c>
      <c r="Z9" s="121">
        <v>1736</v>
      </c>
      <c r="AA9" s="121">
        <v>1815</v>
      </c>
      <c r="AB9" s="121">
        <v>1894</v>
      </c>
      <c r="AC9" s="121">
        <v>1973</v>
      </c>
      <c r="AD9" s="121">
        <v>2052</v>
      </c>
      <c r="AE9" s="121">
        <v>2131</v>
      </c>
      <c r="AF9" s="121">
        <v>2211</v>
      </c>
      <c r="AG9" s="121">
        <v>2290</v>
      </c>
      <c r="AH9" s="121"/>
      <c r="AI9" s="121">
        <v>2368</v>
      </c>
      <c r="AJ9" s="121">
        <v>2447</v>
      </c>
      <c r="AK9" s="121">
        <v>2526</v>
      </c>
      <c r="AL9" s="121">
        <v>2605</v>
      </c>
      <c r="AM9" s="121">
        <v>2684</v>
      </c>
      <c r="AN9" s="121">
        <v>2763</v>
      </c>
      <c r="AO9" s="121">
        <v>2842</v>
      </c>
      <c r="AP9" s="121">
        <v>2999.9999581396</v>
      </c>
      <c r="AQ9" s="121">
        <v>2999.9999581396</v>
      </c>
      <c r="AR9" s="121">
        <v>2999.9999581396</v>
      </c>
      <c r="AS9" s="121">
        <v>2999.9999581396</v>
      </c>
      <c r="AT9" s="121">
        <v>2999.9999581396</v>
      </c>
      <c r="AU9" s="114"/>
    </row>
    <row r="10" spans="2:67" x14ac:dyDescent="0.2">
      <c r="B10" s="6" t="s">
        <v>145</v>
      </c>
      <c r="C10" s="6"/>
      <c r="D10" s="252">
        <f>SUM(D6:D9)</f>
        <v>2250</v>
      </c>
      <c r="E10" s="252">
        <f t="shared" ref="E10:H10" si="1">SUM(E6:E9)</f>
        <v>3450</v>
      </c>
      <c r="F10" s="252">
        <f t="shared" si="1"/>
        <v>4650</v>
      </c>
      <c r="G10" s="252">
        <f t="shared" si="1"/>
        <v>5850</v>
      </c>
      <c r="H10" s="252">
        <f t="shared" si="1"/>
        <v>16200</v>
      </c>
      <c r="I10" s="252">
        <f t="shared" ref="I10" si="2">SUM(I6:I9)</f>
        <v>7050</v>
      </c>
      <c r="J10" s="252">
        <f t="shared" ref="J10" si="3">SUM(J6:J9)</f>
        <v>8250.0001151161014</v>
      </c>
      <c r="K10" s="252">
        <f t="shared" ref="K10" si="4">SUM(K6:K9)</f>
        <v>8250.0001151161014</v>
      </c>
      <c r="L10" s="252">
        <f t="shared" ref="L10" si="5">SUM(L6:L9)</f>
        <v>8250.0001151161014</v>
      </c>
      <c r="M10" s="252">
        <f t="shared" ref="M10" si="6">SUM(M6:M9)</f>
        <v>8250.0001151161014</v>
      </c>
      <c r="N10" s="252">
        <f t="shared" ref="N10" si="7">SUM(N6:N9)</f>
        <v>8250.0001151161014</v>
      </c>
      <c r="O10" s="252">
        <f t="shared" ref="O10" si="8">SUM(O6:O9)</f>
        <v>8250.0001151161014</v>
      </c>
      <c r="P10" s="252">
        <f t="shared" ref="P10" si="9">SUM(P6:P9)</f>
        <v>8250.0001151161014</v>
      </c>
      <c r="Q10" s="252">
        <f t="shared" ref="Q10" si="10">SUM(Q6:Q9)</f>
        <v>8250.0001151161014</v>
      </c>
      <c r="R10" s="252">
        <f t="shared" ref="R10" si="11">SUM(R6:R9)</f>
        <v>8250.0001151161014</v>
      </c>
      <c r="S10" s="252">
        <f t="shared" ref="S10" si="12">SUM(S6:S9)</f>
        <v>8250.0001151161014</v>
      </c>
      <c r="T10" s="252">
        <f t="shared" ref="T10" si="13">SUM(T6:T9)</f>
        <v>8250.0001151161014</v>
      </c>
      <c r="U10" s="252"/>
      <c r="V10" s="252">
        <f t="shared" ref="V10" si="14">SUM(V6:V9)</f>
        <v>8250.0001151161014</v>
      </c>
      <c r="W10" s="252">
        <f t="shared" ref="W10" si="15">SUM(W6:W9)</f>
        <v>8250.0001151161014</v>
      </c>
      <c r="X10" s="252">
        <f t="shared" ref="X10" si="16">SUM(X6:X9)</f>
        <v>8684</v>
      </c>
      <c r="Y10" s="252">
        <f t="shared" ref="Y10" si="17">SUM(Y6:Y9)</f>
        <v>9118</v>
      </c>
      <c r="Z10" s="252">
        <f t="shared" ref="Z10" si="18">SUM(Z6:Z9)</f>
        <v>9552</v>
      </c>
      <c r="AA10" s="252">
        <f t="shared" ref="AA10" si="19">SUM(AA6:AA9)</f>
        <v>9986</v>
      </c>
      <c r="AB10" s="252">
        <f t="shared" ref="AB10" si="20">SUM(AB6:AB9)</f>
        <v>10420</v>
      </c>
      <c r="AC10" s="252">
        <f t="shared" ref="AC10" si="21">SUM(AC6:AC9)</f>
        <v>10854</v>
      </c>
      <c r="AD10" s="252">
        <f t="shared" ref="AD10" si="22">SUM(AD6:AD9)</f>
        <v>11288</v>
      </c>
      <c r="AE10" s="252">
        <f t="shared" ref="AE10" si="23">SUM(AE6:AE9)</f>
        <v>11722</v>
      </c>
      <c r="AF10" s="252">
        <f t="shared" ref="AF10" si="24">SUM(AF6:AF9)</f>
        <v>12156</v>
      </c>
      <c r="AG10" s="252">
        <f t="shared" ref="AG10" si="25">SUM(AG6:AG9)</f>
        <v>12590</v>
      </c>
      <c r="AH10" s="252"/>
      <c r="AI10" s="252">
        <f t="shared" ref="AI10" si="26">SUM(AI6:AI9)</f>
        <v>13024</v>
      </c>
      <c r="AJ10" s="252">
        <f t="shared" ref="AJ10" si="27">SUM(AJ6:AJ9)</f>
        <v>13458</v>
      </c>
      <c r="AK10" s="252">
        <f t="shared" ref="AK10" si="28">SUM(AK6:AK9)</f>
        <v>13892</v>
      </c>
      <c r="AL10" s="252">
        <f t="shared" ref="AL10" si="29">SUM(AL6:AL9)</f>
        <v>14326</v>
      </c>
      <c r="AM10" s="252">
        <f t="shared" ref="AM10" si="30">SUM(AM6:AM9)</f>
        <v>14760</v>
      </c>
      <c r="AN10" s="252">
        <f t="shared" ref="AN10" si="31">SUM(AN6:AN9)</f>
        <v>15194</v>
      </c>
      <c r="AO10" s="252">
        <f t="shared" ref="AO10" si="32">SUM(AO6:AO9)</f>
        <v>15628</v>
      </c>
      <c r="AP10" s="252">
        <f t="shared" ref="AP10" si="33">SUM(AP6:AP9)</f>
        <v>16500</v>
      </c>
      <c r="AQ10" s="252">
        <f t="shared" ref="AQ10" si="34">SUM(AQ6:AQ9)</f>
        <v>16500</v>
      </c>
      <c r="AR10" s="252">
        <f t="shared" ref="AR10" si="35">SUM(AR6:AR9)</f>
        <v>16500</v>
      </c>
      <c r="AS10" s="252">
        <f t="shared" ref="AS10" si="36">SUM(AS6:AS9)</f>
        <v>16500</v>
      </c>
      <c r="AT10" s="252">
        <f t="shared" ref="AT10" si="37">SUM(AT6:AT9)</f>
        <v>16500</v>
      </c>
    </row>
    <row r="13" spans="2:67" x14ac:dyDescent="0.2">
      <c r="B13" s="10" t="s">
        <v>357</v>
      </c>
      <c r="C13" s="11">
        <f>C5</f>
        <v>45899</v>
      </c>
      <c r="D13" s="11">
        <f t="shared" ref="D13:AU13" si="38">D5</f>
        <v>45930</v>
      </c>
      <c r="E13" s="11">
        <f t="shared" si="38"/>
        <v>45961</v>
      </c>
      <c r="F13" s="11">
        <f t="shared" si="38"/>
        <v>45991</v>
      </c>
      <c r="G13" s="11">
        <f t="shared" si="38"/>
        <v>46022</v>
      </c>
      <c r="H13" s="10">
        <f t="shared" si="38"/>
        <v>2025</v>
      </c>
      <c r="I13" s="11">
        <f t="shared" si="38"/>
        <v>46053</v>
      </c>
      <c r="J13" s="11">
        <f t="shared" si="38"/>
        <v>46081</v>
      </c>
      <c r="K13" s="11">
        <f t="shared" si="38"/>
        <v>46112</v>
      </c>
      <c r="L13" s="11">
        <f t="shared" si="38"/>
        <v>46142</v>
      </c>
      <c r="M13" s="11">
        <f t="shared" si="38"/>
        <v>46173</v>
      </c>
      <c r="N13" s="11">
        <f t="shared" si="38"/>
        <v>46203</v>
      </c>
      <c r="O13" s="11">
        <f t="shared" si="38"/>
        <v>46234</v>
      </c>
      <c r="P13" s="11">
        <f t="shared" si="38"/>
        <v>46265</v>
      </c>
      <c r="Q13" s="11">
        <f t="shared" si="38"/>
        <v>46295</v>
      </c>
      <c r="R13" s="11">
        <f t="shared" si="38"/>
        <v>46326</v>
      </c>
      <c r="S13" s="11">
        <f t="shared" si="38"/>
        <v>46356</v>
      </c>
      <c r="T13" s="11">
        <f t="shared" si="38"/>
        <v>46387</v>
      </c>
      <c r="U13" s="10">
        <f t="shared" si="38"/>
        <v>2026</v>
      </c>
      <c r="V13" s="11">
        <f t="shared" si="38"/>
        <v>46418</v>
      </c>
      <c r="W13" s="11">
        <f t="shared" si="38"/>
        <v>46446</v>
      </c>
      <c r="X13" s="11">
        <f t="shared" si="38"/>
        <v>46477</v>
      </c>
      <c r="Y13" s="11">
        <f t="shared" si="38"/>
        <v>46507</v>
      </c>
      <c r="Z13" s="11">
        <f t="shared" si="38"/>
        <v>46538</v>
      </c>
      <c r="AA13" s="11">
        <f t="shared" si="38"/>
        <v>46568</v>
      </c>
      <c r="AB13" s="11">
        <f t="shared" si="38"/>
        <v>46599</v>
      </c>
      <c r="AC13" s="11">
        <f t="shared" si="38"/>
        <v>46630</v>
      </c>
      <c r="AD13" s="11">
        <f t="shared" si="38"/>
        <v>46660</v>
      </c>
      <c r="AE13" s="11">
        <f t="shared" si="38"/>
        <v>46691</v>
      </c>
      <c r="AF13" s="11">
        <f t="shared" si="38"/>
        <v>46721</v>
      </c>
      <c r="AG13" s="11">
        <f t="shared" si="38"/>
        <v>46752</v>
      </c>
      <c r="AH13" s="10">
        <f t="shared" si="38"/>
        <v>2027</v>
      </c>
      <c r="AI13" s="11">
        <f t="shared" si="38"/>
        <v>46783</v>
      </c>
      <c r="AJ13" s="11">
        <f t="shared" si="38"/>
        <v>46812</v>
      </c>
      <c r="AK13" s="11">
        <f t="shared" si="38"/>
        <v>46843</v>
      </c>
      <c r="AL13" s="11">
        <f t="shared" si="38"/>
        <v>46873</v>
      </c>
      <c r="AM13" s="11">
        <f t="shared" si="38"/>
        <v>46904</v>
      </c>
      <c r="AN13" s="11">
        <f t="shared" si="38"/>
        <v>46934</v>
      </c>
      <c r="AO13" s="11">
        <f t="shared" si="38"/>
        <v>46965</v>
      </c>
      <c r="AP13" s="11">
        <f t="shared" si="38"/>
        <v>46996</v>
      </c>
      <c r="AQ13" s="11">
        <f t="shared" si="38"/>
        <v>47026</v>
      </c>
      <c r="AR13" s="11">
        <f t="shared" si="38"/>
        <v>47057</v>
      </c>
      <c r="AS13" s="11">
        <f t="shared" si="38"/>
        <v>47087</v>
      </c>
      <c r="AT13" s="11">
        <f t="shared" si="38"/>
        <v>47118</v>
      </c>
      <c r="AU13" s="10">
        <f t="shared" si="38"/>
        <v>2028</v>
      </c>
      <c r="AV13" s="217"/>
      <c r="AW13" s="217"/>
      <c r="AX13" s="217"/>
      <c r="AY13" s="217"/>
      <c r="AZ13" s="217"/>
      <c r="BA13" s="217"/>
      <c r="BB13" s="216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6"/>
    </row>
    <row r="14" spans="2:67" x14ac:dyDescent="0.2">
      <c r="B14" t="s">
        <v>6</v>
      </c>
      <c r="C14" s="75">
        <f>C23</f>
        <v>2000</v>
      </c>
      <c r="D14" s="75">
        <f>D23</f>
        <v>1386</v>
      </c>
      <c r="E14" s="75">
        <f t="shared" ref="E14:AT14" si="39">E23</f>
        <v>2445</v>
      </c>
      <c r="F14" s="75">
        <f t="shared" si="39"/>
        <v>1176</v>
      </c>
      <c r="G14" s="75">
        <f>G23</f>
        <v>1580</v>
      </c>
      <c r="H14" s="75">
        <f t="shared" si="39"/>
        <v>0</v>
      </c>
      <c r="I14" s="75">
        <f>I23</f>
        <v>1658</v>
      </c>
      <c r="J14" s="75">
        <f t="shared" si="39"/>
        <v>3407.9998848838982</v>
      </c>
      <c r="K14" s="75">
        <f t="shared" si="39"/>
        <v>3157.9997697677968</v>
      </c>
      <c r="L14" s="75">
        <f t="shared" si="39"/>
        <v>4907.9996546516959</v>
      </c>
      <c r="M14" s="75">
        <f t="shared" si="39"/>
        <v>4657.9995395355945</v>
      </c>
      <c r="N14" s="75">
        <f t="shared" si="39"/>
        <v>4407.9994244194932</v>
      </c>
      <c r="O14" s="75">
        <f t="shared" si="39"/>
        <v>4157.9993093033918</v>
      </c>
      <c r="P14" s="75">
        <f t="shared" si="39"/>
        <v>3907.99919418729</v>
      </c>
      <c r="Q14" s="75">
        <f t="shared" si="39"/>
        <v>3657.9990790711886</v>
      </c>
      <c r="R14" s="75">
        <f t="shared" si="39"/>
        <v>3407.9989639550872</v>
      </c>
      <c r="S14" s="75">
        <f t="shared" si="39"/>
        <v>3157.9988488389859</v>
      </c>
      <c r="T14" s="75">
        <f t="shared" si="39"/>
        <v>2907.9987337228845</v>
      </c>
      <c r="U14" s="75">
        <f t="shared" si="39"/>
        <v>0</v>
      </c>
      <c r="V14" s="75">
        <f t="shared" si="39"/>
        <v>4657.9986186067836</v>
      </c>
      <c r="W14" s="75">
        <f t="shared" si="39"/>
        <v>4407.9985034906822</v>
      </c>
      <c r="X14" s="75">
        <f t="shared" si="39"/>
        <v>4039.9985034906822</v>
      </c>
      <c r="Y14" s="75">
        <f t="shared" si="39"/>
        <v>3553.9985034906822</v>
      </c>
      <c r="Z14" s="75">
        <f t="shared" si="39"/>
        <v>4948.9985034906822</v>
      </c>
      <c r="AA14" s="75">
        <f t="shared" si="39"/>
        <v>4225.9985034906822</v>
      </c>
      <c r="AB14" s="75">
        <f t="shared" si="39"/>
        <v>3384.9985034906822</v>
      </c>
      <c r="AC14" s="75">
        <f t="shared" si="39"/>
        <v>2424.9985034906822</v>
      </c>
      <c r="AD14" s="75">
        <f t="shared" si="39"/>
        <v>3346.9985034906822</v>
      </c>
      <c r="AE14" s="75">
        <f t="shared" si="39"/>
        <v>4150.9985034906822</v>
      </c>
      <c r="AF14" s="75">
        <f t="shared" si="39"/>
        <v>4835.9985034906822</v>
      </c>
      <c r="AG14" s="75">
        <f>AG23</f>
        <v>3402.9985034906822</v>
      </c>
      <c r="AH14" s="75">
        <f t="shared" si="39"/>
        <v>0</v>
      </c>
      <c r="AI14" s="75">
        <f t="shared" si="39"/>
        <v>3850.9985034906822</v>
      </c>
      <c r="AJ14" s="75">
        <f t="shared" si="39"/>
        <v>4180.9985034906822</v>
      </c>
      <c r="AK14" s="75">
        <f t="shared" si="39"/>
        <v>4392.9985034906822</v>
      </c>
      <c r="AL14" s="75">
        <f t="shared" si="39"/>
        <v>4485.9985034906822</v>
      </c>
      <c r="AM14" s="75">
        <f t="shared" si="39"/>
        <v>4460.9985034906822</v>
      </c>
      <c r="AN14" s="75">
        <f t="shared" si="39"/>
        <v>4317.9985034906822</v>
      </c>
      <c r="AO14" s="75">
        <f t="shared" si="39"/>
        <v>4055.9985034906822</v>
      </c>
      <c r="AP14" s="75">
        <f t="shared" si="39"/>
        <v>3555.9983360490824</v>
      </c>
      <c r="AQ14" s="75">
        <f t="shared" si="39"/>
        <v>5055.9981686074825</v>
      </c>
      <c r="AR14" s="75">
        <f t="shared" si="39"/>
        <v>4555.9980011658827</v>
      </c>
      <c r="AS14" s="75">
        <f t="shared" si="39"/>
        <v>4055.9978337242828</v>
      </c>
      <c r="AT14" s="75">
        <f t="shared" si="39"/>
        <v>5555.997666282683</v>
      </c>
    </row>
    <row r="15" spans="2:67" x14ac:dyDescent="0.2">
      <c r="B15" t="s">
        <v>7</v>
      </c>
      <c r="C15" s="75">
        <f>C29</f>
        <v>2000</v>
      </c>
      <c r="D15" s="75">
        <f t="shared" ref="D15:AT15" si="40">D29</f>
        <v>1182</v>
      </c>
      <c r="E15" s="75">
        <f t="shared" si="40"/>
        <v>1927</v>
      </c>
      <c r="F15" s="75">
        <f t="shared" si="40"/>
        <v>2236</v>
      </c>
      <c r="G15" s="75">
        <f>G29</f>
        <v>2108</v>
      </c>
      <c r="H15" s="75">
        <f t="shared" si="40"/>
        <v>0</v>
      </c>
      <c r="I15" s="75">
        <f t="shared" si="40"/>
        <v>3544</v>
      </c>
      <c r="J15" s="75">
        <f t="shared" si="40"/>
        <v>4544</v>
      </c>
      <c r="K15" s="75">
        <f t="shared" si="40"/>
        <v>3544</v>
      </c>
      <c r="L15" s="75">
        <f t="shared" si="40"/>
        <v>4544</v>
      </c>
      <c r="M15" s="75">
        <f t="shared" si="40"/>
        <v>3544</v>
      </c>
      <c r="N15" s="75">
        <f t="shared" si="40"/>
        <v>4544</v>
      </c>
      <c r="O15" s="75">
        <f t="shared" si="40"/>
        <v>3544</v>
      </c>
      <c r="P15" s="75">
        <f t="shared" si="40"/>
        <v>4544</v>
      </c>
      <c r="Q15" s="75">
        <f t="shared" si="40"/>
        <v>3544</v>
      </c>
      <c r="R15" s="75">
        <f t="shared" si="40"/>
        <v>4544</v>
      </c>
      <c r="S15" s="75">
        <f t="shared" si="40"/>
        <v>3544</v>
      </c>
      <c r="T15" s="75">
        <f t="shared" si="40"/>
        <v>4544</v>
      </c>
      <c r="U15" s="75">
        <f t="shared" si="40"/>
        <v>0</v>
      </c>
      <c r="V15" s="75">
        <f t="shared" si="40"/>
        <v>5544</v>
      </c>
      <c r="W15" s="75">
        <f t="shared" si="40"/>
        <v>4544</v>
      </c>
      <c r="X15" s="75">
        <f t="shared" si="40"/>
        <v>5386</v>
      </c>
      <c r="Y15" s="75">
        <f t="shared" si="40"/>
        <v>4070</v>
      </c>
      <c r="Z15" s="75">
        <f t="shared" si="40"/>
        <v>2596</v>
      </c>
      <c r="AA15" s="75">
        <f t="shared" si="40"/>
        <v>2964</v>
      </c>
      <c r="AB15" s="75">
        <f t="shared" si="40"/>
        <v>3174</v>
      </c>
      <c r="AC15" s="75">
        <f t="shared" si="40"/>
        <v>3227</v>
      </c>
      <c r="AD15" s="75">
        <f t="shared" si="40"/>
        <v>3122</v>
      </c>
      <c r="AE15" s="75">
        <f t="shared" si="40"/>
        <v>4859</v>
      </c>
      <c r="AF15" s="75">
        <f t="shared" si="40"/>
        <v>4439</v>
      </c>
      <c r="AG15" s="75">
        <f t="shared" si="40"/>
        <v>5861</v>
      </c>
      <c r="AH15" s="75">
        <f t="shared" si="40"/>
        <v>0</v>
      </c>
      <c r="AI15" s="75">
        <f t="shared" si="40"/>
        <v>5125</v>
      </c>
      <c r="AJ15" s="75">
        <f t="shared" si="40"/>
        <v>6231</v>
      </c>
      <c r="AK15" s="75">
        <f t="shared" si="40"/>
        <v>7179</v>
      </c>
      <c r="AL15" s="75">
        <f t="shared" si="40"/>
        <v>5969</v>
      </c>
      <c r="AM15" s="75">
        <f t="shared" si="40"/>
        <v>6601</v>
      </c>
      <c r="AN15" s="75">
        <f t="shared" si="40"/>
        <v>5075</v>
      </c>
      <c r="AO15" s="75">
        <f t="shared" si="40"/>
        <v>5392</v>
      </c>
      <c r="AP15" s="75">
        <f t="shared" si="40"/>
        <v>5392.0000837207999</v>
      </c>
      <c r="AQ15" s="75">
        <f t="shared" si="40"/>
        <v>5392.0001674415989</v>
      </c>
      <c r="AR15" s="75">
        <f t="shared" si="40"/>
        <v>5392.0002511623979</v>
      </c>
      <c r="AS15" s="75">
        <f t="shared" si="40"/>
        <v>5392.000334883197</v>
      </c>
      <c r="AT15" s="75">
        <f t="shared" si="40"/>
        <v>5392.000418603996</v>
      </c>
    </row>
    <row r="16" spans="2:67" x14ac:dyDescent="0.2">
      <c r="B16" t="s">
        <v>8</v>
      </c>
      <c r="C16" s="75">
        <f>C35</f>
        <v>2000</v>
      </c>
      <c r="D16" s="75">
        <f t="shared" ref="D16:AT16" si="41">D35</f>
        <v>1591</v>
      </c>
      <c r="E16" s="75">
        <f t="shared" si="41"/>
        <v>2964</v>
      </c>
      <c r="F16" s="75">
        <f t="shared" si="41"/>
        <v>2119</v>
      </c>
      <c r="G16" s="75">
        <f t="shared" si="41"/>
        <v>3056</v>
      </c>
      <c r="H16" s="75">
        <f t="shared" si="41"/>
        <v>0</v>
      </c>
      <c r="I16" s="75">
        <f t="shared" si="41"/>
        <v>3774</v>
      </c>
      <c r="J16" s="75">
        <f t="shared" si="41"/>
        <v>2274</v>
      </c>
      <c r="K16" s="75">
        <f t="shared" si="41"/>
        <v>2774</v>
      </c>
      <c r="L16" s="75">
        <f t="shared" si="41"/>
        <v>1274</v>
      </c>
      <c r="M16" s="75">
        <f t="shared" si="41"/>
        <v>1774</v>
      </c>
      <c r="N16" s="75">
        <f t="shared" si="41"/>
        <v>2274</v>
      </c>
      <c r="O16" s="75">
        <f t="shared" si="41"/>
        <v>2774</v>
      </c>
      <c r="P16" s="75">
        <f t="shared" si="41"/>
        <v>3274</v>
      </c>
      <c r="Q16" s="75">
        <f t="shared" si="41"/>
        <v>3774</v>
      </c>
      <c r="R16" s="75">
        <f t="shared" si="41"/>
        <v>2274</v>
      </c>
      <c r="S16" s="75">
        <f t="shared" si="41"/>
        <v>2774</v>
      </c>
      <c r="T16" s="75">
        <f t="shared" si="41"/>
        <v>3274</v>
      </c>
      <c r="U16" s="75">
        <f t="shared" si="41"/>
        <v>0</v>
      </c>
      <c r="V16" s="75">
        <f t="shared" si="41"/>
        <v>3774</v>
      </c>
      <c r="W16" s="75">
        <f t="shared" si="41"/>
        <v>2274</v>
      </c>
      <c r="X16" s="75">
        <f t="shared" si="41"/>
        <v>2695</v>
      </c>
      <c r="Y16" s="75">
        <f t="shared" si="41"/>
        <v>3037</v>
      </c>
      <c r="Z16" s="75">
        <f t="shared" si="41"/>
        <v>3300</v>
      </c>
      <c r="AA16" s="75">
        <f t="shared" si="41"/>
        <v>3484</v>
      </c>
      <c r="AB16" s="75">
        <f t="shared" si="41"/>
        <v>3589</v>
      </c>
      <c r="AC16" s="75">
        <f t="shared" si="41"/>
        <v>3615</v>
      </c>
      <c r="AD16" s="75">
        <f t="shared" si="41"/>
        <v>3562</v>
      </c>
      <c r="AE16" s="75">
        <f t="shared" si="41"/>
        <v>3430</v>
      </c>
      <c r="AF16" s="75">
        <f t="shared" si="41"/>
        <v>3220</v>
      </c>
      <c r="AG16" s="75">
        <f t="shared" si="41"/>
        <v>2931</v>
      </c>
      <c r="AH16" s="75">
        <f t="shared" si="41"/>
        <v>0</v>
      </c>
      <c r="AI16" s="75">
        <f t="shared" si="41"/>
        <v>2563</v>
      </c>
      <c r="AJ16" s="75">
        <f t="shared" si="41"/>
        <v>2116</v>
      </c>
      <c r="AK16" s="75">
        <f t="shared" si="41"/>
        <v>3590</v>
      </c>
      <c r="AL16" s="75">
        <f t="shared" si="41"/>
        <v>2986</v>
      </c>
      <c r="AM16" s="75">
        <f t="shared" si="41"/>
        <v>2303</v>
      </c>
      <c r="AN16" s="75">
        <f t="shared" si="41"/>
        <v>3541</v>
      </c>
      <c r="AO16" s="75">
        <f t="shared" si="41"/>
        <v>4700</v>
      </c>
      <c r="AP16" s="75">
        <f t="shared" si="41"/>
        <v>3700.0000418604</v>
      </c>
      <c r="AQ16" s="75">
        <f t="shared" si="41"/>
        <v>4700.000083720799</v>
      </c>
      <c r="AR16" s="75">
        <f t="shared" si="41"/>
        <v>3700.000125581199</v>
      </c>
      <c r="AS16" s="75">
        <f t="shared" si="41"/>
        <v>4700.000167441598</v>
      </c>
      <c r="AT16" s="75">
        <f t="shared" si="41"/>
        <v>5700.0002093019975</v>
      </c>
    </row>
    <row r="17" spans="2:67" x14ac:dyDescent="0.2">
      <c r="B17" t="s">
        <v>9</v>
      </c>
      <c r="C17" s="75">
        <f>C41</f>
        <v>3000</v>
      </c>
      <c r="D17" s="75">
        <f t="shared" ref="D17:AT17" si="42">D41</f>
        <v>2591</v>
      </c>
      <c r="E17" s="75">
        <f t="shared" si="42"/>
        <v>1964</v>
      </c>
      <c r="F17" s="75">
        <f t="shared" si="42"/>
        <v>1119</v>
      </c>
      <c r="G17" s="75">
        <f t="shared" si="42"/>
        <v>3056</v>
      </c>
      <c r="H17" s="75">
        <f t="shared" si="42"/>
        <v>0</v>
      </c>
      <c r="I17" s="75">
        <f t="shared" si="42"/>
        <v>1774</v>
      </c>
      <c r="J17" s="75">
        <f t="shared" si="42"/>
        <v>3274</v>
      </c>
      <c r="K17" s="75">
        <f t="shared" si="42"/>
        <v>1774</v>
      </c>
      <c r="L17" s="75">
        <f t="shared" si="42"/>
        <v>3274</v>
      </c>
      <c r="M17" s="75">
        <f t="shared" si="42"/>
        <v>1774</v>
      </c>
      <c r="N17" s="75">
        <f t="shared" si="42"/>
        <v>274</v>
      </c>
      <c r="O17" s="75">
        <f t="shared" si="42"/>
        <v>1774</v>
      </c>
      <c r="P17" s="75">
        <f t="shared" si="42"/>
        <v>274</v>
      </c>
      <c r="Q17" s="75">
        <f t="shared" si="42"/>
        <v>1774</v>
      </c>
      <c r="R17" s="75">
        <f t="shared" si="42"/>
        <v>3274</v>
      </c>
      <c r="S17" s="75">
        <f t="shared" si="42"/>
        <v>1774</v>
      </c>
      <c r="T17" s="75">
        <f t="shared" si="42"/>
        <v>3274</v>
      </c>
      <c r="U17" s="75">
        <f t="shared" si="42"/>
        <v>0</v>
      </c>
      <c r="V17" s="75">
        <f t="shared" si="42"/>
        <v>1774</v>
      </c>
      <c r="W17" s="75">
        <f t="shared" si="42"/>
        <v>3274</v>
      </c>
      <c r="X17" s="75">
        <f t="shared" si="42"/>
        <v>1695</v>
      </c>
      <c r="Y17" s="75">
        <f t="shared" si="42"/>
        <v>3037</v>
      </c>
      <c r="Z17" s="75">
        <f t="shared" si="42"/>
        <v>1301</v>
      </c>
      <c r="AA17" s="75">
        <f t="shared" si="42"/>
        <v>2486</v>
      </c>
      <c r="AB17" s="75">
        <f t="shared" si="42"/>
        <v>3592</v>
      </c>
      <c r="AC17" s="75">
        <f t="shared" si="42"/>
        <v>1619</v>
      </c>
      <c r="AD17" s="75">
        <f t="shared" si="42"/>
        <v>2567</v>
      </c>
      <c r="AE17" s="75">
        <f t="shared" si="42"/>
        <v>3436</v>
      </c>
      <c r="AF17" s="75">
        <f t="shared" si="42"/>
        <v>1225</v>
      </c>
      <c r="AG17" s="75">
        <f t="shared" si="42"/>
        <v>4935</v>
      </c>
      <c r="AH17" s="75">
        <f t="shared" si="42"/>
        <v>0</v>
      </c>
      <c r="AI17" s="75">
        <f t="shared" si="42"/>
        <v>5567</v>
      </c>
      <c r="AJ17" s="75">
        <f t="shared" si="42"/>
        <v>3120</v>
      </c>
      <c r="AK17" s="75">
        <f t="shared" si="42"/>
        <v>3594</v>
      </c>
      <c r="AL17" s="75">
        <f t="shared" si="42"/>
        <v>3989</v>
      </c>
      <c r="AM17" s="75">
        <f t="shared" si="42"/>
        <v>4305</v>
      </c>
      <c r="AN17" s="75">
        <f t="shared" si="42"/>
        <v>4542</v>
      </c>
      <c r="AO17" s="75">
        <f t="shared" si="42"/>
        <v>4700</v>
      </c>
      <c r="AP17" s="75">
        <f t="shared" si="42"/>
        <v>4700.0000418603995</v>
      </c>
      <c r="AQ17" s="75">
        <f t="shared" si="42"/>
        <v>4700.000083720799</v>
      </c>
      <c r="AR17" s="75">
        <f t="shared" si="42"/>
        <v>4700.0001255811985</v>
      </c>
      <c r="AS17" s="75">
        <f t="shared" si="42"/>
        <v>4700.000167441598</v>
      </c>
      <c r="AT17" s="75">
        <f t="shared" si="42"/>
        <v>4700.0002093019975</v>
      </c>
    </row>
    <row r="18" spans="2:67" x14ac:dyDescent="0.2"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</row>
    <row r="19" spans="2:67" x14ac:dyDescent="0.2">
      <c r="B19" s="10" t="s">
        <v>358</v>
      </c>
      <c r="C19" s="11">
        <f>C13</f>
        <v>45899</v>
      </c>
      <c r="D19" s="11">
        <f t="shared" ref="D19:AU19" si="43">D13</f>
        <v>45930</v>
      </c>
      <c r="E19" s="11">
        <f t="shared" si="43"/>
        <v>45961</v>
      </c>
      <c r="F19" s="11">
        <f t="shared" si="43"/>
        <v>45991</v>
      </c>
      <c r="G19" s="11">
        <f t="shared" si="43"/>
        <v>46022</v>
      </c>
      <c r="H19" s="10">
        <f t="shared" si="43"/>
        <v>2025</v>
      </c>
      <c r="I19" s="11">
        <f t="shared" si="43"/>
        <v>46053</v>
      </c>
      <c r="J19" s="11">
        <f t="shared" si="43"/>
        <v>46081</v>
      </c>
      <c r="K19" s="11">
        <f t="shared" si="43"/>
        <v>46112</v>
      </c>
      <c r="L19" s="11">
        <f t="shared" si="43"/>
        <v>46142</v>
      </c>
      <c r="M19" s="11">
        <f t="shared" si="43"/>
        <v>46173</v>
      </c>
      <c r="N19" s="11">
        <f t="shared" si="43"/>
        <v>46203</v>
      </c>
      <c r="O19" s="11">
        <f t="shared" si="43"/>
        <v>46234</v>
      </c>
      <c r="P19" s="11">
        <f t="shared" si="43"/>
        <v>46265</v>
      </c>
      <c r="Q19" s="11">
        <f t="shared" si="43"/>
        <v>46295</v>
      </c>
      <c r="R19" s="11">
        <f t="shared" si="43"/>
        <v>46326</v>
      </c>
      <c r="S19" s="11">
        <f t="shared" si="43"/>
        <v>46356</v>
      </c>
      <c r="T19" s="11">
        <f t="shared" si="43"/>
        <v>46387</v>
      </c>
      <c r="U19" s="10">
        <f t="shared" si="43"/>
        <v>2026</v>
      </c>
      <c r="V19" s="11">
        <f t="shared" si="43"/>
        <v>46418</v>
      </c>
      <c r="W19" s="11">
        <f t="shared" si="43"/>
        <v>46446</v>
      </c>
      <c r="X19" s="11">
        <f t="shared" si="43"/>
        <v>46477</v>
      </c>
      <c r="Y19" s="11">
        <f t="shared" si="43"/>
        <v>46507</v>
      </c>
      <c r="Z19" s="11">
        <f t="shared" si="43"/>
        <v>46538</v>
      </c>
      <c r="AA19" s="11">
        <f t="shared" si="43"/>
        <v>46568</v>
      </c>
      <c r="AB19" s="11">
        <f t="shared" si="43"/>
        <v>46599</v>
      </c>
      <c r="AC19" s="11">
        <f t="shared" si="43"/>
        <v>46630</v>
      </c>
      <c r="AD19" s="11">
        <f t="shared" si="43"/>
        <v>46660</v>
      </c>
      <c r="AE19" s="11">
        <f t="shared" si="43"/>
        <v>46691</v>
      </c>
      <c r="AF19" s="11">
        <f t="shared" si="43"/>
        <v>46721</v>
      </c>
      <c r="AG19" s="11">
        <f t="shared" si="43"/>
        <v>46752</v>
      </c>
      <c r="AH19" s="10">
        <f t="shared" si="43"/>
        <v>2027</v>
      </c>
      <c r="AI19" s="11">
        <f t="shared" si="43"/>
        <v>46783</v>
      </c>
      <c r="AJ19" s="11">
        <f t="shared" si="43"/>
        <v>46812</v>
      </c>
      <c r="AK19" s="11">
        <f t="shared" si="43"/>
        <v>46843</v>
      </c>
      <c r="AL19" s="11">
        <f t="shared" si="43"/>
        <v>46873</v>
      </c>
      <c r="AM19" s="11">
        <f t="shared" si="43"/>
        <v>46904</v>
      </c>
      <c r="AN19" s="11">
        <f t="shared" si="43"/>
        <v>46934</v>
      </c>
      <c r="AO19" s="11">
        <f t="shared" si="43"/>
        <v>46965</v>
      </c>
      <c r="AP19" s="11">
        <f t="shared" si="43"/>
        <v>46996</v>
      </c>
      <c r="AQ19" s="11">
        <f t="shared" si="43"/>
        <v>47026</v>
      </c>
      <c r="AR19" s="11">
        <f t="shared" si="43"/>
        <v>47057</v>
      </c>
      <c r="AS19" s="11">
        <f t="shared" si="43"/>
        <v>47087</v>
      </c>
      <c r="AT19" s="11">
        <f t="shared" si="43"/>
        <v>47118</v>
      </c>
      <c r="AU19" s="10">
        <f t="shared" si="43"/>
        <v>2028</v>
      </c>
      <c r="AV19" s="217"/>
      <c r="AW19" s="217"/>
      <c r="AX19" s="217"/>
      <c r="AY19" s="217"/>
      <c r="AZ19" s="217"/>
      <c r="BA19" s="217"/>
      <c r="BB19" s="216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6"/>
    </row>
    <row r="20" spans="2:67" x14ac:dyDescent="0.2">
      <c r="B20" t="s">
        <v>323</v>
      </c>
      <c r="C20" s="253">
        <v>2000</v>
      </c>
      <c r="D20" s="75">
        <f>C23</f>
        <v>2000</v>
      </c>
      <c r="E20" s="75">
        <f t="shared" ref="E20:AT20" si="44">D23</f>
        <v>1386</v>
      </c>
      <c r="F20" s="75">
        <f t="shared" si="44"/>
        <v>2445</v>
      </c>
      <c r="G20" s="75">
        <f t="shared" si="44"/>
        <v>1176</v>
      </c>
      <c r="H20" s="75"/>
      <c r="I20" s="75">
        <f>G23</f>
        <v>1580</v>
      </c>
      <c r="J20" s="75">
        <f t="shared" si="44"/>
        <v>1658</v>
      </c>
      <c r="K20" s="75">
        <f t="shared" si="44"/>
        <v>3407.9998848838982</v>
      </c>
      <c r="L20" s="75">
        <f t="shared" si="44"/>
        <v>3157.9997697677968</v>
      </c>
      <c r="M20" s="75">
        <f t="shared" si="44"/>
        <v>4907.9996546516959</v>
      </c>
      <c r="N20" s="75">
        <f t="shared" si="44"/>
        <v>4657.9995395355945</v>
      </c>
      <c r="O20" s="75">
        <f t="shared" si="44"/>
        <v>4407.9994244194932</v>
      </c>
      <c r="P20" s="75">
        <f t="shared" si="44"/>
        <v>4157.9993093033918</v>
      </c>
      <c r="Q20" s="75">
        <f t="shared" si="44"/>
        <v>3907.99919418729</v>
      </c>
      <c r="R20" s="75">
        <f t="shared" si="44"/>
        <v>3657.9990790711886</v>
      </c>
      <c r="S20" s="75">
        <f t="shared" si="44"/>
        <v>3407.9989639550872</v>
      </c>
      <c r="T20" s="75">
        <f t="shared" si="44"/>
        <v>3157.9988488389859</v>
      </c>
      <c r="U20" s="75"/>
      <c r="V20" s="75">
        <f>T23</f>
        <v>2907.9987337228845</v>
      </c>
      <c r="W20" s="75">
        <f t="shared" si="44"/>
        <v>4657.9986186067836</v>
      </c>
      <c r="X20" s="75">
        <f t="shared" si="44"/>
        <v>4407.9985034906822</v>
      </c>
      <c r="Y20" s="75">
        <f t="shared" si="44"/>
        <v>4039.9985034906822</v>
      </c>
      <c r="Z20" s="75">
        <f t="shared" si="44"/>
        <v>3553.9985034906822</v>
      </c>
      <c r="AA20" s="75">
        <f t="shared" si="44"/>
        <v>4948.9985034906822</v>
      </c>
      <c r="AB20" s="75">
        <f t="shared" si="44"/>
        <v>4225.9985034906822</v>
      </c>
      <c r="AC20" s="75">
        <f t="shared" si="44"/>
        <v>3384.9985034906822</v>
      </c>
      <c r="AD20" s="75">
        <f t="shared" si="44"/>
        <v>2424.9985034906822</v>
      </c>
      <c r="AE20" s="75">
        <f t="shared" si="44"/>
        <v>3346.9985034906822</v>
      </c>
      <c r="AF20" s="75">
        <f t="shared" si="44"/>
        <v>4150.9985034906822</v>
      </c>
      <c r="AG20" s="75">
        <f t="shared" si="44"/>
        <v>4835.9985034906822</v>
      </c>
      <c r="AH20" s="75"/>
      <c r="AI20" s="75">
        <f>AG23</f>
        <v>3402.9985034906822</v>
      </c>
      <c r="AJ20" s="75">
        <f t="shared" si="44"/>
        <v>3850.9985034906822</v>
      </c>
      <c r="AK20" s="75">
        <f t="shared" si="44"/>
        <v>4180.9985034906822</v>
      </c>
      <c r="AL20" s="75">
        <f t="shared" si="44"/>
        <v>4392.9985034906822</v>
      </c>
      <c r="AM20" s="75">
        <f t="shared" si="44"/>
        <v>4485.9985034906822</v>
      </c>
      <c r="AN20" s="75">
        <f t="shared" si="44"/>
        <v>4460.9985034906822</v>
      </c>
      <c r="AO20" s="75">
        <f t="shared" si="44"/>
        <v>4317.9985034906822</v>
      </c>
      <c r="AP20" s="75">
        <f t="shared" si="44"/>
        <v>4055.9985034906822</v>
      </c>
      <c r="AQ20" s="75">
        <f t="shared" si="44"/>
        <v>3555.9983360490824</v>
      </c>
      <c r="AR20" s="75">
        <f t="shared" si="44"/>
        <v>5055.9981686074825</v>
      </c>
      <c r="AS20" s="75">
        <f t="shared" si="44"/>
        <v>4555.9980011658827</v>
      </c>
      <c r="AT20" s="75">
        <f t="shared" si="44"/>
        <v>4055.9978337242828</v>
      </c>
      <c r="AU20" s="75"/>
    </row>
    <row r="21" spans="2:67" x14ac:dyDescent="0.2">
      <c r="B21" t="s">
        <v>324</v>
      </c>
      <c r="C21" s="75">
        <v>0</v>
      </c>
      <c r="D21" s="75"/>
      <c r="E21" s="253">
        <v>2000</v>
      </c>
      <c r="F21" s="253"/>
      <c r="G21" s="253">
        <v>2000</v>
      </c>
      <c r="H21" s="253"/>
      <c r="I21" s="253">
        <v>2000</v>
      </c>
      <c r="J21" s="253">
        <v>4000</v>
      </c>
      <c r="K21" s="253">
        <v>2000</v>
      </c>
      <c r="L21" s="253">
        <v>4000</v>
      </c>
      <c r="M21" s="253">
        <v>2000</v>
      </c>
      <c r="N21" s="253">
        <v>2000</v>
      </c>
      <c r="O21" s="253">
        <v>2000</v>
      </c>
      <c r="P21" s="253">
        <v>2000</v>
      </c>
      <c r="Q21" s="253">
        <v>2000</v>
      </c>
      <c r="R21" s="253">
        <v>2000</v>
      </c>
      <c r="S21" s="253">
        <v>2000</v>
      </c>
      <c r="T21" s="253">
        <v>2000</v>
      </c>
      <c r="U21" s="253"/>
      <c r="V21" s="253">
        <v>4000</v>
      </c>
      <c r="W21" s="253">
        <v>2000</v>
      </c>
      <c r="X21" s="253">
        <v>2000</v>
      </c>
      <c r="Y21" s="253">
        <v>2000</v>
      </c>
      <c r="Z21" s="253">
        <v>4000</v>
      </c>
      <c r="AA21" s="253">
        <v>2000</v>
      </c>
      <c r="AB21" s="253">
        <v>2000</v>
      </c>
      <c r="AC21" s="253">
        <v>2000</v>
      </c>
      <c r="AD21" s="253">
        <v>4000</v>
      </c>
      <c r="AE21" s="253">
        <v>4000</v>
      </c>
      <c r="AF21" s="253">
        <v>4000</v>
      </c>
      <c r="AG21" s="253">
        <v>2000</v>
      </c>
      <c r="AH21" s="253"/>
      <c r="AI21" s="253">
        <v>4000</v>
      </c>
      <c r="AJ21" s="253">
        <v>4000</v>
      </c>
      <c r="AK21" s="253">
        <v>4000</v>
      </c>
      <c r="AL21" s="253">
        <v>4000</v>
      </c>
      <c r="AM21" s="253">
        <v>4000</v>
      </c>
      <c r="AN21" s="253">
        <v>4000</v>
      </c>
      <c r="AO21" s="253">
        <v>4000</v>
      </c>
      <c r="AP21" s="253">
        <v>4000</v>
      </c>
      <c r="AQ21" s="253">
        <v>6000</v>
      </c>
      <c r="AR21" s="253">
        <v>4000</v>
      </c>
      <c r="AS21" s="253">
        <v>4000</v>
      </c>
      <c r="AT21" s="253">
        <v>6000</v>
      </c>
      <c r="AU21" s="244"/>
    </row>
    <row r="22" spans="2:67" x14ac:dyDescent="0.2">
      <c r="B22" s="114" t="s">
        <v>325</v>
      </c>
      <c r="C22" s="144">
        <v>0</v>
      </c>
      <c r="D22" s="144">
        <f>-D6</f>
        <v>-614</v>
      </c>
      <c r="E22" s="144">
        <f t="shared" ref="E22:AT22" si="45">-E6</f>
        <v>-941</v>
      </c>
      <c r="F22" s="144">
        <f t="shared" si="45"/>
        <v>-1269</v>
      </c>
      <c r="G22" s="144">
        <f t="shared" si="45"/>
        <v>-1596</v>
      </c>
      <c r="H22" s="144"/>
      <c r="I22" s="144">
        <f t="shared" si="45"/>
        <v>-1922</v>
      </c>
      <c r="J22" s="144">
        <f t="shared" si="45"/>
        <v>-2250.0001151161018</v>
      </c>
      <c r="K22" s="144">
        <f t="shared" si="45"/>
        <v>-2250.0001151161018</v>
      </c>
      <c r="L22" s="144">
        <f t="shared" si="45"/>
        <v>-2250.0001151161018</v>
      </c>
      <c r="M22" s="144">
        <f t="shared" si="45"/>
        <v>-2250.0001151161018</v>
      </c>
      <c r="N22" s="144">
        <f t="shared" si="45"/>
        <v>-2250.0001151161018</v>
      </c>
      <c r="O22" s="144">
        <f t="shared" si="45"/>
        <v>-2250.0001151161018</v>
      </c>
      <c r="P22" s="144">
        <f t="shared" si="45"/>
        <v>-2250.0001151161018</v>
      </c>
      <c r="Q22" s="144">
        <f t="shared" si="45"/>
        <v>-2250.0001151161018</v>
      </c>
      <c r="R22" s="144">
        <f t="shared" si="45"/>
        <v>-2250.0001151161018</v>
      </c>
      <c r="S22" s="144">
        <f t="shared" si="45"/>
        <v>-2250.0001151161018</v>
      </c>
      <c r="T22" s="144">
        <f t="shared" si="45"/>
        <v>-2250.0001151161018</v>
      </c>
      <c r="U22" s="144"/>
      <c r="V22" s="144">
        <f t="shared" si="45"/>
        <v>-2250.0001151161018</v>
      </c>
      <c r="W22" s="144">
        <f t="shared" si="45"/>
        <v>-2250.0001151161018</v>
      </c>
      <c r="X22" s="144">
        <f t="shared" si="45"/>
        <v>-2368</v>
      </c>
      <c r="Y22" s="144">
        <f t="shared" si="45"/>
        <v>-2486</v>
      </c>
      <c r="Z22" s="144">
        <f t="shared" si="45"/>
        <v>-2605</v>
      </c>
      <c r="AA22" s="144">
        <f t="shared" si="45"/>
        <v>-2723</v>
      </c>
      <c r="AB22" s="144">
        <f t="shared" si="45"/>
        <v>-2841</v>
      </c>
      <c r="AC22" s="144">
        <f t="shared" si="45"/>
        <v>-2960</v>
      </c>
      <c r="AD22" s="144">
        <f t="shared" si="45"/>
        <v>-3078</v>
      </c>
      <c r="AE22" s="144">
        <f t="shared" si="45"/>
        <v>-3196</v>
      </c>
      <c r="AF22" s="144">
        <f t="shared" si="45"/>
        <v>-3315</v>
      </c>
      <c r="AG22" s="144">
        <f t="shared" si="45"/>
        <v>-3433</v>
      </c>
      <c r="AH22" s="144"/>
      <c r="AI22" s="144">
        <f t="shared" si="45"/>
        <v>-3552</v>
      </c>
      <c r="AJ22" s="144">
        <f t="shared" si="45"/>
        <v>-3670</v>
      </c>
      <c r="AK22" s="144">
        <f t="shared" si="45"/>
        <v>-3788</v>
      </c>
      <c r="AL22" s="144">
        <f t="shared" si="45"/>
        <v>-3907</v>
      </c>
      <c r="AM22" s="144">
        <f t="shared" si="45"/>
        <v>-4025</v>
      </c>
      <c r="AN22" s="144">
        <f t="shared" si="45"/>
        <v>-4143</v>
      </c>
      <c r="AO22" s="144">
        <f t="shared" si="45"/>
        <v>-4262</v>
      </c>
      <c r="AP22" s="144">
        <f t="shared" si="45"/>
        <v>-4500.0001674415998</v>
      </c>
      <c r="AQ22" s="144">
        <f t="shared" si="45"/>
        <v>-4500.0001674415998</v>
      </c>
      <c r="AR22" s="144">
        <f t="shared" si="45"/>
        <v>-4500.0001674415998</v>
      </c>
      <c r="AS22" s="144">
        <f t="shared" si="45"/>
        <v>-4500.0001674415998</v>
      </c>
      <c r="AT22" s="144">
        <f t="shared" si="45"/>
        <v>-4500.0001674415998</v>
      </c>
      <c r="AU22" s="144"/>
    </row>
    <row r="23" spans="2:67" x14ac:dyDescent="0.2">
      <c r="B23" s="6" t="s">
        <v>326</v>
      </c>
      <c r="C23" s="109">
        <f>SUM(C20:C22)</f>
        <v>2000</v>
      </c>
      <c r="D23" s="109">
        <f t="shared" ref="D23:AT23" si="46">SUM(D20:D22)</f>
        <v>1386</v>
      </c>
      <c r="E23" s="109">
        <f t="shared" si="46"/>
        <v>2445</v>
      </c>
      <c r="F23" s="109">
        <f t="shared" si="46"/>
        <v>1176</v>
      </c>
      <c r="G23" s="109">
        <f t="shared" si="46"/>
        <v>1580</v>
      </c>
      <c r="H23" s="109"/>
      <c r="I23" s="109">
        <f t="shared" si="46"/>
        <v>1658</v>
      </c>
      <c r="J23" s="109">
        <f t="shared" si="46"/>
        <v>3407.9998848838982</v>
      </c>
      <c r="K23" s="109">
        <f t="shared" si="46"/>
        <v>3157.9997697677968</v>
      </c>
      <c r="L23" s="109">
        <f t="shared" si="46"/>
        <v>4907.9996546516959</v>
      </c>
      <c r="M23" s="109">
        <f t="shared" si="46"/>
        <v>4657.9995395355945</v>
      </c>
      <c r="N23" s="109">
        <f t="shared" si="46"/>
        <v>4407.9994244194932</v>
      </c>
      <c r="O23" s="109">
        <f t="shared" si="46"/>
        <v>4157.9993093033918</v>
      </c>
      <c r="P23" s="109">
        <f t="shared" si="46"/>
        <v>3907.99919418729</v>
      </c>
      <c r="Q23" s="109">
        <f t="shared" si="46"/>
        <v>3657.9990790711886</v>
      </c>
      <c r="R23" s="109">
        <f t="shared" si="46"/>
        <v>3407.9989639550872</v>
      </c>
      <c r="S23" s="109">
        <f t="shared" si="46"/>
        <v>3157.9988488389859</v>
      </c>
      <c r="T23" s="109">
        <f t="shared" si="46"/>
        <v>2907.9987337228845</v>
      </c>
      <c r="U23" s="109"/>
      <c r="V23" s="109">
        <f>SUM(V20:V22)</f>
        <v>4657.9986186067836</v>
      </c>
      <c r="W23" s="109">
        <f t="shared" si="46"/>
        <v>4407.9985034906822</v>
      </c>
      <c r="X23" s="109">
        <f t="shared" si="46"/>
        <v>4039.9985034906822</v>
      </c>
      <c r="Y23" s="109">
        <f t="shared" si="46"/>
        <v>3553.9985034906822</v>
      </c>
      <c r="Z23" s="109">
        <f t="shared" si="46"/>
        <v>4948.9985034906822</v>
      </c>
      <c r="AA23" s="109">
        <f t="shared" si="46"/>
        <v>4225.9985034906822</v>
      </c>
      <c r="AB23" s="109">
        <f t="shared" si="46"/>
        <v>3384.9985034906822</v>
      </c>
      <c r="AC23" s="109">
        <f t="shared" si="46"/>
        <v>2424.9985034906822</v>
      </c>
      <c r="AD23" s="109">
        <f t="shared" si="46"/>
        <v>3346.9985034906822</v>
      </c>
      <c r="AE23" s="109">
        <f t="shared" si="46"/>
        <v>4150.9985034906822</v>
      </c>
      <c r="AF23" s="109">
        <f t="shared" si="46"/>
        <v>4835.9985034906822</v>
      </c>
      <c r="AG23" s="109">
        <f t="shared" si="46"/>
        <v>3402.9985034906822</v>
      </c>
      <c r="AH23" s="109"/>
      <c r="AI23" s="109">
        <f t="shared" si="46"/>
        <v>3850.9985034906822</v>
      </c>
      <c r="AJ23" s="109">
        <f t="shared" si="46"/>
        <v>4180.9985034906822</v>
      </c>
      <c r="AK23" s="109">
        <f t="shared" si="46"/>
        <v>4392.9985034906822</v>
      </c>
      <c r="AL23" s="109">
        <f t="shared" si="46"/>
        <v>4485.9985034906822</v>
      </c>
      <c r="AM23" s="109">
        <f t="shared" si="46"/>
        <v>4460.9985034906822</v>
      </c>
      <c r="AN23" s="109">
        <f t="shared" si="46"/>
        <v>4317.9985034906822</v>
      </c>
      <c r="AO23" s="109">
        <f t="shared" si="46"/>
        <v>4055.9985034906822</v>
      </c>
      <c r="AP23" s="109">
        <f t="shared" si="46"/>
        <v>3555.9983360490824</v>
      </c>
      <c r="AQ23" s="109">
        <f t="shared" si="46"/>
        <v>5055.9981686074825</v>
      </c>
      <c r="AR23" s="109">
        <f t="shared" si="46"/>
        <v>4555.9980011658827</v>
      </c>
      <c r="AS23" s="109">
        <f t="shared" si="46"/>
        <v>4055.9978337242828</v>
      </c>
      <c r="AT23" s="109">
        <f t="shared" si="46"/>
        <v>5555.997666282683</v>
      </c>
      <c r="AU23" s="109"/>
    </row>
    <row r="24" spans="2:67" x14ac:dyDescent="0.2"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</row>
    <row r="25" spans="2:67" x14ac:dyDescent="0.2">
      <c r="B25" s="10" t="s">
        <v>359</v>
      </c>
      <c r="C25" s="11">
        <f>C19</f>
        <v>45899</v>
      </c>
      <c r="D25" s="11">
        <f t="shared" ref="D25:AU25" si="47">D19</f>
        <v>45930</v>
      </c>
      <c r="E25" s="11">
        <f t="shared" si="47"/>
        <v>45961</v>
      </c>
      <c r="F25" s="11">
        <f t="shared" si="47"/>
        <v>45991</v>
      </c>
      <c r="G25" s="11">
        <f t="shared" si="47"/>
        <v>46022</v>
      </c>
      <c r="H25" s="10">
        <f t="shared" si="47"/>
        <v>2025</v>
      </c>
      <c r="I25" s="11">
        <f t="shared" si="47"/>
        <v>46053</v>
      </c>
      <c r="J25" s="11">
        <f t="shared" si="47"/>
        <v>46081</v>
      </c>
      <c r="K25" s="11">
        <f t="shared" si="47"/>
        <v>46112</v>
      </c>
      <c r="L25" s="11">
        <f t="shared" si="47"/>
        <v>46142</v>
      </c>
      <c r="M25" s="11">
        <f t="shared" si="47"/>
        <v>46173</v>
      </c>
      <c r="N25" s="11">
        <f t="shared" si="47"/>
        <v>46203</v>
      </c>
      <c r="O25" s="11">
        <f t="shared" si="47"/>
        <v>46234</v>
      </c>
      <c r="P25" s="11">
        <f t="shared" si="47"/>
        <v>46265</v>
      </c>
      <c r="Q25" s="11">
        <f t="shared" si="47"/>
        <v>46295</v>
      </c>
      <c r="R25" s="11">
        <f t="shared" si="47"/>
        <v>46326</v>
      </c>
      <c r="S25" s="11">
        <f t="shared" si="47"/>
        <v>46356</v>
      </c>
      <c r="T25" s="11">
        <f t="shared" si="47"/>
        <v>46387</v>
      </c>
      <c r="U25" s="10">
        <f t="shared" si="47"/>
        <v>2026</v>
      </c>
      <c r="V25" s="11">
        <f t="shared" si="47"/>
        <v>46418</v>
      </c>
      <c r="W25" s="11">
        <f t="shared" si="47"/>
        <v>46446</v>
      </c>
      <c r="X25" s="11">
        <f t="shared" si="47"/>
        <v>46477</v>
      </c>
      <c r="Y25" s="11">
        <f t="shared" si="47"/>
        <v>46507</v>
      </c>
      <c r="Z25" s="11">
        <f t="shared" si="47"/>
        <v>46538</v>
      </c>
      <c r="AA25" s="11">
        <f t="shared" si="47"/>
        <v>46568</v>
      </c>
      <c r="AB25" s="11">
        <f t="shared" si="47"/>
        <v>46599</v>
      </c>
      <c r="AC25" s="11">
        <f t="shared" si="47"/>
        <v>46630</v>
      </c>
      <c r="AD25" s="11">
        <f t="shared" si="47"/>
        <v>46660</v>
      </c>
      <c r="AE25" s="11">
        <f t="shared" si="47"/>
        <v>46691</v>
      </c>
      <c r="AF25" s="11">
        <f t="shared" si="47"/>
        <v>46721</v>
      </c>
      <c r="AG25" s="11">
        <f t="shared" si="47"/>
        <v>46752</v>
      </c>
      <c r="AH25" s="10">
        <f t="shared" si="47"/>
        <v>2027</v>
      </c>
      <c r="AI25" s="11">
        <f t="shared" si="47"/>
        <v>46783</v>
      </c>
      <c r="AJ25" s="11">
        <f t="shared" si="47"/>
        <v>46812</v>
      </c>
      <c r="AK25" s="11">
        <f t="shared" si="47"/>
        <v>46843</v>
      </c>
      <c r="AL25" s="11">
        <f t="shared" si="47"/>
        <v>46873</v>
      </c>
      <c r="AM25" s="11">
        <f t="shared" si="47"/>
        <v>46904</v>
      </c>
      <c r="AN25" s="11">
        <f t="shared" si="47"/>
        <v>46934</v>
      </c>
      <c r="AO25" s="11">
        <f t="shared" si="47"/>
        <v>46965</v>
      </c>
      <c r="AP25" s="11">
        <f t="shared" si="47"/>
        <v>46996</v>
      </c>
      <c r="AQ25" s="11">
        <f t="shared" si="47"/>
        <v>47026</v>
      </c>
      <c r="AR25" s="11">
        <f t="shared" si="47"/>
        <v>47057</v>
      </c>
      <c r="AS25" s="11">
        <f t="shared" si="47"/>
        <v>47087</v>
      </c>
      <c r="AT25" s="11">
        <f t="shared" si="47"/>
        <v>47118</v>
      </c>
      <c r="AU25" s="10">
        <f t="shared" si="47"/>
        <v>2028</v>
      </c>
      <c r="AV25" s="217"/>
      <c r="AW25" s="217"/>
      <c r="AX25" s="217"/>
      <c r="AY25" s="217"/>
      <c r="AZ25" s="217"/>
      <c r="BA25" s="217"/>
      <c r="BB25" s="216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6"/>
    </row>
    <row r="26" spans="2:67" x14ac:dyDescent="0.2">
      <c r="B26" t="s">
        <v>323</v>
      </c>
      <c r="C26" s="253">
        <v>2000</v>
      </c>
      <c r="D26" s="75">
        <f>C29</f>
        <v>2000</v>
      </c>
      <c r="E26" s="75">
        <f t="shared" ref="E26:T26" si="48">D29</f>
        <v>1182</v>
      </c>
      <c r="F26" s="75">
        <f t="shared" si="48"/>
        <v>1927</v>
      </c>
      <c r="G26" s="75">
        <f t="shared" si="48"/>
        <v>2236</v>
      </c>
      <c r="H26" s="75"/>
      <c r="I26" s="75">
        <f>G29</f>
        <v>2108</v>
      </c>
      <c r="J26" s="75">
        <f t="shared" si="48"/>
        <v>3544</v>
      </c>
      <c r="K26" s="75">
        <f t="shared" si="48"/>
        <v>4544</v>
      </c>
      <c r="L26" s="75">
        <f t="shared" si="48"/>
        <v>3544</v>
      </c>
      <c r="M26" s="75">
        <f t="shared" si="48"/>
        <v>4544</v>
      </c>
      <c r="N26" s="75">
        <f t="shared" si="48"/>
        <v>3544</v>
      </c>
      <c r="O26" s="75">
        <f t="shared" si="48"/>
        <v>4544</v>
      </c>
      <c r="P26" s="75">
        <f t="shared" si="48"/>
        <v>3544</v>
      </c>
      <c r="Q26" s="75">
        <f t="shared" si="48"/>
        <v>4544</v>
      </c>
      <c r="R26" s="75">
        <f t="shared" si="48"/>
        <v>3544</v>
      </c>
      <c r="S26" s="75">
        <f t="shared" si="48"/>
        <v>4544</v>
      </c>
      <c r="T26" s="75">
        <f t="shared" si="48"/>
        <v>3544</v>
      </c>
      <c r="U26" s="75"/>
      <c r="V26" s="75">
        <f>T29</f>
        <v>4544</v>
      </c>
      <c r="W26" s="75">
        <f t="shared" ref="W26:AG26" si="49">V29</f>
        <v>5544</v>
      </c>
      <c r="X26" s="75">
        <f t="shared" si="49"/>
        <v>4544</v>
      </c>
      <c r="Y26" s="75">
        <f t="shared" si="49"/>
        <v>5386</v>
      </c>
      <c r="Z26" s="75">
        <f t="shared" si="49"/>
        <v>4070</v>
      </c>
      <c r="AA26" s="75">
        <f t="shared" si="49"/>
        <v>2596</v>
      </c>
      <c r="AB26" s="75">
        <f t="shared" si="49"/>
        <v>2964</v>
      </c>
      <c r="AC26" s="75">
        <f t="shared" si="49"/>
        <v>3174</v>
      </c>
      <c r="AD26" s="75">
        <f t="shared" si="49"/>
        <v>3227</v>
      </c>
      <c r="AE26" s="75">
        <f t="shared" si="49"/>
        <v>3122</v>
      </c>
      <c r="AF26" s="75">
        <f t="shared" si="49"/>
        <v>4859</v>
      </c>
      <c r="AG26" s="75">
        <f t="shared" si="49"/>
        <v>4439</v>
      </c>
      <c r="AH26" s="75"/>
      <c r="AI26" s="75">
        <f>AG29</f>
        <v>5861</v>
      </c>
      <c r="AJ26" s="75">
        <f t="shared" ref="AJ26:AT26" si="50">AI29</f>
        <v>5125</v>
      </c>
      <c r="AK26" s="75">
        <f t="shared" si="50"/>
        <v>6231</v>
      </c>
      <c r="AL26" s="75">
        <f t="shared" si="50"/>
        <v>7179</v>
      </c>
      <c r="AM26" s="75">
        <f t="shared" si="50"/>
        <v>5969</v>
      </c>
      <c r="AN26" s="75">
        <f t="shared" si="50"/>
        <v>6601</v>
      </c>
      <c r="AO26" s="75">
        <f t="shared" si="50"/>
        <v>5075</v>
      </c>
      <c r="AP26" s="75">
        <f t="shared" si="50"/>
        <v>5392</v>
      </c>
      <c r="AQ26" s="75">
        <f t="shared" si="50"/>
        <v>5392.0000837207999</v>
      </c>
      <c r="AR26" s="75">
        <f t="shared" si="50"/>
        <v>5392.0001674415989</v>
      </c>
      <c r="AS26" s="75">
        <f t="shared" si="50"/>
        <v>5392.0002511623979</v>
      </c>
      <c r="AT26" s="75">
        <f t="shared" si="50"/>
        <v>5392.000334883197</v>
      </c>
      <c r="AU26" s="75"/>
    </row>
    <row r="27" spans="2:67" x14ac:dyDescent="0.2">
      <c r="B27" t="s">
        <v>324</v>
      </c>
      <c r="C27" s="75">
        <v>0</v>
      </c>
      <c r="D27" s="75"/>
      <c r="E27" s="253">
        <v>2000</v>
      </c>
      <c r="F27" s="253">
        <v>2000</v>
      </c>
      <c r="G27" s="253">
        <v>2000</v>
      </c>
      <c r="H27" s="253"/>
      <c r="I27" s="253">
        <v>4000</v>
      </c>
      <c r="J27" s="253">
        <v>4000</v>
      </c>
      <c r="K27" s="253">
        <v>2000</v>
      </c>
      <c r="L27" s="253">
        <v>4000</v>
      </c>
      <c r="M27" s="253">
        <v>2000</v>
      </c>
      <c r="N27" s="253">
        <v>4000</v>
      </c>
      <c r="O27" s="253">
        <v>2000</v>
      </c>
      <c r="P27" s="253">
        <v>4000</v>
      </c>
      <c r="Q27" s="253">
        <v>2000</v>
      </c>
      <c r="R27" s="253">
        <v>4000</v>
      </c>
      <c r="S27" s="253">
        <v>2000</v>
      </c>
      <c r="T27" s="253">
        <v>4000</v>
      </c>
      <c r="U27" s="253"/>
      <c r="V27" s="253">
        <v>4000</v>
      </c>
      <c r="W27" s="253">
        <v>2000</v>
      </c>
      <c r="X27" s="253">
        <v>4000</v>
      </c>
      <c r="Y27" s="253">
        <v>2000</v>
      </c>
      <c r="Z27" s="253">
        <v>2000</v>
      </c>
      <c r="AA27" s="253">
        <v>4000</v>
      </c>
      <c r="AB27" s="253">
        <v>4000</v>
      </c>
      <c r="AC27" s="253">
        <v>4000</v>
      </c>
      <c r="AD27" s="253">
        <v>4000</v>
      </c>
      <c r="AE27" s="253">
        <v>6000</v>
      </c>
      <c r="AF27" s="253">
        <v>4000</v>
      </c>
      <c r="AG27" s="253">
        <v>6000</v>
      </c>
      <c r="AH27" s="253"/>
      <c r="AI27" s="253">
        <v>4000</v>
      </c>
      <c r="AJ27" s="253">
        <v>6000</v>
      </c>
      <c r="AK27" s="253">
        <v>6000</v>
      </c>
      <c r="AL27" s="253">
        <v>4000</v>
      </c>
      <c r="AM27" s="253">
        <v>6000</v>
      </c>
      <c r="AN27" s="253">
        <v>4000</v>
      </c>
      <c r="AO27" s="253">
        <v>6000</v>
      </c>
      <c r="AP27" s="253">
        <v>6000</v>
      </c>
      <c r="AQ27" s="253">
        <v>6000</v>
      </c>
      <c r="AR27" s="253">
        <v>6000</v>
      </c>
      <c r="AS27" s="253">
        <v>6000</v>
      </c>
      <c r="AT27" s="253">
        <v>6000</v>
      </c>
      <c r="AU27" s="244"/>
    </row>
    <row r="28" spans="2:67" x14ac:dyDescent="0.2">
      <c r="B28" s="114" t="s">
        <v>325</v>
      </c>
      <c r="C28" s="144">
        <v>0</v>
      </c>
      <c r="D28" s="144">
        <f>-D7</f>
        <v>-818</v>
      </c>
      <c r="E28" s="144">
        <f t="shared" ref="E28:AT28" si="51">-E7</f>
        <v>-1255</v>
      </c>
      <c r="F28" s="144">
        <f t="shared" si="51"/>
        <v>-1691</v>
      </c>
      <c r="G28" s="144">
        <f t="shared" si="51"/>
        <v>-2128</v>
      </c>
      <c r="H28" s="144"/>
      <c r="I28" s="144">
        <f t="shared" si="51"/>
        <v>-2564</v>
      </c>
      <c r="J28" s="144">
        <f t="shared" si="51"/>
        <v>-3000</v>
      </c>
      <c r="K28" s="144">
        <f t="shared" si="51"/>
        <v>-3000</v>
      </c>
      <c r="L28" s="144">
        <f t="shared" si="51"/>
        <v>-3000</v>
      </c>
      <c r="M28" s="144">
        <f t="shared" si="51"/>
        <v>-3000</v>
      </c>
      <c r="N28" s="144">
        <f t="shared" si="51"/>
        <v>-3000</v>
      </c>
      <c r="O28" s="144">
        <f t="shared" si="51"/>
        <v>-3000</v>
      </c>
      <c r="P28" s="144">
        <f t="shared" si="51"/>
        <v>-3000</v>
      </c>
      <c r="Q28" s="144">
        <f t="shared" si="51"/>
        <v>-3000</v>
      </c>
      <c r="R28" s="144">
        <f t="shared" si="51"/>
        <v>-3000</v>
      </c>
      <c r="S28" s="144">
        <f t="shared" si="51"/>
        <v>-3000</v>
      </c>
      <c r="T28" s="144">
        <f t="shared" si="51"/>
        <v>-3000</v>
      </c>
      <c r="U28" s="144">
        <f t="shared" si="51"/>
        <v>0</v>
      </c>
      <c r="V28" s="144">
        <f t="shared" si="51"/>
        <v>-3000</v>
      </c>
      <c r="W28" s="144">
        <f t="shared" si="51"/>
        <v>-3000</v>
      </c>
      <c r="X28" s="144">
        <f t="shared" si="51"/>
        <v>-3158</v>
      </c>
      <c r="Y28" s="144">
        <f t="shared" si="51"/>
        <v>-3316</v>
      </c>
      <c r="Z28" s="144">
        <f t="shared" si="51"/>
        <v>-3474</v>
      </c>
      <c r="AA28" s="144">
        <f t="shared" si="51"/>
        <v>-3632</v>
      </c>
      <c r="AB28" s="144">
        <f t="shared" si="51"/>
        <v>-3790</v>
      </c>
      <c r="AC28" s="144">
        <f t="shared" si="51"/>
        <v>-3947</v>
      </c>
      <c r="AD28" s="144">
        <f t="shared" si="51"/>
        <v>-4105</v>
      </c>
      <c r="AE28" s="144">
        <f t="shared" si="51"/>
        <v>-4263</v>
      </c>
      <c r="AF28" s="144">
        <f t="shared" si="51"/>
        <v>-4420</v>
      </c>
      <c r="AG28" s="144">
        <f t="shared" si="51"/>
        <v>-4578</v>
      </c>
      <c r="AH28" s="144">
        <f t="shared" si="51"/>
        <v>0</v>
      </c>
      <c r="AI28" s="144">
        <f t="shared" si="51"/>
        <v>-4736</v>
      </c>
      <c r="AJ28" s="144">
        <f t="shared" si="51"/>
        <v>-4894</v>
      </c>
      <c r="AK28" s="144">
        <f t="shared" si="51"/>
        <v>-5052</v>
      </c>
      <c r="AL28" s="144">
        <f t="shared" si="51"/>
        <v>-5210</v>
      </c>
      <c r="AM28" s="144">
        <f t="shared" si="51"/>
        <v>-5368</v>
      </c>
      <c r="AN28" s="144">
        <f t="shared" si="51"/>
        <v>-5526</v>
      </c>
      <c r="AO28" s="144">
        <f t="shared" si="51"/>
        <v>-5683</v>
      </c>
      <c r="AP28" s="144">
        <f t="shared" si="51"/>
        <v>-5999.9999162792001</v>
      </c>
      <c r="AQ28" s="144">
        <f t="shared" si="51"/>
        <v>-5999.9999162792001</v>
      </c>
      <c r="AR28" s="144">
        <f t="shared" si="51"/>
        <v>-5999.9999162792001</v>
      </c>
      <c r="AS28" s="144">
        <f t="shared" si="51"/>
        <v>-5999.9999162792001</v>
      </c>
      <c r="AT28" s="144">
        <f t="shared" si="51"/>
        <v>-5999.9999162792001</v>
      </c>
      <c r="AU28" s="144"/>
    </row>
    <row r="29" spans="2:67" x14ac:dyDescent="0.2">
      <c r="B29" s="6" t="s">
        <v>326</v>
      </c>
      <c r="C29" s="109">
        <f>SUM(C26:C28)</f>
        <v>2000</v>
      </c>
      <c r="D29" s="109">
        <f t="shared" ref="D29" si="52">SUM(D26:D28)</f>
        <v>1182</v>
      </c>
      <c r="E29" s="109">
        <f t="shared" ref="E29" si="53">SUM(E26:E28)</f>
        <v>1927</v>
      </c>
      <c r="F29" s="109">
        <f t="shared" ref="F29" si="54">SUM(F26:F28)</f>
        <v>2236</v>
      </c>
      <c r="G29" s="109">
        <f t="shared" ref="G29" si="55">SUM(G26:G28)</f>
        <v>2108</v>
      </c>
      <c r="H29" s="109"/>
      <c r="I29" s="109">
        <f t="shared" ref="I29" si="56">SUM(I26:I28)</f>
        <v>3544</v>
      </c>
      <c r="J29" s="109">
        <f t="shared" ref="J29" si="57">SUM(J26:J28)</f>
        <v>4544</v>
      </c>
      <c r="K29" s="109">
        <f t="shared" ref="K29" si="58">SUM(K26:K28)</f>
        <v>3544</v>
      </c>
      <c r="L29" s="109">
        <f t="shared" ref="L29" si="59">SUM(L26:L28)</f>
        <v>4544</v>
      </c>
      <c r="M29" s="109">
        <f t="shared" ref="M29" si="60">SUM(M26:M28)</f>
        <v>3544</v>
      </c>
      <c r="N29" s="109">
        <f t="shared" ref="N29" si="61">SUM(N26:N28)</f>
        <v>4544</v>
      </c>
      <c r="O29" s="109">
        <f t="shared" ref="O29" si="62">SUM(O26:O28)</f>
        <v>3544</v>
      </c>
      <c r="P29" s="109">
        <f t="shared" ref="P29" si="63">SUM(P26:P28)</f>
        <v>4544</v>
      </c>
      <c r="Q29" s="109">
        <f t="shared" ref="Q29" si="64">SUM(Q26:Q28)</f>
        <v>3544</v>
      </c>
      <c r="R29" s="109">
        <f t="shared" ref="R29" si="65">SUM(R26:R28)</f>
        <v>4544</v>
      </c>
      <c r="S29" s="109">
        <f t="shared" ref="S29" si="66">SUM(S26:S28)</f>
        <v>3544</v>
      </c>
      <c r="T29" s="109">
        <f t="shared" ref="T29" si="67">SUM(T26:T28)</f>
        <v>4544</v>
      </c>
      <c r="U29" s="109"/>
      <c r="V29" s="109">
        <f>SUM(V26:V28)</f>
        <v>5544</v>
      </c>
      <c r="W29" s="109">
        <f t="shared" ref="W29" si="68">SUM(W26:W28)</f>
        <v>4544</v>
      </c>
      <c r="X29" s="109">
        <f t="shared" ref="X29" si="69">SUM(X26:X28)</f>
        <v>5386</v>
      </c>
      <c r="Y29" s="109">
        <f t="shared" ref="Y29" si="70">SUM(Y26:Y28)</f>
        <v>4070</v>
      </c>
      <c r="Z29" s="109">
        <f t="shared" ref="Z29" si="71">SUM(Z26:Z28)</f>
        <v>2596</v>
      </c>
      <c r="AA29" s="109">
        <f t="shared" ref="AA29" si="72">SUM(AA26:AA28)</f>
        <v>2964</v>
      </c>
      <c r="AB29" s="109">
        <f t="shared" ref="AB29" si="73">SUM(AB26:AB28)</f>
        <v>3174</v>
      </c>
      <c r="AC29" s="109">
        <f t="shared" ref="AC29" si="74">SUM(AC26:AC28)</f>
        <v>3227</v>
      </c>
      <c r="AD29" s="109">
        <f t="shared" ref="AD29" si="75">SUM(AD26:AD28)</f>
        <v>3122</v>
      </c>
      <c r="AE29" s="109">
        <f t="shared" ref="AE29" si="76">SUM(AE26:AE28)</f>
        <v>4859</v>
      </c>
      <c r="AF29" s="109">
        <f t="shared" ref="AF29" si="77">SUM(AF26:AF28)</f>
        <v>4439</v>
      </c>
      <c r="AG29" s="109">
        <f t="shared" ref="AG29" si="78">SUM(AG26:AG28)</f>
        <v>5861</v>
      </c>
      <c r="AH29" s="109"/>
      <c r="AI29" s="109">
        <f t="shared" ref="AI29" si="79">SUM(AI26:AI28)</f>
        <v>5125</v>
      </c>
      <c r="AJ29" s="109">
        <f t="shared" ref="AJ29" si="80">SUM(AJ26:AJ28)</f>
        <v>6231</v>
      </c>
      <c r="AK29" s="109">
        <f t="shared" ref="AK29" si="81">SUM(AK26:AK28)</f>
        <v>7179</v>
      </c>
      <c r="AL29" s="109">
        <f t="shared" ref="AL29" si="82">SUM(AL26:AL28)</f>
        <v>5969</v>
      </c>
      <c r="AM29" s="109">
        <f t="shared" ref="AM29" si="83">SUM(AM26:AM28)</f>
        <v>6601</v>
      </c>
      <c r="AN29" s="109">
        <f t="shared" ref="AN29" si="84">SUM(AN26:AN28)</f>
        <v>5075</v>
      </c>
      <c r="AO29" s="109">
        <f t="shared" ref="AO29" si="85">SUM(AO26:AO28)</f>
        <v>5392</v>
      </c>
      <c r="AP29" s="109">
        <f t="shared" ref="AP29" si="86">SUM(AP26:AP28)</f>
        <v>5392.0000837207999</v>
      </c>
      <c r="AQ29" s="109">
        <f t="shared" ref="AQ29" si="87">SUM(AQ26:AQ28)</f>
        <v>5392.0001674415989</v>
      </c>
      <c r="AR29" s="109">
        <f t="shared" ref="AR29" si="88">SUM(AR26:AR28)</f>
        <v>5392.0002511623979</v>
      </c>
      <c r="AS29" s="109">
        <f>SUM(AS26:AS28)</f>
        <v>5392.000334883197</v>
      </c>
      <c r="AT29" s="109">
        <f t="shared" ref="AT29" si="89">SUM(AT26:AT28)</f>
        <v>5392.000418603996</v>
      </c>
      <c r="AU29" s="109"/>
    </row>
    <row r="31" spans="2:67" x14ac:dyDescent="0.2">
      <c r="B31" s="10" t="s">
        <v>360</v>
      </c>
      <c r="C31" s="11">
        <f>C25</f>
        <v>45899</v>
      </c>
      <c r="D31" s="11">
        <f t="shared" ref="D31:AU31" si="90">D25</f>
        <v>45930</v>
      </c>
      <c r="E31" s="11">
        <f t="shared" si="90"/>
        <v>45961</v>
      </c>
      <c r="F31" s="11">
        <f t="shared" si="90"/>
        <v>45991</v>
      </c>
      <c r="G31" s="11">
        <f t="shared" si="90"/>
        <v>46022</v>
      </c>
      <c r="H31" s="10">
        <f t="shared" si="90"/>
        <v>2025</v>
      </c>
      <c r="I31" s="11">
        <f t="shared" si="90"/>
        <v>46053</v>
      </c>
      <c r="J31" s="11">
        <f t="shared" si="90"/>
        <v>46081</v>
      </c>
      <c r="K31" s="11">
        <f t="shared" si="90"/>
        <v>46112</v>
      </c>
      <c r="L31" s="11">
        <f t="shared" si="90"/>
        <v>46142</v>
      </c>
      <c r="M31" s="11">
        <f t="shared" si="90"/>
        <v>46173</v>
      </c>
      <c r="N31" s="11">
        <f t="shared" si="90"/>
        <v>46203</v>
      </c>
      <c r="O31" s="11">
        <f t="shared" si="90"/>
        <v>46234</v>
      </c>
      <c r="P31" s="11">
        <f t="shared" si="90"/>
        <v>46265</v>
      </c>
      <c r="Q31" s="11">
        <f t="shared" si="90"/>
        <v>46295</v>
      </c>
      <c r="R31" s="11">
        <f t="shared" si="90"/>
        <v>46326</v>
      </c>
      <c r="S31" s="11">
        <f t="shared" si="90"/>
        <v>46356</v>
      </c>
      <c r="T31" s="11">
        <f t="shared" si="90"/>
        <v>46387</v>
      </c>
      <c r="U31" s="10">
        <f t="shared" si="90"/>
        <v>2026</v>
      </c>
      <c r="V31" s="11">
        <f t="shared" si="90"/>
        <v>46418</v>
      </c>
      <c r="W31" s="11">
        <f t="shared" si="90"/>
        <v>46446</v>
      </c>
      <c r="X31" s="11">
        <f t="shared" si="90"/>
        <v>46477</v>
      </c>
      <c r="Y31" s="11">
        <f t="shared" si="90"/>
        <v>46507</v>
      </c>
      <c r="Z31" s="11">
        <f t="shared" si="90"/>
        <v>46538</v>
      </c>
      <c r="AA31" s="11">
        <f t="shared" si="90"/>
        <v>46568</v>
      </c>
      <c r="AB31" s="11">
        <f t="shared" si="90"/>
        <v>46599</v>
      </c>
      <c r="AC31" s="11">
        <f t="shared" si="90"/>
        <v>46630</v>
      </c>
      <c r="AD31" s="11">
        <f t="shared" si="90"/>
        <v>46660</v>
      </c>
      <c r="AE31" s="11">
        <f t="shared" si="90"/>
        <v>46691</v>
      </c>
      <c r="AF31" s="11">
        <f t="shared" si="90"/>
        <v>46721</v>
      </c>
      <c r="AG31" s="11">
        <f t="shared" si="90"/>
        <v>46752</v>
      </c>
      <c r="AH31" s="10">
        <f t="shared" si="90"/>
        <v>2027</v>
      </c>
      <c r="AI31" s="11">
        <f t="shared" si="90"/>
        <v>46783</v>
      </c>
      <c r="AJ31" s="11">
        <f t="shared" si="90"/>
        <v>46812</v>
      </c>
      <c r="AK31" s="11">
        <f t="shared" si="90"/>
        <v>46843</v>
      </c>
      <c r="AL31" s="11">
        <f t="shared" si="90"/>
        <v>46873</v>
      </c>
      <c r="AM31" s="11">
        <f t="shared" si="90"/>
        <v>46904</v>
      </c>
      <c r="AN31" s="11">
        <f t="shared" si="90"/>
        <v>46934</v>
      </c>
      <c r="AO31" s="11">
        <f t="shared" si="90"/>
        <v>46965</v>
      </c>
      <c r="AP31" s="11">
        <f t="shared" si="90"/>
        <v>46996</v>
      </c>
      <c r="AQ31" s="11">
        <f t="shared" si="90"/>
        <v>47026</v>
      </c>
      <c r="AR31" s="11">
        <f t="shared" si="90"/>
        <v>47057</v>
      </c>
      <c r="AS31" s="11">
        <f t="shared" si="90"/>
        <v>47087</v>
      </c>
      <c r="AT31" s="11">
        <f t="shared" si="90"/>
        <v>47118</v>
      </c>
      <c r="AU31" s="10">
        <f t="shared" si="90"/>
        <v>2028</v>
      </c>
      <c r="AV31" s="217"/>
      <c r="AW31" s="217"/>
      <c r="AX31" s="217"/>
      <c r="AY31" s="217"/>
      <c r="AZ31" s="217"/>
      <c r="BA31" s="217"/>
      <c r="BB31" s="216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6"/>
    </row>
    <row r="32" spans="2:67" x14ac:dyDescent="0.2">
      <c r="B32" t="s">
        <v>323</v>
      </c>
      <c r="C32" s="253">
        <v>2000</v>
      </c>
      <c r="D32" s="75">
        <f>C35</f>
        <v>2000</v>
      </c>
      <c r="E32" s="75">
        <f t="shared" ref="E32:G32" si="91">D35</f>
        <v>1591</v>
      </c>
      <c r="F32" s="75">
        <f t="shared" si="91"/>
        <v>2964</v>
      </c>
      <c r="G32" s="75">
        <f t="shared" si="91"/>
        <v>2119</v>
      </c>
      <c r="H32" s="75"/>
      <c r="I32" s="75">
        <f>G35</f>
        <v>3056</v>
      </c>
      <c r="J32" s="75">
        <f t="shared" ref="J32:T32" si="92">I35</f>
        <v>3774</v>
      </c>
      <c r="K32" s="75">
        <f t="shared" si="92"/>
        <v>2274</v>
      </c>
      <c r="L32" s="75">
        <f t="shared" si="92"/>
        <v>2774</v>
      </c>
      <c r="M32" s="75">
        <f t="shared" si="92"/>
        <v>1274</v>
      </c>
      <c r="N32" s="75">
        <f t="shared" si="92"/>
        <v>1774</v>
      </c>
      <c r="O32" s="75">
        <f t="shared" si="92"/>
        <v>2274</v>
      </c>
      <c r="P32" s="75">
        <f t="shared" si="92"/>
        <v>2774</v>
      </c>
      <c r="Q32" s="75">
        <f t="shared" si="92"/>
        <v>3274</v>
      </c>
      <c r="R32" s="75">
        <f t="shared" si="92"/>
        <v>3774</v>
      </c>
      <c r="S32" s="75">
        <f t="shared" si="92"/>
        <v>2274</v>
      </c>
      <c r="T32" s="75">
        <f t="shared" si="92"/>
        <v>2774</v>
      </c>
      <c r="U32" s="75"/>
      <c r="V32" s="75">
        <f>T35</f>
        <v>3274</v>
      </c>
      <c r="W32" s="75">
        <f t="shared" ref="W32:AG32" si="93">V35</f>
        <v>3774</v>
      </c>
      <c r="X32" s="75">
        <f t="shared" si="93"/>
        <v>2274</v>
      </c>
      <c r="Y32" s="75">
        <f t="shared" si="93"/>
        <v>2695</v>
      </c>
      <c r="Z32" s="75">
        <f t="shared" si="93"/>
        <v>3037</v>
      </c>
      <c r="AA32" s="75">
        <f t="shared" si="93"/>
        <v>3300</v>
      </c>
      <c r="AB32" s="75">
        <f t="shared" si="93"/>
        <v>3484</v>
      </c>
      <c r="AC32" s="75">
        <f t="shared" si="93"/>
        <v>3589</v>
      </c>
      <c r="AD32" s="75">
        <f t="shared" si="93"/>
        <v>3615</v>
      </c>
      <c r="AE32" s="75">
        <f t="shared" si="93"/>
        <v>3562</v>
      </c>
      <c r="AF32" s="75">
        <f t="shared" si="93"/>
        <v>3430</v>
      </c>
      <c r="AG32" s="75">
        <f t="shared" si="93"/>
        <v>3220</v>
      </c>
      <c r="AH32" s="75"/>
      <c r="AI32" s="75">
        <f>AG35</f>
        <v>2931</v>
      </c>
      <c r="AJ32" s="75">
        <f t="shared" ref="AJ32:AT32" si="94">AI35</f>
        <v>2563</v>
      </c>
      <c r="AK32" s="75">
        <f t="shared" si="94"/>
        <v>2116</v>
      </c>
      <c r="AL32" s="75">
        <f t="shared" si="94"/>
        <v>3590</v>
      </c>
      <c r="AM32" s="75">
        <f t="shared" si="94"/>
        <v>2986</v>
      </c>
      <c r="AN32" s="75">
        <f t="shared" si="94"/>
        <v>2303</v>
      </c>
      <c r="AO32" s="75">
        <f t="shared" si="94"/>
        <v>3541</v>
      </c>
      <c r="AP32" s="75">
        <f t="shared" si="94"/>
        <v>4700</v>
      </c>
      <c r="AQ32" s="75">
        <f t="shared" si="94"/>
        <v>3700.0000418604</v>
      </c>
      <c r="AR32" s="75">
        <f t="shared" si="94"/>
        <v>4700.000083720799</v>
      </c>
      <c r="AS32" s="75">
        <f t="shared" si="94"/>
        <v>3700.000125581199</v>
      </c>
      <c r="AT32" s="75">
        <f t="shared" si="94"/>
        <v>4700.000167441598</v>
      </c>
      <c r="AU32" s="75"/>
    </row>
    <row r="33" spans="2:67" x14ac:dyDescent="0.2">
      <c r="B33" t="s">
        <v>324</v>
      </c>
      <c r="C33" s="75">
        <v>0</v>
      </c>
      <c r="D33" s="75"/>
      <c r="E33" s="253">
        <v>2000</v>
      </c>
      <c r="F33" s="253"/>
      <c r="G33" s="253">
        <v>2000</v>
      </c>
      <c r="H33" s="253"/>
      <c r="I33" s="253">
        <v>2000</v>
      </c>
      <c r="J33" s="253"/>
      <c r="K33" s="253">
        <v>2000</v>
      </c>
      <c r="L33" s="253"/>
      <c r="M33" s="253">
        <v>2000</v>
      </c>
      <c r="N33" s="253">
        <v>2000</v>
      </c>
      <c r="O33" s="253">
        <v>2000</v>
      </c>
      <c r="P33" s="253">
        <v>2000</v>
      </c>
      <c r="Q33" s="253">
        <v>2000</v>
      </c>
      <c r="R33" s="253"/>
      <c r="S33" s="253">
        <v>2000</v>
      </c>
      <c r="T33" s="253">
        <v>2000</v>
      </c>
      <c r="U33" s="253"/>
      <c r="V33" s="253">
        <v>2000</v>
      </c>
      <c r="W33" s="253"/>
      <c r="X33" s="253">
        <v>2000</v>
      </c>
      <c r="Y33" s="253">
        <v>2000</v>
      </c>
      <c r="Z33" s="253">
        <v>2000</v>
      </c>
      <c r="AA33" s="253">
        <v>2000</v>
      </c>
      <c r="AB33" s="253">
        <v>2000</v>
      </c>
      <c r="AC33" s="253">
        <v>2000</v>
      </c>
      <c r="AD33" s="253">
        <v>2000</v>
      </c>
      <c r="AE33" s="253">
        <v>2000</v>
      </c>
      <c r="AF33" s="253">
        <v>2000</v>
      </c>
      <c r="AG33" s="253">
        <v>2000</v>
      </c>
      <c r="AH33" s="253"/>
      <c r="AI33" s="253">
        <v>2000</v>
      </c>
      <c r="AJ33" s="253">
        <v>2000</v>
      </c>
      <c r="AK33" s="253">
        <v>4000</v>
      </c>
      <c r="AL33" s="253">
        <v>2000</v>
      </c>
      <c r="AM33" s="253">
        <v>2000</v>
      </c>
      <c r="AN33" s="253">
        <v>4000</v>
      </c>
      <c r="AO33" s="253">
        <v>4000</v>
      </c>
      <c r="AP33" s="253">
        <v>2000</v>
      </c>
      <c r="AQ33" s="253">
        <v>4000</v>
      </c>
      <c r="AR33" s="253">
        <v>2000</v>
      </c>
      <c r="AS33" s="253">
        <v>4000</v>
      </c>
      <c r="AT33" s="253">
        <v>4000</v>
      </c>
      <c r="AU33" s="244"/>
    </row>
    <row r="34" spans="2:67" x14ac:dyDescent="0.2">
      <c r="B34" s="114" t="s">
        <v>325</v>
      </c>
      <c r="C34" s="144">
        <v>0</v>
      </c>
      <c r="D34" s="144">
        <f>-D8</f>
        <v>-409</v>
      </c>
      <c r="E34" s="144">
        <f t="shared" ref="E34:AT34" si="95">-E8</f>
        <v>-627</v>
      </c>
      <c r="F34" s="144">
        <f t="shared" si="95"/>
        <v>-845</v>
      </c>
      <c r="G34" s="144">
        <f t="shared" si="95"/>
        <v>-1063</v>
      </c>
      <c r="H34" s="144"/>
      <c r="I34" s="144">
        <f t="shared" si="95"/>
        <v>-1282</v>
      </c>
      <c r="J34" s="144">
        <f t="shared" si="95"/>
        <v>-1500</v>
      </c>
      <c r="K34" s="144">
        <f t="shared" si="95"/>
        <v>-1500</v>
      </c>
      <c r="L34" s="144">
        <f t="shared" si="95"/>
        <v>-1500</v>
      </c>
      <c r="M34" s="144">
        <f t="shared" si="95"/>
        <v>-1500</v>
      </c>
      <c r="N34" s="144">
        <f t="shared" si="95"/>
        <v>-1500</v>
      </c>
      <c r="O34" s="144">
        <f t="shared" si="95"/>
        <v>-1500</v>
      </c>
      <c r="P34" s="144">
        <f t="shared" si="95"/>
        <v>-1500</v>
      </c>
      <c r="Q34" s="144">
        <f t="shared" si="95"/>
        <v>-1500</v>
      </c>
      <c r="R34" s="144">
        <f t="shared" si="95"/>
        <v>-1500</v>
      </c>
      <c r="S34" s="144">
        <f t="shared" si="95"/>
        <v>-1500</v>
      </c>
      <c r="T34" s="144">
        <f t="shared" si="95"/>
        <v>-1500</v>
      </c>
      <c r="U34" s="144">
        <f t="shared" si="95"/>
        <v>0</v>
      </c>
      <c r="V34" s="144">
        <f t="shared" si="95"/>
        <v>-1500</v>
      </c>
      <c r="W34" s="144">
        <f t="shared" si="95"/>
        <v>-1500</v>
      </c>
      <c r="X34" s="144">
        <f t="shared" si="95"/>
        <v>-1579</v>
      </c>
      <c r="Y34" s="144">
        <f t="shared" si="95"/>
        <v>-1658</v>
      </c>
      <c r="Z34" s="144">
        <f t="shared" si="95"/>
        <v>-1737</v>
      </c>
      <c r="AA34" s="144">
        <f t="shared" si="95"/>
        <v>-1816</v>
      </c>
      <c r="AB34" s="144">
        <f t="shared" si="95"/>
        <v>-1895</v>
      </c>
      <c r="AC34" s="144">
        <f t="shared" si="95"/>
        <v>-1974</v>
      </c>
      <c r="AD34" s="144">
        <f t="shared" si="95"/>
        <v>-2053</v>
      </c>
      <c r="AE34" s="144">
        <f t="shared" si="95"/>
        <v>-2132</v>
      </c>
      <c r="AF34" s="144">
        <f t="shared" si="95"/>
        <v>-2210</v>
      </c>
      <c r="AG34" s="144">
        <f t="shared" si="95"/>
        <v>-2289</v>
      </c>
      <c r="AH34" s="144">
        <f t="shared" si="95"/>
        <v>0</v>
      </c>
      <c r="AI34" s="144">
        <f t="shared" si="95"/>
        <v>-2368</v>
      </c>
      <c r="AJ34" s="144">
        <f t="shared" si="95"/>
        <v>-2447</v>
      </c>
      <c r="AK34" s="144">
        <f t="shared" si="95"/>
        <v>-2526</v>
      </c>
      <c r="AL34" s="144">
        <f t="shared" si="95"/>
        <v>-2604</v>
      </c>
      <c r="AM34" s="144">
        <f t="shared" si="95"/>
        <v>-2683</v>
      </c>
      <c r="AN34" s="144">
        <f t="shared" si="95"/>
        <v>-2762</v>
      </c>
      <c r="AO34" s="144">
        <f t="shared" si="95"/>
        <v>-2841</v>
      </c>
      <c r="AP34" s="144">
        <f t="shared" si="95"/>
        <v>-2999.9999581396</v>
      </c>
      <c r="AQ34" s="144">
        <f t="shared" si="95"/>
        <v>-2999.9999581396</v>
      </c>
      <c r="AR34" s="144">
        <f t="shared" si="95"/>
        <v>-2999.9999581396</v>
      </c>
      <c r="AS34" s="144">
        <f t="shared" si="95"/>
        <v>-2999.9999581396</v>
      </c>
      <c r="AT34" s="144">
        <f t="shared" si="95"/>
        <v>-2999.9999581396</v>
      </c>
      <c r="AU34" s="144"/>
    </row>
    <row r="35" spans="2:67" x14ac:dyDescent="0.2">
      <c r="B35" s="6" t="s">
        <v>326</v>
      </c>
      <c r="C35" s="109">
        <f>SUM(C32:C34)</f>
        <v>2000</v>
      </c>
      <c r="D35" s="109">
        <f t="shared" ref="D35" si="96">SUM(D32:D34)</f>
        <v>1591</v>
      </c>
      <c r="E35" s="109">
        <f t="shared" ref="E35" si="97">SUM(E32:E34)</f>
        <v>2964</v>
      </c>
      <c r="F35" s="109">
        <f t="shared" ref="F35" si="98">SUM(F32:F34)</f>
        <v>2119</v>
      </c>
      <c r="G35" s="109">
        <f t="shared" ref="G35" si="99">SUM(G32:G34)</f>
        <v>3056</v>
      </c>
      <c r="H35" s="109"/>
      <c r="I35" s="109">
        <f t="shared" ref="I35" si="100">SUM(I32:I34)</f>
        <v>3774</v>
      </c>
      <c r="J35" s="109">
        <f t="shared" ref="J35" si="101">SUM(J32:J34)</f>
        <v>2274</v>
      </c>
      <c r="K35" s="109">
        <f t="shared" ref="K35" si="102">SUM(K32:K34)</f>
        <v>2774</v>
      </c>
      <c r="L35" s="109">
        <f t="shared" ref="L35" si="103">SUM(L32:L34)</f>
        <v>1274</v>
      </c>
      <c r="M35" s="109">
        <f t="shared" ref="M35" si="104">SUM(M32:M34)</f>
        <v>1774</v>
      </c>
      <c r="N35" s="109">
        <f t="shared" ref="N35" si="105">SUM(N32:N34)</f>
        <v>2274</v>
      </c>
      <c r="O35" s="109">
        <f t="shared" ref="O35" si="106">SUM(O32:O34)</f>
        <v>2774</v>
      </c>
      <c r="P35" s="109">
        <f t="shared" ref="P35" si="107">SUM(P32:P34)</f>
        <v>3274</v>
      </c>
      <c r="Q35" s="109">
        <f t="shared" ref="Q35" si="108">SUM(Q32:Q34)</f>
        <v>3774</v>
      </c>
      <c r="R35" s="109">
        <f t="shared" ref="R35" si="109">SUM(R32:R34)</f>
        <v>2274</v>
      </c>
      <c r="S35" s="109">
        <f t="shared" ref="S35" si="110">SUM(S32:S34)</f>
        <v>2774</v>
      </c>
      <c r="T35" s="109">
        <f t="shared" ref="T35" si="111">SUM(T32:T34)</f>
        <v>3274</v>
      </c>
      <c r="U35" s="109"/>
      <c r="V35" s="109">
        <f>SUM(V32:V34)</f>
        <v>3774</v>
      </c>
      <c r="W35" s="109">
        <f t="shared" ref="W35" si="112">SUM(W32:W34)</f>
        <v>2274</v>
      </c>
      <c r="X35" s="109">
        <f t="shared" ref="X35" si="113">SUM(X32:X34)</f>
        <v>2695</v>
      </c>
      <c r="Y35" s="109">
        <f t="shared" ref="Y35" si="114">SUM(Y32:Y34)</f>
        <v>3037</v>
      </c>
      <c r="Z35" s="109">
        <f t="shared" ref="Z35" si="115">SUM(Z32:Z34)</f>
        <v>3300</v>
      </c>
      <c r="AA35" s="109">
        <f t="shared" ref="AA35" si="116">SUM(AA32:AA34)</f>
        <v>3484</v>
      </c>
      <c r="AB35" s="109">
        <f t="shared" ref="AB35" si="117">SUM(AB32:AB34)</f>
        <v>3589</v>
      </c>
      <c r="AC35" s="109">
        <f t="shared" ref="AC35" si="118">SUM(AC32:AC34)</f>
        <v>3615</v>
      </c>
      <c r="AD35" s="109">
        <f t="shared" ref="AD35" si="119">SUM(AD32:AD34)</f>
        <v>3562</v>
      </c>
      <c r="AE35" s="109">
        <f t="shared" ref="AE35" si="120">SUM(AE32:AE34)</f>
        <v>3430</v>
      </c>
      <c r="AF35" s="109">
        <f t="shared" ref="AF35" si="121">SUM(AF32:AF34)</f>
        <v>3220</v>
      </c>
      <c r="AG35" s="109">
        <f t="shared" ref="AG35" si="122">SUM(AG32:AG34)</f>
        <v>2931</v>
      </c>
      <c r="AH35" s="109"/>
      <c r="AI35" s="109">
        <f t="shared" ref="AI35" si="123">SUM(AI32:AI34)</f>
        <v>2563</v>
      </c>
      <c r="AJ35" s="109">
        <f t="shared" ref="AJ35" si="124">SUM(AJ32:AJ34)</f>
        <v>2116</v>
      </c>
      <c r="AK35" s="109">
        <f t="shared" ref="AK35" si="125">SUM(AK32:AK34)</f>
        <v>3590</v>
      </c>
      <c r="AL35" s="109">
        <f t="shared" ref="AL35" si="126">SUM(AL32:AL34)</f>
        <v>2986</v>
      </c>
      <c r="AM35" s="109">
        <f t="shared" ref="AM35" si="127">SUM(AM32:AM34)</f>
        <v>2303</v>
      </c>
      <c r="AN35" s="109">
        <f t="shared" ref="AN35" si="128">SUM(AN32:AN34)</f>
        <v>3541</v>
      </c>
      <c r="AO35" s="109">
        <f t="shared" ref="AO35" si="129">SUM(AO32:AO34)</f>
        <v>4700</v>
      </c>
      <c r="AP35" s="109">
        <f t="shared" ref="AP35" si="130">SUM(AP32:AP34)</f>
        <v>3700.0000418604</v>
      </c>
      <c r="AQ35" s="109">
        <f t="shared" ref="AQ35" si="131">SUM(AQ32:AQ34)</f>
        <v>4700.000083720799</v>
      </c>
      <c r="AR35" s="109">
        <f t="shared" ref="AR35" si="132">SUM(AR32:AR34)</f>
        <v>3700.000125581199</v>
      </c>
      <c r="AS35" s="109">
        <f t="shared" ref="AS35" si="133">SUM(AS32:AS34)</f>
        <v>4700.000167441598</v>
      </c>
      <c r="AT35" s="109">
        <f t="shared" ref="AT35" si="134">SUM(AT32:AT34)</f>
        <v>5700.0002093019975</v>
      </c>
      <c r="AU35" s="109"/>
    </row>
    <row r="36" spans="2:67" x14ac:dyDescent="0.2">
      <c r="B36" s="6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</row>
    <row r="37" spans="2:67" x14ac:dyDescent="0.2">
      <c r="B37" s="10" t="s">
        <v>361</v>
      </c>
      <c r="C37" s="11">
        <f>C31</f>
        <v>45899</v>
      </c>
      <c r="D37" s="11">
        <f t="shared" ref="D37:AU37" si="135">D31</f>
        <v>45930</v>
      </c>
      <c r="E37" s="11">
        <f t="shared" si="135"/>
        <v>45961</v>
      </c>
      <c r="F37" s="11">
        <f t="shared" si="135"/>
        <v>45991</v>
      </c>
      <c r="G37" s="11">
        <f t="shared" si="135"/>
        <v>46022</v>
      </c>
      <c r="H37" s="10">
        <f t="shared" si="135"/>
        <v>2025</v>
      </c>
      <c r="I37" s="11">
        <f t="shared" si="135"/>
        <v>46053</v>
      </c>
      <c r="J37" s="11">
        <f t="shared" si="135"/>
        <v>46081</v>
      </c>
      <c r="K37" s="11">
        <f t="shared" si="135"/>
        <v>46112</v>
      </c>
      <c r="L37" s="11">
        <f t="shared" si="135"/>
        <v>46142</v>
      </c>
      <c r="M37" s="11">
        <f t="shared" si="135"/>
        <v>46173</v>
      </c>
      <c r="N37" s="11">
        <f t="shared" si="135"/>
        <v>46203</v>
      </c>
      <c r="O37" s="11">
        <f t="shared" si="135"/>
        <v>46234</v>
      </c>
      <c r="P37" s="11">
        <f t="shared" si="135"/>
        <v>46265</v>
      </c>
      <c r="Q37" s="11">
        <f t="shared" si="135"/>
        <v>46295</v>
      </c>
      <c r="R37" s="11">
        <f t="shared" si="135"/>
        <v>46326</v>
      </c>
      <c r="S37" s="11">
        <f t="shared" si="135"/>
        <v>46356</v>
      </c>
      <c r="T37" s="11">
        <f t="shared" si="135"/>
        <v>46387</v>
      </c>
      <c r="U37" s="10">
        <f t="shared" si="135"/>
        <v>2026</v>
      </c>
      <c r="V37" s="11">
        <f t="shared" si="135"/>
        <v>46418</v>
      </c>
      <c r="W37" s="11">
        <f t="shared" si="135"/>
        <v>46446</v>
      </c>
      <c r="X37" s="11">
        <f t="shared" si="135"/>
        <v>46477</v>
      </c>
      <c r="Y37" s="11">
        <f t="shared" si="135"/>
        <v>46507</v>
      </c>
      <c r="Z37" s="11">
        <f t="shared" si="135"/>
        <v>46538</v>
      </c>
      <c r="AA37" s="11">
        <f t="shared" si="135"/>
        <v>46568</v>
      </c>
      <c r="AB37" s="11">
        <f t="shared" si="135"/>
        <v>46599</v>
      </c>
      <c r="AC37" s="11">
        <f t="shared" si="135"/>
        <v>46630</v>
      </c>
      <c r="AD37" s="11">
        <f t="shared" si="135"/>
        <v>46660</v>
      </c>
      <c r="AE37" s="11">
        <f t="shared" si="135"/>
        <v>46691</v>
      </c>
      <c r="AF37" s="11">
        <f t="shared" si="135"/>
        <v>46721</v>
      </c>
      <c r="AG37" s="11">
        <f t="shared" si="135"/>
        <v>46752</v>
      </c>
      <c r="AH37" s="10">
        <f t="shared" si="135"/>
        <v>2027</v>
      </c>
      <c r="AI37" s="11">
        <f t="shared" si="135"/>
        <v>46783</v>
      </c>
      <c r="AJ37" s="11">
        <f t="shared" si="135"/>
        <v>46812</v>
      </c>
      <c r="AK37" s="11">
        <f t="shared" si="135"/>
        <v>46843</v>
      </c>
      <c r="AL37" s="11">
        <f t="shared" si="135"/>
        <v>46873</v>
      </c>
      <c r="AM37" s="11">
        <f t="shared" si="135"/>
        <v>46904</v>
      </c>
      <c r="AN37" s="11">
        <f t="shared" si="135"/>
        <v>46934</v>
      </c>
      <c r="AO37" s="11">
        <f t="shared" si="135"/>
        <v>46965</v>
      </c>
      <c r="AP37" s="11">
        <f t="shared" si="135"/>
        <v>46996</v>
      </c>
      <c r="AQ37" s="11">
        <f t="shared" si="135"/>
        <v>47026</v>
      </c>
      <c r="AR37" s="11">
        <f t="shared" si="135"/>
        <v>47057</v>
      </c>
      <c r="AS37" s="11">
        <f t="shared" si="135"/>
        <v>47087</v>
      </c>
      <c r="AT37" s="11">
        <f t="shared" si="135"/>
        <v>47118</v>
      </c>
      <c r="AU37" s="10">
        <f t="shared" si="135"/>
        <v>2028</v>
      </c>
      <c r="AV37" s="217"/>
      <c r="AW37" s="217"/>
      <c r="AX37" s="217"/>
      <c r="AY37" s="217"/>
      <c r="AZ37" s="217"/>
      <c r="BA37" s="217"/>
      <c r="BB37" s="216"/>
      <c r="BC37" s="217"/>
      <c r="BD37" s="217"/>
      <c r="BE37" s="217"/>
      <c r="BF37" s="217"/>
      <c r="BG37" s="217"/>
      <c r="BH37" s="217"/>
      <c r="BI37" s="217"/>
      <c r="BJ37" s="217"/>
      <c r="BK37" s="217"/>
      <c r="BL37" s="217"/>
      <c r="BM37" s="217"/>
      <c r="BN37" s="217"/>
      <c r="BO37" s="216"/>
    </row>
    <row r="38" spans="2:67" x14ac:dyDescent="0.2">
      <c r="B38" t="s">
        <v>323</v>
      </c>
      <c r="C38" s="253">
        <v>3000</v>
      </c>
      <c r="D38" s="75">
        <f>C41</f>
        <v>3000</v>
      </c>
      <c r="E38" s="75">
        <f t="shared" ref="E38:G38" si="136">D41</f>
        <v>2591</v>
      </c>
      <c r="F38" s="75">
        <f t="shared" si="136"/>
        <v>1964</v>
      </c>
      <c r="G38" s="75">
        <f t="shared" si="136"/>
        <v>1119</v>
      </c>
      <c r="H38" s="75"/>
      <c r="I38" s="75">
        <f>G41</f>
        <v>3056</v>
      </c>
      <c r="J38" s="75">
        <f t="shared" ref="J38:T38" si="137">I41</f>
        <v>1774</v>
      </c>
      <c r="K38" s="75">
        <f t="shared" si="137"/>
        <v>3274</v>
      </c>
      <c r="L38" s="75">
        <f t="shared" si="137"/>
        <v>1774</v>
      </c>
      <c r="M38" s="75">
        <f t="shared" si="137"/>
        <v>3274</v>
      </c>
      <c r="N38" s="75">
        <f t="shared" si="137"/>
        <v>1774</v>
      </c>
      <c r="O38" s="75">
        <f t="shared" si="137"/>
        <v>274</v>
      </c>
      <c r="P38" s="75">
        <f t="shared" si="137"/>
        <v>1774</v>
      </c>
      <c r="Q38" s="75">
        <f t="shared" si="137"/>
        <v>274</v>
      </c>
      <c r="R38" s="75">
        <f t="shared" si="137"/>
        <v>1774</v>
      </c>
      <c r="S38" s="75">
        <f t="shared" si="137"/>
        <v>3274</v>
      </c>
      <c r="T38" s="75">
        <f t="shared" si="137"/>
        <v>1774</v>
      </c>
      <c r="U38" s="75"/>
      <c r="V38" s="75">
        <f>T41</f>
        <v>3274</v>
      </c>
      <c r="W38" s="75">
        <f t="shared" ref="W38:AG38" si="138">V41</f>
        <v>1774</v>
      </c>
      <c r="X38" s="75">
        <f t="shared" si="138"/>
        <v>3274</v>
      </c>
      <c r="Y38" s="75">
        <f t="shared" si="138"/>
        <v>1695</v>
      </c>
      <c r="Z38" s="75">
        <f t="shared" si="138"/>
        <v>3037</v>
      </c>
      <c r="AA38" s="75">
        <f t="shared" si="138"/>
        <v>1301</v>
      </c>
      <c r="AB38" s="75">
        <f t="shared" si="138"/>
        <v>2486</v>
      </c>
      <c r="AC38" s="75">
        <f t="shared" si="138"/>
        <v>3592</v>
      </c>
      <c r="AD38" s="75">
        <f t="shared" si="138"/>
        <v>1619</v>
      </c>
      <c r="AE38" s="75">
        <f t="shared" si="138"/>
        <v>2567</v>
      </c>
      <c r="AF38" s="75">
        <f t="shared" si="138"/>
        <v>3436</v>
      </c>
      <c r="AG38" s="75">
        <f t="shared" si="138"/>
        <v>1225</v>
      </c>
      <c r="AH38" s="75"/>
      <c r="AI38" s="75">
        <f>AG41</f>
        <v>4935</v>
      </c>
      <c r="AJ38" s="75">
        <f t="shared" ref="AJ38:AT38" si="139">AI41</f>
        <v>5567</v>
      </c>
      <c r="AK38" s="75">
        <f t="shared" si="139"/>
        <v>3120</v>
      </c>
      <c r="AL38" s="75">
        <f t="shared" si="139"/>
        <v>3594</v>
      </c>
      <c r="AM38" s="75">
        <f t="shared" si="139"/>
        <v>3989</v>
      </c>
      <c r="AN38" s="75">
        <f t="shared" si="139"/>
        <v>4305</v>
      </c>
      <c r="AO38" s="75">
        <f t="shared" si="139"/>
        <v>4542</v>
      </c>
      <c r="AP38" s="75">
        <f t="shared" si="139"/>
        <v>4700</v>
      </c>
      <c r="AQ38" s="75">
        <f t="shared" si="139"/>
        <v>4700.0000418603995</v>
      </c>
      <c r="AR38" s="75">
        <f t="shared" si="139"/>
        <v>4700.000083720799</v>
      </c>
      <c r="AS38" s="75">
        <f t="shared" si="139"/>
        <v>4700.0001255811985</v>
      </c>
      <c r="AT38" s="75">
        <f t="shared" si="139"/>
        <v>4700.000167441598</v>
      </c>
      <c r="AU38" s="75"/>
    </row>
    <row r="39" spans="2:67" x14ac:dyDescent="0.2">
      <c r="B39" t="s">
        <v>324</v>
      </c>
      <c r="C39" s="75">
        <v>0</v>
      </c>
      <c r="D39" s="75"/>
      <c r="E39" s="253"/>
      <c r="F39" s="253"/>
      <c r="G39" s="253">
        <v>3000</v>
      </c>
      <c r="H39" s="253"/>
      <c r="I39" s="253"/>
      <c r="J39" s="253">
        <v>3000</v>
      </c>
      <c r="K39" s="253"/>
      <c r="L39" s="253">
        <v>3000</v>
      </c>
      <c r="M39" s="253"/>
      <c r="N39" s="253"/>
      <c r="O39" s="253">
        <v>3000</v>
      </c>
      <c r="P39" s="253"/>
      <c r="Q39" s="253">
        <v>3000</v>
      </c>
      <c r="R39" s="253">
        <v>3000</v>
      </c>
      <c r="S39" s="253"/>
      <c r="T39" s="253">
        <v>3000</v>
      </c>
      <c r="U39" s="253"/>
      <c r="V39" s="253"/>
      <c r="W39" s="253">
        <v>3000</v>
      </c>
      <c r="X39" s="253"/>
      <c r="Y39" s="253">
        <v>3000</v>
      </c>
      <c r="Z39" s="253"/>
      <c r="AA39" s="253">
        <v>3000</v>
      </c>
      <c r="AB39" s="253">
        <v>3000</v>
      </c>
      <c r="AC39" s="253"/>
      <c r="AD39" s="253">
        <v>3000</v>
      </c>
      <c r="AE39" s="253">
        <v>3000</v>
      </c>
      <c r="AF39" s="253"/>
      <c r="AG39" s="253">
        <v>6000</v>
      </c>
      <c r="AH39" s="253"/>
      <c r="AI39" s="253">
        <v>3000</v>
      </c>
      <c r="AJ39" s="253"/>
      <c r="AK39" s="253">
        <v>3000</v>
      </c>
      <c r="AL39" s="253">
        <v>3000</v>
      </c>
      <c r="AM39" s="253">
        <v>3000</v>
      </c>
      <c r="AN39" s="253">
        <v>3000</v>
      </c>
      <c r="AO39" s="253">
        <v>3000</v>
      </c>
      <c r="AP39" s="253">
        <v>3000</v>
      </c>
      <c r="AQ39" s="253">
        <v>3000</v>
      </c>
      <c r="AR39" s="253">
        <v>3000</v>
      </c>
      <c r="AS39" s="253">
        <v>3000</v>
      </c>
      <c r="AT39" s="253">
        <v>3000</v>
      </c>
      <c r="AU39" s="244"/>
    </row>
    <row r="40" spans="2:67" x14ac:dyDescent="0.2">
      <c r="B40" s="114" t="s">
        <v>325</v>
      </c>
      <c r="C40" s="144">
        <v>0</v>
      </c>
      <c r="D40" s="144">
        <f>-D9</f>
        <v>-409</v>
      </c>
      <c r="E40" s="144">
        <f t="shared" ref="E40:AT40" si="140">-E9</f>
        <v>-627</v>
      </c>
      <c r="F40" s="144">
        <f t="shared" si="140"/>
        <v>-845</v>
      </c>
      <c r="G40" s="144">
        <f t="shared" si="140"/>
        <v>-1063</v>
      </c>
      <c r="H40" s="144"/>
      <c r="I40" s="144">
        <f t="shared" si="140"/>
        <v>-1282</v>
      </c>
      <c r="J40" s="144">
        <f t="shared" si="140"/>
        <v>-1500</v>
      </c>
      <c r="K40" s="144">
        <f t="shared" si="140"/>
        <v>-1500</v>
      </c>
      <c r="L40" s="144">
        <f t="shared" si="140"/>
        <v>-1500</v>
      </c>
      <c r="M40" s="144">
        <f t="shared" si="140"/>
        <v>-1500</v>
      </c>
      <c r="N40" s="144">
        <f t="shared" si="140"/>
        <v>-1500</v>
      </c>
      <c r="O40" s="144">
        <f t="shared" si="140"/>
        <v>-1500</v>
      </c>
      <c r="P40" s="144">
        <f t="shared" si="140"/>
        <v>-1500</v>
      </c>
      <c r="Q40" s="144">
        <f t="shared" si="140"/>
        <v>-1500</v>
      </c>
      <c r="R40" s="144">
        <f t="shared" si="140"/>
        <v>-1500</v>
      </c>
      <c r="S40" s="144">
        <f t="shared" si="140"/>
        <v>-1500</v>
      </c>
      <c r="T40" s="144">
        <f t="shared" si="140"/>
        <v>-1500</v>
      </c>
      <c r="U40" s="144">
        <f t="shared" si="140"/>
        <v>0</v>
      </c>
      <c r="V40" s="144">
        <f t="shared" si="140"/>
        <v>-1500</v>
      </c>
      <c r="W40" s="144">
        <f t="shared" si="140"/>
        <v>-1500</v>
      </c>
      <c r="X40" s="144">
        <f t="shared" si="140"/>
        <v>-1579</v>
      </c>
      <c r="Y40" s="144">
        <f t="shared" si="140"/>
        <v>-1658</v>
      </c>
      <c r="Z40" s="144">
        <f t="shared" si="140"/>
        <v>-1736</v>
      </c>
      <c r="AA40" s="144">
        <f t="shared" si="140"/>
        <v>-1815</v>
      </c>
      <c r="AB40" s="144">
        <f t="shared" si="140"/>
        <v>-1894</v>
      </c>
      <c r="AC40" s="144">
        <f t="shared" si="140"/>
        <v>-1973</v>
      </c>
      <c r="AD40" s="144">
        <f t="shared" si="140"/>
        <v>-2052</v>
      </c>
      <c r="AE40" s="144">
        <f t="shared" si="140"/>
        <v>-2131</v>
      </c>
      <c r="AF40" s="144">
        <f t="shared" si="140"/>
        <v>-2211</v>
      </c>
      <c r="AG40" s="144">
        <f t="shared" si="140"/>
        <v>-2290</v>
      </c>
      <c r="AH40" s="144">
        <f t="shared" si="140"/>
        <v>0</v>
      </c>
      <c r="AI40" s="144">
        <f t="shared" si="140"/>
        <v>-2368</v>
      </c>
      <c r="AJ40" s="144">
        <f t="shared" si="140"/>
        <v>-2447</v>
      </c>
      <c r="AK40" s="144">
        <f t="shared" si="140"/>
        <v>-2526</v>
      </c>
      <c r="AL40" s="144">
        <f t="shared" si="140"/>
        <v>-2605</v>
      </c>
      <c r="AM40" s="144">
        <f t="shared" si="140"/>
        <v>-2684</v>
      </c>
      <c r="AN40" s="144">
        <f t="shared" si="140"/>
        <v>-2763</v>
      </c>
      <c r="AO40" s="144">
        <f t="shared" si="140"/>
        <v>-2842</v>
      </c>
      <c r="AP40" s="144">
        <f t="shared" si="140"/>
        <v>-2999.9999581396</v>
      </c>
      <c r="AQ40" s="144">
        <f t="shared" si="140"/>
        <v>-2999.9999581396</v>
      </c>
      <c r="AR40" s="144">
        <f t="shared" si="140"/>
        <v>-2999.9999581396</v>
      </c>
      <c r="AS40" s="144">
        <f t="shared" si="140"/>
        <v>-2999.9999581396</v>
      </c>
      <c r="AT40" s="144">
        <f t="shared" si="140"/>
        <v>-2999.9999581396</v>
      </c>
      <c r="AU40" s="144"/>
    </row>
    <row r="41" spans="2:67" x14ac:dyDescent="0.2">
      <c r="B41" s="6" t="s">
        <v>326</v>
      </c>
      <c r="C41" s="109">
        <f>SUM(C38:C40)</f>
        <v>3000</v>
      </c>
      <c r="D41" s="109">
        <f t="shared" ref="D41" si="141">SUM(D38:D40)</f>
        <v>2591</v>
      </c>
      <c r="E41" s="109">
        <f t="shared" ref="E41" si="142">SUM(E38:E40)</f>
        <v>1964</v>
      </c>
      <c r="F41" s="109">
        <f t="shared" ref="F41" si="143">SUM(F38:F40)</f>
        <v>1119</v>
      </c>
      <c r="G41" s="109">
        <f t="shared" ref="G41" si="144">SUM(G38:G40)</f>
        <v>3056</v>
      </c>
      <c r="H41" s="109"/>
      <c r="I41" s="109">
        <f t="shared" ref="I41" si="145">SUM(I38:I40)</f>
        <v>1774</v>
      </c>
      <c r="J41" s="109">
        <f t="shared" ref="J41" si="146">SUM(J38:J40)</f>
        <v>3274</v>
      </c>
      <c r="K41" s="109">
        <f t="shared" ref="K41" si="147">SUM(K38:K40)</f>
        <v>1774</v>
      </c>
      <c r="L41" s="109">
        <f t="shared" ref="L41" si="148">SUM(L38:L40)</f>
        <v>3274</v>
      </c>
      <c r="M41" s="109">
        <f t="shared" ref="M41" si="149">SUM(M38:M40)</f>
        <v>1774</v>
      </c>
      <c r="N41" s="109">
        <f t="shared" ref="N41" si="150">SUM(N38:N40)</f>
        <v>274</v>
      </c>
      <c r="O41" s="109">
        <f t="shared" ref="O41" si="151">SUM(O38:O40)</f>
        <v>1774</v>
      </c>
      <c r="P41" s="109">
        <f t="shared" ref="P41" si="152">SUM(P38:P40)</f>
        <v>274</v>
      </c>
      <c r="Q41" s="109">
        <f t="shared" ref="Q41" si="153">SUM(Q38:Q40)</f>
        <v>1774</v>
      </c>
      <c r="R41" s="109">
        <f t="shared" ref="R41" si="154">SUM(R38:R40)</f>
        <v>3274</v>
      </c>
      <c r="S41" s="109">
        <f t="shared" ref="S41" si="155">SUM(S38:S40)</f>
        <v>1774</v>
      </c>
      <c r="T41" s="109">
        <f t="shared" ref="T41" si="156">SUM(T38:T40)</f>
        <v>3274</v>
      </c>
      <c r="U41" s="109"/>
      <c r="V41" s="109">
        <f>SUM(V38:V40)</f>
        <v>1774</v>
      </c>
      <c r="W41" s="109">
        <f t="shared" ref="W41" si="157">SUM(W38:W40)</f>
        <v>3274</v>
      </c>
      <c r="X41" s="109">
        <f t="shared" ref="X41" si="158">SUM(X38:X40)</f>
        <v>1695</v>
      </c>
      <c r="Y41" s="109">
        <f t="shared" ref="Y41" si="159">SUM(Y38:Y40)</f>
        <v>3037</v>
      </c>
      <c r="Z41" s="109">
        <f t="shared" ref="Z41" si="160">SUM(Z38:Z40)</f>
        <v>1301</v>
      </c>
      <c r="AA41" s="109">
        <f t="shared" ref="AA41" si="161">SUM(AA38:AA40)</f>
        <v>2486</v>
      </c>
      <c r="AB41" s="109">
        <f t="shared" ref="AB41" si="162">SUM(AB38:AB40)</f>
        <v>3592</v>
      </c>
      <c r="AC41" s="109">
        <f t="shared" ref="AC41" si="163">SUM(AC38:AC40)</f>
        <v>1619</v>
      </c>
      <c r="AD41" s="109">
        <f t="shared" ref="AD41" si="164">SUM(AD38:AD40)</f>
        <v>2567</v>
      </c>
      <c r="AE41" s="109">
        <f t="shared" ref="AE41" si="165">SUM(AE38:AE40)</f>
        <v>3436</v>
      </c>
      <c r="AF41" s="109">
        <f t="shared" ref="AF41" si="166">SUM(AF38:AF40)</f>
        <v>1225</v>
      </c>
      <c r="AG41" s="109">
        <f t="shared" ref="AG41" si="167">SUM(AG38:AG40)</f>
        <v>4935</v>
      </c>
      <c r="AH41" s="109"/>
      <c r="AI41" s="109">
        <f t="shared" ref="AI41" si="168">SUM(AI38:AI40)</f>
        <v>5567</v>
      </c>
      <c r="AJ41" s="109">
        <f t="shared" ref="AJ41" si="169">SUM(AJ38:AJ40)</f>
        <v>3120</v>
      </c>
      <c r="AK41" s="109">
        <f t="shared" ref="AK41" si="170">SUM(AK38:AK40)</f>
        <v>3594</v>
      </c>
      <c r="AL41" s="109">
        <f t="shared" ref="AL41" si="171">SUM(AL38:AL40)</f>
        <v>3989</v>
      </c>
      <c r="AM41" s="109">
        <f t="shared" ref="AM41" si="172">SUM(AM38:AM40)</f>
        <v>4305</v>
      </c>
      <c r="AN41" s="109">
        <f t="shared" ref="AN41" si="173">SUM(AN38:AN40)</f>
        <v>4542</v>
      </c>
      <c r="AO41" s="109">
        <f t="shared" ref="AO41" si="174">SUM(AO38:AO40)</f>
        <v>4700</v>
      </c>
      <c r="AP41" s="109">
        <f t="shared" ref="AP41" si="175">SUM(AP38:AP40)</f>
        <v>4700.0000418603995</v>
      </c>
      <c r="AQ41" s="109">
        <f t="shared" ref="AQ41" si="176">SUM(AQ38:AQ40)</f>
        <v>4700.000083720799</v>
      </c>
      <c r="AR41" s="109">
        <f t="shared" ref="AR41" si="177">SUM(AR38:AR40)</f>
        <v>4700.0001255811985</v>
      </c>
      <c r="AS41" s="109">
        <f t="shared" ref="AS41" si="178">SUM(AS38:AS40)</f>
        <v>4700.000167441598</v>
      </c>
      <c r="AT41" s="109">
        <f t="shared" ref="AT41" si="179">SUM(AT38:AT40)</f>
        <v>4700.0002093019975</v>
      </c>
      <c r="AU41" s="109"/>
    </row>
    <row r="42" spans="2:67" x14ac:dyDescent="0.2">
      <c r="B42" s="6"/>
      <c r="C42" s="109"/>
      <c r="D42" s="109"/>
      <c r="E42" s="109"/>
      <c r="F42" s="109"/>
      <c r="G42" s="109"/>
      <c r="H42" s="322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</row>
    <row r="43" spans="2:67" x14ac:dyDescent="0.2">
      <c r="B43" s="10" t="s">
        <v>320</v>
      </c>
      <c r="C43" s="11">
        <f>C37</f>
        <v>45899</v>
      </c>
      <c r="D43" s="11">
        <f t="shared" ref="D43:AU43" si="180">D37</f>
        <v>45930</v>
      </c>
      <c r="E43" s="11">
        <f t="shared" si="180"/>
        <v>45961</v>
      </c>
      <c r="F43" s="11">
        <f t="shared" si="180"/>
        <v>45991</v>
      </c>
      <c r="G43" s="11">
        <f t="shared" si="180"/>
        <v>46022</v>
      </c>
      <c r="H43" s="10">
        <f t="shared" si="180"/>
        <v>2025</v>
      </c>
      <c r="I43" s="11">
        <f t="shared" si="180"/>
        <v>46053</v>
      </c>
      <c r="J43" s="11">
        <f t="shared" si="180"/>
        <v>46081</v>
      </c>
      <c r="K43" s="11">
        <f t="shared" si="180"/>
        <v>46112</v>
      </c>
      <c r="L43" s="11">
        <f t="shared" si="180"/>
        <v>46142</v>
      </c>
      <c r="M43" s="11">
        <f t="shared" si="180"/>
        <v>46173</v>
      </c>
      <c r="N43" s="11">
        <f t="shared" si="180"/>
        <v>46203</v>
      </c>
      <c r="O43" s="11">
        <f t="shared" si="180"/>
        <v>46234</v>
      </c>
      <c r="P43" s="11">
        <f t="shared" si="180"/>
        <v>46265</v>
      </c>
      <c r="Q43" s="11">
        <f t="shared" si="180"/>
        <v>46295</v>
      </c>
      <c r="R43" s="11">
        <f t="shared" si="180"/>
        <v>46326</v>
      </c>
      <c r="S43" s="11">
        <f t="shared" si="180"/>
        <v>46356</v>
      </c>
      <c r="T43" s="11">
        <f t="shared" si="180"/>
        <v>46387</v>
      </c>
      <c r="U43" s="10">
        <f t="shared" si="180"/>
        <v>2026</v>
      </c>
      <c r="V43" s="11">
        <f t="shared" si="180"/>
        <v>46418</v>
      </c>
      <c r="W43" s="11">
        <f t="shared" si="180"/>
        <v>46446</v>
      </c>
      <c r="X43" s="11">
        <f t="shared" si="180"/>
        <v>46477</v>
      </c>
      <c r="Y43" s="11">
        <f t="shared" si="180"/>
        <v>46507</v>
      </c>
      <c r="Z43" s="11">
        <f t="shared" si="180"/>
        <v>46538</v>
      </c>
      <c r="AA43" s="11">
        <f t="shared" si="180"/>
        <v>46568</v>
      </c>
      <c r="AB43" s="11">
        <f t="shared" si="180"/>
        <v>46599</v>
      </c>
      <c r="AC43" s="11">
        <f t="shared" si="180"/>
        <v>46630</v>
      </c>
      <c r="AD43" s="11">
        <f t="shared" si="180"/>
        <v>46660</v>
      </c>
      <c r="AE43" s="11">
        <f t="shared" si="180"/>
        <v>46691</v>
      </c>
      <c r="AF43" s="11">
        <f t="shared" si="180"/>
        <v>46721</v>
      </c>
      <c r="AG43" s="11">
        <f t="shared" si="180"/>
        <v>46752</v>
      </c>
      <c r="AH43" s="10">
        <f t="shared" si="180"/>
        <v>2027</v>
      </c>
      <c r="AI43" s="11">
        <f t="shared" si="180"/>
        <v>46783</v>
      </c>
      <c r="AJ43" s="11">
        <f t="shared" si="180"/>
        <v>46812</v>
      </c>
      <c r="AK43" s="11">
        <f t="shared" si="180"/>
        <v>46843</v>
      </c>
      <c r="AL43" s="11">
        <f t="shared" si="180"/>
        <v>46873</v>
      </c>
      <c r="AM43" s="11">
        <f t="shared" si="180"/>
        <v>46904</v>
      </c>
      <c r="AN43" s="11">
        <f t="shared" si="180"/>
        <v>46934</v>
      </c>
      <c r="AO43" s="11">
        <f t="shared" si="180"/>
        <v>46965</v>
      </c>
      <c r="AP43" s="11">
        <f t="shared" si="180"/>
        <v>46996</v>
      </c>
      <c r="AQ43" s="11">
        <f t="shared" si="180"/>
        <v>47026</v>
      </c>
      <c r="AR43" s="11">
        <f t="shared" si="180"/>
        <v>47057</v>
      </c>
      <c r="AS43" s="11">
        <f t="shared" si="180"/>
        <v>47087</v>
      </c>
      <c r="AT43" s="11">
        <f t="shared" si="180"/>
        <v>47118</v>
      </c>
      <c r="AU43" s="10">
        <f t="shared" si="180"/>
        <v>2028</v>
      </c>
      <c r="AV43" s="217"/>
      <c r="AW43" s="217"/>
      <c r="AX43" s="217"/>
      <c r="AY43" s="217"/>
      <c r="AZ43" s="217"/>
      <c r="BA43" s="217"/>
      <c r="BB43" s="216"/>
      <c r="BC43" s="217"/>
      <c r="BD43" s="217"/>
      <c r="BE43" s="217"/>
      <c r="BF43" s="217"/>
      <c r="BG43" s="217"/>
      <c r="BH43" s="217"/>
      <c r="BI43" s="217"/>
      <c r="BJ43" s="217"/>
      <c r="BK43" s="217"/>
      <c r="BL43" s="217"/>
      <c r="BM43" s="217"/>
      <c r="BN43" s="217"/>
      <c r="BO43" s="216"/>
    </row>
    <row r="44" spans="2:67" x14ac:dyDescent="0.2">
      <c r="B44" t="s">
        <v>387</v>
      </c>
      <c r="D44" s="160">
        <f>(Assumptions!J89*4)/75</f>
        <v>8.5333333333333344E-2</v>
      </c>
      <c r="E44" s="160">
        <f>D44</f>
        <v>8.5333333333333344E-2</v>
      </c>
      <c r="F44" s="160">
        <f t="shared" ref="F44:I44" si="181">E44</f>
        <v>8.5333333333333344E-2</v>
      </c>
      <c r="G44" s="160">
        <f t="shared" si="181"/>
        <v>8.5333333333333344E-2</v>
      </c>
      <c r="H44" s="160">
        <f t="shared" si="181"/>
        <v>8.5333333333333344E-2</v>
      </c>
      <c r="I44" s="160">
        <f t="shared" si="181"/>
        <v>8.5333333333333344E-2</v>
      </c>
      <c r="J44" s="160">
        <f>(Assumptions!P89*4)/75</f>
        <v>8.5333333333333344E-2</v>
      </c>
      <c r="K44" s="160">
        <f>J44</f>
        <v>8.5333333333333344E-2</v>
      </c>
      <c r="L44" s="160">
        <f t="shared" ref="L44:U44" si="182">K44</f>
        <v>8.5333333333333344E-2</v>
      </c>
      <c r="M44" s="160">
        <f t="shared" si="182"/>
        <v>8.5333333333333344E-2</v>
      </c>
      <c r="N44" s="160">
        <f t="shared" si="182"/>
        <v>8.5333333333333344E-2</v>
      </c>
      <c r="O44" s="160">
        <f t="shared" si="182"/>
        <v>8.5333333333333344E-2</v>
      </c>
      <c r="P44" s="160">
        <f t="shared" si="182"/>
        <v>8.5333333333333344E-2</v>
      </c>
      <c r="Q44" s="160">
        <f t="shared" si="182"/>
        <v>8.5333333333333344E-2</v>
      </c>
      <c r="R44" s="160">
        <f t="shared" si="182"/>
        <v>8.5333333333333344E-2</v>
      </c>
      <c r="S44" s="160">
        <f t="shared" si="182"/>
        <v>8.5333333333333344E-2</v>
      </c>
      <c r="T44" s="160">
        <f t="shared" si="182"/>
        <v>8.5333333333333344E-2</v>
      </c>
      <c r="U44" s="160">
        <f t="shared" si="182"/>
        <v>8.5333333333333344E-2</v>
      </c>
      <c r="V44" s="160">
        <f>(Assumptions!AB84*4)/75</f>
        <v>9.7199199999999999E-2</v>
      </c>
      <c r="W44" s="160">
        <f>V44</f>
        <v>9.7199199999999999E-2</v>
      </c>
      <c r="X44" s="160">
        <f t="shared" ref="X44:AH44" si="183">W44</f>
        <v>9.7199199999999999E-2</v>
      </c>
      <c r="Y44" s="160">
        <f t="shared" si="183"/>
        <v>9.7199199999999999E-2</v>
      </c>
      <c r="Z44" s="160">
        <f t="shared" si="183"/>
        <v>9.7199199999999999E-2</v>
      </c>
      <c r="AA44" s="160">
        <f t="shared" si="183"/>
        <v>9.7199199999999999E-2</v>
      </c>
      <c r="AB44" s="160">
        <f t="shared" si="183"/>
        <v>9.7199199999999999E-2</v>
      </c>
      <c r="AC44" s="160">
        <f t="shared" si="183"/>
        <v>9.7199199999999999E-2</v>
      </c>
      <c r="AD44" s="160">
        <f t="shared" si="183"/>
        <v>9.7199199999999999E-2</v>
      </c>
      <c r="AE44" s="160">
        <f t="shared" si="183"/>
        <v>9.7199199999999999E-2</v>
      </c>
      <c r="AF44" s="160">
        <f t="shared" si="183"/>
        <v>9.7199199999999999E-2</v>
      </c>
      <c r="AG44" s="160">
        <f t="shared" si="183"/>
        <v>9.7199199999999999E-2</v>
      </c>
      <c r="AH44" s="160">
        <f t="shared" si="183"/>
        <v>9.7199199999999999E-2</v>
      </c>
      <c r="AI44" s="160">
        <f>(Assumptions!AO84*4)/75</f>
        <v>9.9143184000000009E-2</v>
      </c>
      <c r="AJ44" s="160">
        <f>AI44</f>
        <v>9.9143184000000009E-2</v>
      </c>
      <c r="AK44" s="160">
        <f t="shared" ref="AK44:AT44" si="184">AJ44</f>
        <v>9.9143184000000009E-2</v>
      </c>
      <c r="AL44" s="160">
        <f t="shared" si="184"/>
        <v>9.9143184000000009E-2</v>
      </c>
      <c r="AM44" s="160">
        <f t="shared" si="184"/>
        <v>9.9143184000000009E-2</v>
      </c>
      <c r="AN44" s="160">
        <f t="shared" si="184"/>
        <v>9.9143184000000009E-2</v>
      </c>
      <c r="AO44" s="160">
        <f t="shared" si="184"/>
        <v>9.9143184000000009E-2</v>
      </c>
      <c r="AP44" s="160">
        <f t="shared" si="184"/>
        <v>9.9143184000000009E-2</v>
      </c>
      <c r="AQ44" s="160">
        <f t="shared" si="184"/>
        <v>9.9143184000000009E-2</v>
      </c>
      <c r="AR44" s="160">
        <f t="shared" si="184"/>
        <v>9.9143184000000009E-2</v>
      </c>
      <c r="AS44" s="160">
        <f t="shared" si="184"/>
        <v>9.9143184000000009E-2</v>
      </c>
      <c r="AT44" s="160">
        <f t="shared" si="184"/>
        <v>9.9143184000000009E-2</v>
      </c>
      <c r="AU44" s="6"/>
    </row>
    <row r="45" spans="2:67" x14ac:dyDescent="0.2">
      <c r="B45" t="str">
        <f>"Storage fees"&amp;"-" &amp; B6</f>
        <v>Storage fees-Apple NFC</v>
      </c>
      <c r="D45" s="111">
        <f>C14*D44</f>
        <v>170.66666666666669</v>
      </c>
      <c r="E45" s="111">
        <f>D14*E44</f>
        <v>118.27200000000002</v>
      </c>
      <c r="F45" s="111">
        <f>E14*F44</f>
        <v>208.64000000000001</v>
      </c>
      <c r="G45" s="111">
        <f>F14*G44</f>
        <v>100.35200000000002</v>
      </c>
      <c r="H45" s="111">
        <f>SUM(D45:G45)</f>
        <v>597.93066666666664</v>
      </c>
      <c r="I45" s="111">
        <f>G14*I44</f>
        <v>134.82666666666668</v>
      </c>
      <c r="J45" s="111">
        <f>I14*J44</f>
        <v>141.48266666666669</v>
      </c>
      <c r="K45" s="111">
        <f t="shared" ref="K45:T45" si="185">J14*K44</f>
        <v>290.81599017675933</v>
      </c>
      <c r="L45" s="111">
        <f t="shared" si="185"/>
        <v>269.48264702018537</v>
      </c>
      <c r="M45" s="111">
        <f t="shared" si="185"/>
        <v>418.81597053027809</v>
      </c>
      <c r="N45" s="111">
        <f t="shared" si="185"/>
        <v>397.48262737370413</v>
      </c>
      <c r="O45" s="111">
        <f t="shared" si="185"/>
        <v>376.14928421713012</v>
      </c>
      <c r="P45" s="111">
        <f t="shared" si="185"/>
        <v>354.81594106055616</v>
      </c>
      <c r="Q45" s="111">
        <f t="shared" si="185"/>
        <v>333.48259790398214</v>
      </c>
      <c r="R45" s="111">
        <f t="shared" si="185"/>
        <v>312.14925474740812</v>
      </c>
      <c r="S45" s="111">
        <f t="shared" si="185"/>
        <v>290.81591159083416</v>
      </c>
      <c r="T45" s="111">
        <f t="shared" si="185"/>
        <v>269.48256843426014</v>
      </c>
      <c r="U45" s="130">
        <f>SUM(I45:T45)</f>
        <v>3589.8021263884311</v>
      </c>
      <c r="V45" s="111">
        <f>T14*V44</f>
        <v>282.65515051887741</v>
      </c>
      <c r="W45" s="111">
        <f>V14*W44</f>
        <v>452.75373932968449</v>
      </c>
      <c r="X45" s="111">
        <f t="shared" ref="X45:AF45" si="186">W14*X44</f>
        <v>428.45392814049154</v>
      </c>
      <c r="Y45" s="111">
        <f t="shared" si="186"/>
        <v>392.68462254049149</v>
      </c>
      <c r="Z45" s="111">
        <f t="shared" si="186"/>
        <v>345.4458113404915</v>
      </c>
      <c r="AA45" s="111">
        <f t="shared" si="186"/>
        <v>481.03869534049153</v>
      </c>
      <c r="AB45" s="111">
        <f t="shared" si="186"/>
        <v>410.76367374049153</v>
      </c>
      <c r="AC45" s="111">
        <f t="shared" si="186"/>
        <v>329.01914654049153</v>
      </c>
      <c r="AD45" s="111">
        <f t="shared" si="186"/>
        <v>235.70791454049152</v>
      </c>
      <c r="AE45" s="111">
        <f t="shared" si="186"/>
        <v>325.32557694049149</v>
      </c>
      <c r="AF45" s="111">
        <f t="shared" si="186"/>
        <v>403.47373374049153</v>
      </c>
      <c r="AG45" s="111">
        <f>AF14*AG44</f>
        <v>470.05518574049154</v>
      </c>
      <c r="AH45" s="130">
        <f>SUM(V45:AG45)</f>
        <v>4557.3771784534765</v>
      </c>
      <c r="AI45" s="111">
        <f>AG14*AI44</f>
        <v>337.38410678330138</v>
      </c>
      <c r="AJ45" s="111">
        <f>AI14*AJ44</f>
        <v>381.80025321530138</v>
      </c>
      <c r="AK45" s="111">
        <f t="shared" ref="AK45:AT45" si="187">AJ14*AK44</f>
        <v>414.51750393530136</v>
      </c>
      <c r="AL45" s="111">
        <f t="shared" si="187"/>
        <v>435.53585894330138</v>
      </c>
      <c r="AM45" s="111">
        <f t="shared" si="187"/>
        <v>444.75617505530141</v>
      </c>
      <c r="AN45" s="111">
        <f t="shared" si="187"/>
        <v>442.27759545530137</v>
      </c>
      <c r="AO45" s="111">
        <f t="shared" si="187"/>
        <v>428.10012014330141</v>
      </c>
      <c r="AP45" s="111">
        <f t="shared" si="187"/>
        <v>402.12460593530136</v>
      </c>
      <c r="AQ45" s="111">
        <f t="shared" si="187"/>
        <v>352.55299733460805</v>
      </c>
      <c r="AR45" s="111">
        <f t="shared" si="187"/>
        <v>501.26775673391472</v>
      </c>
      <c r="AS45" s="111">
        <f t="shared" si="187"/>
        <v>451.69614813322136</v>
      </c>
      <c r="AT45" s="111">
        <f t="shared" si="187"/>
        <v>402.12453953252799</v>
      </c>
      <c r="AU45" s="130">
        <f>SUM(AI45:AT45)</f>
        <v>4994.1376612006825</v>
      </c>
    </row>
    <row r="46" spans="2:67" x14ac:dyDescent="0.2">
      <c r="B46" t="str">
        <f>"Storage fees"&amp;"-" &amp; B7</f>
        <v>Storage fees-Orange NFC</v>
      </c>
      <c r="D46" s="111">
        <f>C15*D44</f>
        <v>170.66666666666669</v>
      </c>
      <c r="E46" s="111">
        <f t="shared" ref="E46:F46" si="188">D15*E44</f>
        <v>100.86400000000002</v>
      </c>
      <c r="F46" s="111">
        <f t="shared" si="188"/>
        <v>164.43733333333336</v>
      </c>
      <c r="G46" s="111">
        <f>F15*G44</f>
        <v>190.80533333333335</v>
      </c>
      <c r="H46" s="111">
        <f t="shared" ref="H46:H49" si="189">SUM(D46:G46)</f>
        <v>626.77333333333343</v>
      </c>
      <c r="I46" s="111">
        <f>G15*I44</f>
        <v>179.88266666666669</v>
      </c>
      <c r="J46" s="111">
        <f>I15*J44</f>
        <v>302.42133333333339</v>
      </c>
      <c r="K46" s="111">
        <f t="shared" ref="K46:T46" si="190">J15*K44</f>
        <v>387.75466666666671</v>
      </c>
      <c r="L46" s="111">
        <f t="shared" si="190"/>
        <v>302.42133333333339</v>
      </c>
      <c r="M46" s="111">
        <f t="shared" si="190"/>
        <v>387.75466666666671</v>
      </c>
      <c r="N46" s="111">
        <f t="shared" si="190"/>
        <v>302.42133333333339</v>
      </c>
      <c r="O46" s="111">
        <f t="shared" si="190"/>
        <v>387.75466666666671</v>
      </c>
      <c r="P46" s="111">
        <f t="shared" si="190"/>
        <v>302.42133333333339</v>
      </c>
      <c r="Q46" s="111">
        <f t="shared" si="190"/>
        <v>387.75466666666671</v>
      </c>
      <c r="R46" s="111">
        <f t="shared" si="190"/>
        <v>302.42133333333339</v>
      </c>
      <c r="S46" s="111">
        <f t="shared" si="190"/>
        <v>387.75466666666671</v>
      </c>
      <c r="T46" s="111">
        <f t="shared" si="190"/>
        <v>302.42133333333339</v>
      </c>
      <c r="U46" s="130">
        <f t="shared" ref="U46:U49" si="191">SUM(I46:T46)</f>
        <v>3933.1840000000002</v>
      </c>
      <c r="V46" s="111">
        <f>T15*V44</f>
        <v>441.6731648</v>
      </c>
      <c r="W46" s="111">
        <f>V15*W44</f>
        <v>538.87236480000001</v>
      </c>
      <c r="X46" s="111">
        <f t="shared" ref="X46:AG46" si="192">W15*X44</f>
        <v>441.6731648</v>
      </c>
      <c r="Y46" s="111">
        <f t="shared" si="192"/>
        <v>523.51489119999997</v>
      </c>
      <c r="Z46" s="111">
        <f t="shared" si="192"/>
        <v>395.60074400000002</v>
      </c>
      <c r="AA46" s="111">
        <f t="shared" si="192"/>
        <v>252.3291232</v>
      </c>
      <c r="AB46" s="111">
        <f t="shared" si="192"/>
        <v>288.09842880000002</v>
      </c>
      <c r="AC46" s="111">
        <f t="shared" si="192"/>
        <v>308.51026080000003</v>
      </c>
      <c r="AD46" s="111">
        <f t="shared" si="192"/>
        <v>313.66181840000002</v>
      </c>
      <c r="AE46" s="111">
        <f t="shared" si="192"/>
        <v>303.45590240000001</v>
      </c>
      <c r="AF46" s="111">
        <f t="shared" si="192"/>
        <v>472.2909128</v>
      </c>
      <c r="AG46" s="111">
        <f t="shared" si="192"/>
        <v>431.46724879999999</v>
      </c>
      <c r="AH46" s="130">
        <f t="shared" ref="AH46:AH49" si="193">SUM(V46:AG46)</f>
        <v>4711.1480247999998</v>
      </c>
      <c r="AI46" s="111">
        <f>AG15*AI44</f>
        <v>581.0782014240001</v>
      </c>
      <c r="AJ46" s="111">
        <f>AI15*AJ44</f>
        <v>508.10881800000004</v>
      </c>
      <c r="AK46" s="111">
        <f t="shared" ref="AK46:AT46" si="194">AJ15*AK44</f>
        <v>617.7611795040001</v>
      </c>
      <c r="AL46" s="111">
        <f t="shared" si="194"/>
        <v>711.74891793600011</v>
      </c>
      <c r="AM46" s="111">
        <f t="shared" si="194"/>
        <v>591.78566529600005</v>
      </c>
      <c r="AN46" s="111">
        <f t="shared" si="194"/>
        <v>654.4441575840001</v>
      </c>
      <c r="AO46" s="111">
        <f t="shared" si="194"/>
        <v>503.15165880000006</v>
      </c>
      <c r="AP46" s="111">
        <f t="shared" si="194"/>
        <v>534.58004812800004</v>
      </c>
      <c r="AQ46" s="111">
        <f t="shared" si="194"/>
        <v>534.58005642834667</v>
      </c>
      <c r="AR46" s="111">
        <f t="shared" si="194"/>
        <v>534.58006472869329</v>
      </c>
      <c r="AS46" s="111">
        <f t="shared" si="194"/>
        <v>534.58007302903991</v>
      </c>
      <c r="AT46" s="111">
        <f t="shared" si="194"/>
        <v>534.58008132938642</v>
      </c>
      <c r="AU46" s="130">
        <f t="shared" ref="AU46:AU48" si="195">SUM(AI46:AT46)</f>
        <v>6840.9789221874671</v>
      </c>
    </row>
    <row r="47" spans="2:67" x14ac:dyDescent="0.2">
      <c r="B47" t="str">
        <f>"Storage fees"&amp;"-" &amp; B8</f>
        <v xml:space="preserve">Storage fees-Pinneaple NFC </v>
      </c>
      <c r="D47" s="111">
        <f>C16*D44</f>
        <v>170.66666666666669</v>
      </c>
      <c r="E47" s="111">
        <f t="shared" ref="E47:G47" si="196">D16*E44</f>
        <v>135.76533333333336</v>
      </c>
      <c r="F47" s="111">
        <f t="shared" si="196"/>
        <v>252.92800000000003</v>
      </c>
      <c r="G47" s="111">
        <f t="shared" si="196"/>
        <v>180.82133333333337</v>
      </c>
      <c r="H47" s="111">
        <f t="shared" si="189"/>
        <v>740.18133333333344</v>
      </c>
      <c r="I47" s="111">
        <f>G16*I44</f>
        <v>260.77866666666671</v>
      </c>
      <c r="J47" s="111">
        <f>I16*J44</f>
        <v>322.04800000000006</v>
      </c>
      <c r="K47" s="111">
        <f t="shared" ref="K47:T47" si="197">J16*K44</f>
        <v>194.04800000000003</v>
      </c>
      <c r="L47" s="111">
        <f t="shared" si="197"/>
        <v>236.71466666666669</v>
      </c>
      <c r="M47" s="111">
        <f t="shared" si="197"/>
        <v>108.71466666666669</v>
      </c>
      <c r="N47" s="111">
        <f t="shared" si="197"/>
        <v>151.38133333333334</v>
      </c>
      <c r="O47" s="111">
        <f t="shared" si="197"/>
        <v>194.04800000000003</v>
      </c>
      <c r="P47" s="111">
        <f t="shared" si="197"/>
        <v>236.71466666666669</v>
      </c>
      <c r="Q47" s="111">
        <f t="shared" si="197"/>
        <v>279.38133333333337</v>
      </c>
      <c r="R47" s="111">
        <f t="shared" si="197"/>
        <v>322.04800000000006</v>
      </c>
      <c r="S47" s="111">
        <f t="shared" si="197"/>
        <v>194.04800000000003</v>
      </c>
      <c r="T47" s="111">
        <f t="shared" si="197"/>
        <v>236.71466666666669</v>
      </c>
      <c r="U47" s="130">
        <f t="shared" si="191"/>
        <v>2736.6400000000008</v>
      </c>
      <c r="V47" s="111">
        <f>T16*V44</f>
        <v>318.23018079999997</v>
      </c>
      <c r="W47" s="111">
        <f>V16*W44</f>
        <v>366.82978079999998</v>
      </c>
      <c r="X47" s="111">
        <f t="shared" ref="X47:AG47" si="198">W16*X44</f>
        <v>221.03098080000001</v>
      </c>
      <c r="Y47" s="111">
        <f t="shared" si="198"/>
        <v>261.95184399999999</v>
      </c>
      <c r="Z47" s="111">
        <f t="shared" si="198"/>
        <v>295.19397040000001</v>
      </c>
      <c r="AA47" s="111">
        <f t="shared" si="198"/>
        <v>320.75736000000001</v>
      </c>
      <c r="AB47" s="111">
        <f t="shared" si="198"/>
        <v>338.64201279999997</v>
      </c>
      <c r="AC47" s="111">
        <f t="shared" si="198"/>
        <v>348.84792879999998</v>
      </c>
      <c r="AD47" s="111">
        <f t="shared" si="198"/>
        <v>351.37510800000001</v>
      </c>
      <c r="AE47" s="111">
        <f t="shared" si="198"/>
        <v>346.22355040000002</v>
      </c>
      <c r="AF47" s="111">
        <f t="shared" si="198"/>
        <v>333.39325600000001</v>
      </c>
      <c r="AG47" s="111">
        <f t="shared" si="198"/>
        <v>312.981424</v>
      </c>
      <c r="AH47" s="130">
        <f t="shared" si="193"/>
        <v>3815.4573968</v>
      </c>
      <c r="AI47" s="111">
        <f>AG16*AI44</f>
        <v>290.588672304</v>
      </c>
      <c r="AJ47" s="111">
        <f>AI16*AJ44</f>
        <v>254.10398059200003</v>
      </c>
      <c r="AK47" s="111">
        <f t="shared" ref="AK47:AT47" si="199">AJ16*AK44</f>
        <v>209.78697734400001</v>
      </c>
      <c r="AL47" s="111">
        <f t="shared" si="199"/>
        <v>355.92403056000001</v>
      </c>
      <c r="AM47" s="111">
        <f t="shared" si="199"/>
        <v>296.04154742400004</v>
      </c>
      <c r="AN47" s="111">
        <f t="shared" si="199"/>
        <v>228.32675275200003</v>
      </c>
      <c r="AO47" s="111">
        <f t="shared" si="199"/>
        <v>351.06601454400004</v>
      </c>
      <c r="AP47" s="111">
        <f t="shared" si="199"/>
        <v>465.97296480000006</v>
      </c>
      <c r="AQ47" s="111">
        <f t="shared" si="199"/>
        <v>366.82978495017335</v>
      </c>
      <c r="AR47" s="111">
        <f t="shared" si="199"/>
        <v>465.97297310034662</v>
      </c>
      <c r="AS47" s="111">
        <f t="shared" si="199"/>
        <v>366.82979325051997</v>
      </c>
      <c r="AT47" s="111">
        <f t="shared" si="199"/>
        <v>465.97298140069319</v>
      </c>
      <c r="AU47" s="130">
        <f t="shared" si="195"/>
        <v>4117.4164730217335</v>
      </c>
    </row>
    <row r="48" spans="2:67" x14ac:dyDescent="0.2">
      <c r="B48" s="114" t="str">
        <f>"Storage fees"&amp;"-" &amp; B9</f>
        <v xml:space="preserve">Storage fees-Cranberry NFC </v>
      </c>
      <c r="C48" s="114"/>
      <c r="D48" s="115">
        <f>C17*D44</f>
        <v>256.00000000000006</v>
      </c>
      <c r="E48" s="115">
        <f t="shared" ref="E48:G48" si="200">D17*E44</f>
        <v>221.0986666666667</v>
      </c>
      <c r="F48" s="115">
        <f t="shared" si="200"/>
        <v>167.59466666666668</v>
      </c>
      <c r="G48" s="115">
        <f t="shared" si="200"/>
        <v>95.488000000000014</v>
      </c>
      <c r="H48" s="115">
        <f t="shared" si="189"/>
        <v>740.18133333333344</v>
      </c>
      <c r="I48" s="115">
        <f>G17*I44</f>
        <v>260.77866666666671</v>
      </c>
      <c r="J48" s="115">
        <f>I17*J44</f>
        <v>151.38133333333334</v>
      </c>
      <c r="K48" s="115">
        <f t="shared" ref="K48:T48" si="201">J17*K44</f>
        <v>279.38133333333337</v>
      </c>
      <c r="L48" s="115">
        <f t="shared" si="201"/>
        <v>151.38133333333334</v>
      </c>
      <c r="M48" s="115">
        <f t="shared" si="201"/>
        <v>279.38133333333337</v>
      </c>
      <c r="N48" s="115">
        <f t="shared" si="201"/>
        <v>151.38133333333334</v>
      </c>
      <c r="O48" s="115">
        <f t="shared" si="201"/>
        <v>23.381333333333338</v>
      </c>
      <c r="P48" s="115">
        <f t="shared" si="201"/>
        <v>151.38133333333334</v>
      </c>
      <c r="Q48" s="115">
        <f t="shared" si="201"/>
        <v>23.381333333333338</v>
      </c>
      <c r="R48" s="115">
        <f t="shared" si="201"/>
        <v>151.38133333333334</v>
      </c>
      <c r="S48" s="115">
        <f t="shared" si="201"/>
        <v>279.38133333333337</v>
      </c>
      <c r="T48" s="115">
        <f t="shared" si="201"/>
        <v>151.38133333333334</v>
      </c>
      <c r="U48" s="254">
        <f t="shared" si="191"/>
        <v>2053.9733333333329</v>
      </c>
      <c r="V48" s="115">
        <f>T17*V44</f>
        <v>318.23018079999997</v>
      </c>
      <c r="W48" s="115">
        <f>V17*W44</f>
        <v>172.4313808</v>
      </c>
      <c r="X48" s="115">
        <f t="shared" ref="X48:AG48" si="202">W17*X44</f>
        <v>318.23018079999997</v>
      </c>
      <c r="Y48" s="115">
        <f t="shared" si="202"/>
        <v>164.752644</v>
      </c>
      <c r="Z48" s="115">
        <f t="shared" si="202"/>
        <v>295.19397040000001</v>
      </c>
      <c r="AA48" s="115">
        <f t="shared" si="202"/>
        <v>126.4561592</v>
      </c>
      <c r="AB48" s="115">
        <f t="shared" si="202"/>
        <v>241.6372112</v>
      </c>
      <c r="AC48" s="115">
        <f t="shared" si="202"/>
        <v>349.13952640000002</v>
      </c>
      <c r="AD48" s="115">
        <f t="shared" si="202"/>
        <v>157.3655048</v>
      </c>
      <c r="AE48" s="115">
        <f t="shared" si="202"/>
        <v>249.5103464</v>
      </c>
      <c r="AF48" s="115">
        <f t="shared" si="202"/>
        <v>333.97645119999999</v>
      </c>
      <c r="AG48" s="115">
        <f t="shared" si="202"/>
        <v>119.06901999999999</v>
      </c>
      <c r="AH48" s="254">
        <f t="shared" si="193"/>
        <v>2845.9925759999996</v>
      </c>
      <c r="AI48" s="115">
        <f>AG17*AI44</f>
        <v>489.27161304000003</v>
      </c>
      <c r="AJ48" s="115">
        <f>AI17*AJ44</f>
        <v>551.93010532800008</v>
      </c>
      <c r="AK48" s="115">
        <f t="shared" ref="AK48:AT48" si="203">AJ17*AK44</f>
        <v>309.32673408000005</v>
      </c>
      <c r="AL48" s="115">
        <f t="shared" si="203"/>
        <v>356.32060329600006</v>
      </c>
      <c r="AM48" s="115">
        <f t="shared" si="203"/>
        <v>395.48216097600005</v>
      </c>
      <c r="AN48" s="115">
        <f t="shared" si="203"/>
        <v>426.81140712000001</v>
      </c>
      <c r="AO48" s="115">
        <f t="shared" si="203"/>
        <v>450.30834172800002</v>
      </c>
      <c r="AP48" s="115">
        <f t="shared" si="203"/>
        <v>465.97296480000006</v>
      </c>
      <c r="AQ48" s="115">
        <f t="shared" si="203"/>
        <v>465.97296895017331</v>
      </c>
      <c r="AR48" s="115">
        <f t="shared" si="203"/>
        <v>465.97297310034662</v>
      </c>
      <c r="AS48" s="115">
        <f t="shared" si="203"/>
        <v>465.97297725051993</v>
      </c>
      <c r="AT48" s="115">
        <f t="shared" si="203"/>
        <v>465.97298140069319</v>
      </c>
      <c r="AU48" s="254">
        <f t="shared" si="195"/>
        <v>5309.3158310697327</v>
      </c>
    </row>
    <row r="49" spans="2:47" x14ac:dyDescent="0.2">
      <c r="B49" s="6" t="s">
        <v>145</v>
      </c>
      <c r="C49" s="6"/>
      <c r="D49" s="130">
        <f>SUM(D45:D48)</f>
        <v>768</v>
      </c>
      <c r="E49" s="130">
        <f t="shared" ref="E49:G49" si="204">SUM(E45:E48)</f>
        <v>576</v>
      </c>
      <c r="F49" s="130">
        <f t="shared" si="204"/>
        <v>793.60000000000014</v>
      </c>
      <c r="G49" s="130">
        <f t="shared" si="204"/>
        <v>567.46666666666681</v>
      </c>
      <c r="H49" s="130">
        <f t="shared" si="189"/>
        <v>2705.0666666666671</v>
      </c>
      <c r="I49" s="130">
        <f>SUM(I45:I48)</f>
        <v>836.26666666666677</v>
      </c>
      <c r="J49" s="130">
        <f t="shared" ref="J49:T49" si="205">SUM(J45:J48)</f>
        <v>917.3333333333336</v>
      </c>
      <c r="K49" s="130">
        <f t="shared" si="205"/>
        <v>1151.9999901767594</v>
      </c>
      <c r="L49" s="130">
        <f t="shared" si="205"/>
        <v>959.99998035351894</v>
      </c>
      <c r="M49" s="130">
        <f t="shared" si="205"/>
        <v>1194.666637196945</v>
      </c>
      <c r="N49" s="130">
        <f t="shared" si="205"/>
        <v>1002.6666273737043</v>
      </c>
      <c r="O49" s="130">
        <f t="shared" si="205"/>
        <v>981.3332842171302</v>
      </c>
      <c r="P49" s="130">
        <f t="shared" si="205"/>
        <v>1045.3332743938895</v>
      </c>
      <c r="Q49" s="130">
        <f t="shared" si="205"/>
        <v>1023.9999312373156</v>
      </c>
      <c r="R49" s="130">
        <f t="shared" si="205"/>
        <v>1087.9999214140748</v>
      </c>
      <c r="S49" s="130">
        <f t="shared" si="205"/>
        <v>1151.9999115908342</v>
      </c>
      <c r="T49" s="130">
        <f t="shared" si="205"/>
        <v>959.99990176759354</v>
      </c>
      <c r="U49" s="130">
        <f t="shared" si="191"/>
        <v>12313.599459721767</v>
      </c>
      <c r="V49" s="130">
        <f t="shared" ref="V49" si="206">SUM(V45:V48)</f>
        <v>1360.7886769188774</v>
      </c>
      <c r="W49" s="130">
        <f t="shared" ref="W49" si="207">SUM(W45:W48)</f>
        <v>1530.8872657296845</v>
      </c>
      <c r="X49" s="130">
        <f t="shared" ref="X49" si="208">SUM(X45:X48)</f>
        <v>1409.3882545404915</v>
      </c>
      <c r="Y49" s="130">
        <f t="shared" ref="Y49" si="209">SUM(Y45:Y48)</f>
        <v>1342.9040017404914</v>
      </c>
      <c r="Z49" s="130">
        <f t="shared" ref="Z49" si="210">SUM(Z45:Z48)</f>
        <v>1331.4344961404918</v>
      </c>
      <c r="AA49" s="130">
        <f t="shared" ref="AA49" si="211">SUM(AA45:AA48)</f>
        <v>1180.5813377404916</v>
      </c>
      <c r="AB49" s="130">
        <f t="shared" ref="AB49" si="212">SUM(AB45:AB48)</f>
        <v>1279.1413265404915</v>
      </c>
      <c r="AC49" s="130">
        <f t="shared" ref="AC49" si="213">SUM(AC45:AC48)</f>
        <v>1335.5168625404917</v>
      </c>
      <c r="AD49" s="130">
        <f t="shared" ref="AD49" si="214">SUM(AD45:AD48)</f>
        <v>1058.1103457404915</v>
      </c>
      <c r="AE49" s="130">
        <f t="shared" ref="AE49" si="215">SUM(AE45:AE48)</f>
        <v>1224.5153761404915</v>
      </c>
      <c r="AF49" s="130">
        <f t="shared" ref="AF49" si="216">SUM(AF45:AF48)</f>
        <v>1543.1343537404914</v>
      </c>
      <c r="AG49" s="130">
        <f t="shared" ref="AG49" si="217">SUM(AG45:AG48)</f>
        <v>1333.5728785404915</v>
      </c>
      <c r="AH49" s="130">
        <f t="shared" si="193"/>
        <v>15929.975176053478</v>
      </c>
      <c r="AI49" s="130">
        <f t="shared" ref="AI49" si="218">SUM(AI45:AI48)</f>
        <v>1698.3225935513015</v>
      </c>
      <c r="AJ49" s="130">
        <f t="shared" ref="AJ49" si="219">SUM(AJ45:AJ48)</f>
        <v>1695.9431571353016</v>
      </c>
      <c r="AK49" s="130">
        <f t="shared" ref="AK49" si="220">SUM(AK45:AK48)</f>
        <v>1551.3923948633014</v>
      </c>
      <c r="AL49" s="130">
        <f t="shared" ref="AL49" si="221">SUM(AL45:AL48)</f>
        <v>1859.5294107353016</v>
      </c>
      <c r="AM49" s="130">
        <f t="shared" ref="AM49" si="222">SUM(AM45:AM48)</f>
        <v>1728.0655487513018</v>
      </c>
      <c r="AN49" s="130">
        <f t="shared" ref="AN49" si="223">SUM(AN45:AN48)</f>
        <v>1751.8599129113013</v>
      </c>
      <c r="AO49" s="130">
        <f t="shared" ref="AO49" si="224">SUM(AO45:AO48)</f>
        <v>1732.6261352153015</v>
      </c>
      <c r="AP49" s="130">
        <f t="shared" ref="AP49" si="225">SUM(AP45:AP48)</f>
        <v>1868.6505836633014</v>
      </c>
      <c r="AQ49" s="130">
        <f t="shared" ref="AQ49" si="226">SUM(AQ45:AQ48)</f>
        <v>1719.9358076633011</v>
      </c>
      <c r="AR49" s="130">
        <f t="shared" ref="AR49" si="227">SUM(AR45:AR48)</f>
        <v>1967.7937676633014</v>
      </c>
      <c r="AS49" s="130">
        <f t="shared" ref="AS49" si="228">SUM(AS45:AS48)</f>
        <v>1819.0789916633012</v>
      </c>
      <c r="AT49" s="130">
        <f t="shared" ref="AT49:AU49" si="229">SUM(AT45:AT48)</f>
        <v>1868.6505836633009</v>
      </c>
      <c r="AU49" s="130">
        <f t="shared" si="229"/>
        <v>21261.848887479617</v>
      </c>
    </row>
    <row r="51" spans="2:47" x14ac:dyDescent="0.2">
      <c r="B51" s="10" t="s">
        <v>350</v>
      </c>
      <c r="C51" s="10">
        <v>2025</v>
      </c>
      <c r="D51" s="10">
        <v>2026</v>
      </c>
      <c r="E51" s="10">
        <v>2027</v>
      </c>
      <c r="F51" s="10">
        <v>2028</v>
      </c>
    </row>
    <row r="53" spans="2:47" x14ac:dyDescent="0.2">
      <c r="B53" t="s">
        <v>329</v>
      </c>
      <c r="C53" s="193">
        <f>Assumptions!N32*(1+Scenarios!AA61)</f>
        <v>7.9057218240000005</v>
      </c>
      <c r="D53" s="76">
        <f>Assumptions!Z32*(1+Scenarios!N61)</f>
        <v>8.0717419823039993</v>
      </c>
      <c r="E53" s="76">
        <f>Assumptions!AN32*(1+Scenarios!AN61)</f>
        <v>8.2331768219500798</v>
      </c>
      <c r="F53" s="76">
        <f>Assumptions!BA32*(1+Scenarios!BN61)</f>
        <v>8.3978403583890824</v>
      </c>
    </row>
    <row r="54" spans="2:47" x14ac:dyDescent="0.2">
      <c r="B54" t="s">
        <v>330</v>
      </c>
      <c r="C54" s="76">
        <f>Assumptions!N41*(1+Scenarios!AA61)</f>
        <v>13.891482633599999</v>
      </c>
      <c r="D54" s="76">
        <f>Assumptions!AA41*(1+Scenarios!AA61)</f>
        <v>14.183203768905598</v>
      </c>
      <c r="E54" s="76">
        <f>Assumptions!AN41*(1+Scenarios!AA61)</f>
        <v>14.46686784428371</v>
      </c>
      <c r="F54" s="76">
        <f>Assumptions!BA41*(1+Scenarios!AA61)</f>
        <v>14.756205201169386</v>
      </c>
    </row>
    <row r="55" spans="2:47" x14ac:dyDescent="0.2">
      <c r="B55" t="s">
        <v>331</v>
      </c>
      <c r="C55" s="76">
        <f>Assumptions!N50*(1+Scenarios!AA61)</f>
        <v>12.221460134928</v>
      </c>
      <c r="D55" s="76">
        <f>Assumptions!AA50*(1+Scenarios!AA61)</f>
        <v>12.478110797761484</v>
      </c>
      <c r="E55" s="76">
        <f>Assumptions!AN50*(1+Scenarios!AA61)</f>
        <v>12.727673013716716</v>
      </c>
      <c r="F55" s="76">
        <f>Assumptions!BA50*(1+Scenarios!AA61)</f>
        <v>12.982226473991052</v>
      </c>
    </row>
    <row r="56" spans="2:47" x14ac:dyDescent="0.2">
      <c r="B56" t="s">
        <v>332</v>
      </c>
      <c r="C56" s="76">
        <f>Assumptions!N55*(1+Scenarios!AA61)</f>
        <v>4.9005000000000001</v>
      </c>
      <c r="D56" s="76">
        <f>Assumptions!AA55*(1+Scenarios!AA61)</f>
        <v>5.0034105000000002</v>
      </c>
      <c r="E56" s="76">
        <f>Assumptions!AN55*(1+Scenarios!AA61)</f>
        <v>5.1034787100000001</v>
      </c>
      <c r="F56" s="77">
        <f>Assumptions!BA55*(1+Scenarios!AA61)</f>
        <v>5.2055482841999998</v>
      </c>
    </row>
    <row r="57" spans="2:47" x14ac:dyDescent="0.2">
      <c r="B57" t="s">
        <v>327</v>
      </c>
      <c r="C57" s="42">
        <f>Assumptions!M66</f>
        <v>4.37</v>
      </c>
      <c r="D57" s="101">
        <f>Assumptions!AA66</f>
        <v>4.4617699999999996</v>
      </c>
      <c r="E57" s="101">
        <f>Assumptions!AN66</f>
        <v>4.5510053999999993</v>
      </c>
      <c r="F57" s="101">
        <f>Assumptions!BA66</f>
        <v>4.6420255079999997</v>
      </c>
    </row>
    <row r="58" spans="2:47" x14ac:dyDescent="0.2">
      <c r="B58" t="s">
        <v>328</v>
      </c>
      <c r="C58" s="101">
        <f>Assumptions!N76</f>
        <v>5.128205128205128E-2</v>
      </c>
      <c r="D58" s="101">
        <f>Assumptions!AA76</f>
        <v>5.235897435897436E-2</v>
      </c>
      <c r="E58" s="101">
        <f>Assumptions!AN76</f>
        <v>5.3406153846153839E-2</v>
      </c>
      <c r="F58" s="101">
        <f>Assumptions!BA76</f>
        <v>5.4474276923076929E-2</v>
      </c>
    </row>
    <row r="59" spans="2:47" x14ac:dyDescent="0.2">
      <c r="B59" t="s">
        <v>333</v>
      </c>
      <c r="C59" s="101">
        <f>Assumptions!J84/75</f>
        <v>2.3333333333333334E-2</v>
      </c>
      <c r="D59" s="101">
        <f>(Assumptions!AA84)/75</f>
        <v>2.3823333333333332E-2</v>
      </c>
      <c r="E59" s="101">
        <f>(Assumptions!AN84)/75</f>
        <v>2.42998E-2</v>
      </c>
      <c r="F59" s="101">
        <f>(Assumptions!BA84)/75</f>
        <v>2.4785796000000002E-2</v>
      </c>
    </row>
    <row r="61" spans="2:47" x14ac:dyDescent="0.2">
      <c r="B61" t="s">
        <v>334</v>
      </c>
      <c r="C61" s="75">
        <f>G14</f>
        <v>1580</v>
      </c>
      <c r="D61" s="75">
        <f>T14</f>
        <v>2907.9987337228845</v>
      </c>
      <c r="E61" s="75">
        <f>AG14</f>
        <v>3402.9985034906822</v>
      </c>
      <c r="F61" s="75">
        <f>AT14</f>
        <v>5555.997666282683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</row>
    <row r="62" spans="2:47" x14ac:dyDescent="0.2">
      <c r="B62" t="s">
        <v>335</v>
      </c>
      <c r="C62" s="75">
        <f>G15</f>
        <v>2108</v>
      </c>
      <c r="D62" s="75">
        <f>T15</f>
        <v>4544</v>
      </c>
      <c r="E62" s="75">
        <f t="shared" ref="E62:E64" si="230">AG15</f>
        <v>5861</v>
      </c>
      <c r="F62" s="75">
        <f t="shared" ref="F62:F64" si="231">AT15</f>
        <v>5392.000418603996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</row>
    <row r="63" spans="2:47" x14ac:dyDescent="0.2">
      <c r="B63" t="s">
        <v>336</v>
      </c>
      <c r="C63" s="75">
        <f>G16</f>
        <v>3056</v>
      </c>
      <c r="D63" s="75">
        <f>T16</f>
        <v>3274</v>
      </c>
      <c r="E63" s="75">
        <f>AG16</f>
        <v>2931</v>
      </c>
      <c r="F63" s="75">
        <f t="shared" si="231"/>
        <v>5700.0002093019975</v>
      </c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</row>
    <row r="64" spans="2:47" x14ac:dyDescent="0.2">
      <c r="B64" s="114" t="s">
        <v>337</v>
      </c>
      <c r="C64" s="144">
        <f>G17</f>
        <v>3056</v>
      </c>
      <c r="D64" s="144">
        <f t="shared" ref="D64" si="232">T17</f>
        <v>3274</v>
      </c>
      <c r="E64" s="144">
        <f t="shared" si="230"/>
        <v>4935</v>
      </c>
      <c r="F64" s="144">
        <f t="shared" si="231"/>
        <v>4700.0002093019975</v>
      </c>
      <c r="H64" s="75"/>
      <c r="I64" s="109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</row>
    <row r="65" spans="2:67" x14ac:dyDescent="0.2">
      <c r="B65" s="6" t="s">
        <v>145</v>
      </c>
      <c r="C65" s="109">
        <f>SUM(C61:C64)</f>
        <v>9800</v>
      </c>
      <c r="D65" s="109">
        <f t="shared" ref="D65:F65" si="233">SUM(D61:D64)</f>
        <v>13999.998733722885</v>
      </c>
      <c r="E65" s="109">
        <f>SUM(E61:E64)</f>
        <v>17129.998503490682</v>
      </c>
      <c r="F65" s="109">
        <f t="shared" si="233"/>
        <v>21347.998503490675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</row>
    <row r="67" spans="2:67" x14ac:dyDescent="0.2">
      <c r="B67" t="s">
        <v>338</v>
      </c>
      <c r="C67" s="75">
        <f>H118</f>
        <v>12491.040481920001</v>
      </c>
      <c r="D67" s="75">
        <f>U118</f>
        <v>23472.615463477876</v>
      </c>
      <c r="E67" s="75">
        <f>AH118</f>
        <v>28017.488404070293</v>
      </c>
      <c r="F67" s="75">
        <f>AU118</f>
        <v>46658.381433024268</v>
      </c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</row>
    <row r="68" spans="2:67" x14ac:dyDescent="0.2">
      <c r="B68" t="s">
        <v>339</v>
      </c>
      <c r="C68" s="75">
        <f t="shared" ref="C68:C70" si="234">H119</f>
        <v>29283.2453916288</v>
      </c>
      <c r="D68" s="75">
        <f t="shared" ref="D68:D70" si="235">U119</f>
        <v>64448.477925907035</v>
      </c>
      <c r="E68" s="75">
        <f t="shared" ref="E68:E70" si="236">AH119</f>
        <v>84790.31243534683</v>
      </c>
      <c r="F68" s="75">
        <f t="shared" ref="F68:F70" si="237">AU119</f>
        <v>79565.464621711799</v>
      </c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</row>
    <row r="69" spans="2:67" x14ac:dyDescent="0.2">
      <c r="B69" t="s">
        <v>340</v>
      </c>
      <c r="C69" s="75">
        <f t="shared" si="234"/>
        <v>37348.782172339968</v>
      </c>
      <c r="D69" s="75">
        <f t="shared" si="235"/>
        <v>40853.334751871102</v>
      </c>
      <c r="E69" s="75">
        <f t="shared" si="236"/>
        <v>37304.809603203699</v>
      </c>
      <c r="F69" s="75">
        <f t="shared" si="237"/>
        <v>73998.693618954931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</row>
    <row r="70" spans="2:67" x14ac:dyDescent="0.2">
      <c r="B70" s="114" t="s">
        <v>341</v>
      </c>
      <c r="C70" s="144">
        <f t="shared" si="234"/>
        <v>14975.928</v>
      </c>
      <c r="D70" s="144">
        <f t="shared" si="235"/>
        <v>16381.165976999999</v>
      </c>
      <c r="E70" s="144">
        <f t="shared" si="236"/>
        <v>25185.667433850002</v>
      </c>
      <c r="F70" s="144">
        <f t="shared" si="237"/>
        <v>24466.078025271654</v>
      </c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</row>
    <row r="71" spans="2:67" x14ac:dyDescent="0.2">
      <c r="B71" s="6" t="s">
        <v>391</v>
      </c>
      <c r="C71" s="109">
        <f>SUM(C67:C70)</f>
        <v>94098.996045888765</v>
      </c>
      <c r="D71" s="109">
        <f t="shared" ref="D71:F71" si="238">SUM(D67:D70)</f>
        <v>145155.59411825601</v>
      </c>
      <c r="E71" s="109">
        <f t="shared" si="238"/>
        <v>175298.27787647082</v>
      </c>
      <c r="F71" s="109">
        <f t="shared" si="238"/>
        <v>224688.61769896263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</row>
    <row r="72" spans="2:67" x14ac:dyDescent="0.2">
      <c r="B72" t="s">
        <v>342</v>
      </c>
      <c r="C72" s="75">
        <f>C65*C57</f>
        <v>42826</v>
      </c>
      <c r="D72" s="75">
        <f t="shared" ref="D72:F72" si="239">D65*D57</f>
        <v>62464.774350162748</v>
      </c>
      <c r="E72" s="75">
        <f t="shared" si="239"/>
        <v>77958.715691378005</v>
      </c>
      <c r="F72" s="75">
        <f t="shared" si="239"/>
        <v>99097.953597949527</v>
      </c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</row>
    <row r="73" spans="2:67" x14ac:dyDescent="0.2">
      <c r="B73" t="s">
        <v>344</v>
      </c>
      <c r="C73" s="75">
        <f>C65*C58</f>
        <v>502.56410256410254</v>
      </c>
      <c r="D73" s="75">
        <f>D65*D58</f>
        <v>733.02557472467004</v>
      </c>
      <c r="E73" s="75">
        <f t="shared" ref="E73:F73" si="240">E65*E58</f>
        <v>914.84733546180837</v>
      </c>
      <c r="F73" s="75">
        <f t="shared" si="240"/>
        <v>1162.9167822325828</v>
      </c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</row>
    <row r="74" spans="2:67" x14ac:dyDescent="0.2">
      <c r="B74" s="114" t="s">
        <v>345</v>
      </c>
      <c r="C74" s="144">
        <f>C65*C59</f>
        <v>228.66666666666669</v>
      </c>
      <c r="D74" s="144">
        <f t="shared" ref="D74:F74" si="241">D65*D59</f>
        <v>333.52663649972482</v>
      </c>
      <c r="E74" s="144">
        <f t="shared" si="241"/>
        <v>416.25553763512289</v>
      </c>
      <c r="F74" s="144">
        <f t="shared" si="241"/>
        <v>529.12713591582519</v>
      </c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</row>
    <row r="75" spans="2:67" x14ac:dyDescent="0.2">
      <c r="B75" s="6" t="s">
        <v>346</v>
      </c>
      <c r="C75" s="109">
        <f>SUM(C71:C74)</f>
        <v>137656.2268151195</v>
      </c>
      <c r="D75" s="109">
        <f t="shared" ref="D75:F75" si="242">SUM(D71:D74)</f>
        <v>208686.92067964314</v>
      </c>
      <c r="E75" s="109">
        <f t="shared" si="242"/>
        <v>254588.09644094575</v>
      </c>
      <c r="F75" s="109">
        <f t="shared" si="242"/>
        <v>325478.61521506053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</row>
    <row r="77" spans="2:67" hidden="1" x14ac:dyDescent="0.2">
      <c r="B77" s="10" t="s">
        <v>351</v>
      </c>
      <c r="C77" s="11">
        <f>C5</f>
        <v>45899</v>
      </c>
      <c r="D77" s="11">
        <f t="shared" ref="D77:AU77" si="243">D5</f>
        <v>45930</v>
      </c>
      <c r="E77" s="11">
        <f t="shared" si="243"/>
        <v>45961</v>
      </c>
      <c r="F77" s="11">
        <f t="shared" si="243"/>
        <v>45991</v>
      </c>
      <c r="G77" s="11">
        <f t="shared" si="243"/>
        <v>46022</v>
      </c>
      <c r="H77" s="10">
        <f t="shared" si="243"/>
        <v>2025</v>
      </c>
      <c r="I77" s="11">
        <f t="shared" si="243"/>
        <v>46053</v>
      </c>
      <c r="J77" s="11">
        <f t="shared" si="243"/>
        <v>46081</v>
      </c>
      <c r="K77" s="11">
        <f t="shared" si="243"/>
        <v>46112</v>
      </c>
      <c r="L77" s="11">
        <f t="shared" si="243"/>
        <v>46142</v>
      </c>
      <c r="M77" s="11">
        <f t="shared" si="243"/>
        <v>46173</v>
      </c>
      <c r="N77" s="11">
        <f t="shared" si="243"/>
        <v>46203</v>
      </c>
      <c r="O77" s="11">
        <f t="shared" si="243"/>
        <v>46234</v>
      </c>
      <c r="P77" s="11">
        <f t="shared" si="243"/>
        <v>46265</v>
      </c>
      <c r="Q77" s="11">
        <f t="shared" si="243"/>
        <v>46295</v>
      </c>
      <c r="R77" s="11">
        <f t="shared" si="243"/>
        <v>46326</v>
      </c>
      <c r="S77" s="11">
        <f t="shared" si="243"/>
        <v>46356</v>
      </c>
      <c r="T77" s="11">
        <f t="shared" si="243"/>
        <v>46387</v>
      </c>
      <c r="U77" s="10">
        <f t="shared" si="243"/>
        <v>2026</v>
      </c>
      <c r="V77" s="11">
        <f t="shared" si="243"/>
        <v>46418</v>
      </c>
      <c r="W77" s="11">
        <f t="shared" si="243"/>
        <v>46446</v>
      </c>
      <c r="X77" s="11">
        <f t="shared" si="243"/>
        <v>46477</v>
      </c>
      <c r="Y77" s="11">
        <f t="shared" si="243"/>
        <v>46507</v>
      </c>
      <c r="Z77" s="11">
        <f t="shared" si="243"/>
        <v>46538</v>
      </c>
      <c r="AA77" s="11">
        <f t="shared" si="243"/>
        <v>46568</v>
      </c>
      <c r="AB77" s="11">
        <f t="shared" si="243"/>
        <v>46599</v>
      </c>
      <c r="AC77" s="11">
        <f t="shared" si="243"/>
        <v>46630</v>
      </c>
      <c r="AD77" s="11">
        <f t="shared" si="243"/>
        <v>46660</v>
      </c>
      <c r="AE77" s="11">
        <f t="shared" si="243"/>
        <v>46691</v>
      </c>
      <c r="AF77" s="11">
        <f t="shared" si="243"/>
        <v>46721</v>
      </c>
      <c r="AG77" s="11">
        <f t="shared" si="243"/>
        <v>46752</v>
      </c>
      <c r="AH77" s="10">
        <f t="shared" si="243"/>
        <v>2027</v>
      </c>
      <c r="AI77" s="11">
        <f t="shared" si="243"/>
        <v>46783</v>
      </c>
      <c r="AJ77" s="11">
        <f t="shared" si="243"/>
        <v>46812</v>
      </c>
      <c r="AK77" s="11">
        <f t="shared" si="243"/>
        <v>46843</v>
      </c>
      <c r="AL77" s="11">
        <f t="shared" si="243"/>
        <v>46873</v>
      </c>
      <c r="AM77" s="11">
        <f t="shared" si="243"/>
        <v>46904</v>
      </c>
      <c r="AN77" s="11">
        <f t="shared" si="243"/>
        <v>46934</v>
      </c>
      <c r="AO77" s="11">
        <f t="shared" si="243"/>
        <v>46965</v>
      </c>
      <c r="AP77" s="11">
        <f t="shared" si="243"/>
        <v>46996</v>
      </c>
      <c r="AQ77" s="11">
        <f t="shared" si="243"/>
        <v>47026</v>
      </c>
      <c r="AR77" s="11">
        <f t="shared" si="243"/>
        <v>47057</v>
      </c>
      <c r="AS77" s="11">
        <f t="shared" si="243"/>
        <v>47087</v>
      </c>
      <c r="AT77" s="11">
        <f t="shared" si="243"/>
        <v>47118</v>
      </c>
      <c r="AU77" s="10">
        <f t="shared" si="243"/>
        <v>2028</v>
      </c>
      <c r="AV77" s="217"/>
      <c r="AW77" s="217"/>
      <c r="AX77" s="217"/>
      <c r="AY77" s="217"/>
      <c r="AZ77" s="217"/>
      <c r="BA77" s="217"/>
      <c r="BB77" s="216"/>
      <c r="BC77" s="217"/>
      <c r="BD77" s="217"/>
      <c r="BE77" s="217"/>
      <c r="BF77" s="217"/>
      <c r="BG77" s="217"/>
      <c r="BH77" s="217"/>
      <c r="BI77" s="217"/>
      <c r="BJ77" s="217"/>
      <c r="BK77" s="217"/>
      <c r="BL77" s="217"/>
      <c r="BM77" s="217"/>
      <c r="BN77" s="217"/>
      <c r="BO77" s="216"/>
    </row>
    <row r="78" spans="2:67" hidden="1" x14ac:dyDescent="0.2"/>
    <row r="79" spans="2:67" hidden="1" x14ac:dyDescent="0.2">
      <c r="B79" t="s">
        <v>329</v>
      </c>
      <c r="C79" s="77">
        <f>D79</f>
        <v>7.2596160000000003</v>
      </c>
      <c r="D79" s="77">
        <f>Assumptions!J32</f>
        <v>7.2596160000000003</v>
      </c>
      <c r="E79" s="77">
        <f>Assumptions!K32</f>
        <v>7.2596160000000003</v>
      </c>
      <c r="F79" s="77">
        <f>Assumptions!L32</f>
        <v>7.2596160000000003</v>
      </c>
      <c r="G79" s="77">
        <f>Assumptions!M32</f>
        <v>7.2596160000000003</v>
      </c>
      <c r="H79" s="77">
        <f>Assumptions!N32</f>
        <v>7.2596160000000003</v>
      </c>
      <c r="I79" s="77">
        <f>Assumptions!O32</f>
        <v>7.2596160000000003</v>
      </c>
      <c r="J79" s="77">
        <f>Assumptions!P32</f>
        <v>7.2596160000000003</v>
      </c>
      <c r="K79" s="77">
        <f>Assumptions!Q32</f>
        <v>7.4120679359999997</v>
      </c>
      <c r="L79" s="77">
        <f>Assumptions!R32</f>
        <v>7.4120679359999997</v>
      </c>
      <c r="M79" s="77">
        <f>Assumptions!S32</f>
        <v>7.4120679359999997</v>
      </c>
      <c r="N79" s="77">
        <f>Assumptions!T32</f>
        <v>7.4120679359999997</v>
      </c>
      <c r="O79" s="77">
        <f>Assumptions!U32</f>
        <v>7.4120679359999997</v>
      </c>
      <c r="P79" s="77">
        <f>Assumptions!V32</f>
        <v>7.4120679359999997</v>
      </c>
      <c r="Q79" s="77">
        <f>Assumptions!W32</f>
        <v>7.4120679359999997</v>
      </c>
      <c r="R79" s="77">
        <f>Assumptions!X32</f>
        <v>7.4120679359999997</v>
      </c>
      <c r="S79" s="77">
        <f>Assumptions!Y32</f>
        <v>7.4120679359999997</v>
      </c>
      <c r="T79" s="77">
        <f>Assumptions!Z32</f>
        <v>7.4120679359999997</v>
      </c>
      <c r="U79" s="77">
        <f>Assumptions!AA32</f>
        <v>7.4120679359999997</v>
      </c>
      <c r="V79" s="77">
        <f>Assumptions!AB32</f>
        <v>7.5603092947199997</v>
      </c>
      <c r="W79" s="77">
        <f>Assumptions!AC32</f>
        <v>7.5603092947199997</v>
      </c>
      <c r="X79" s="77">
        <f>Assumptions!AD32</f>
        <v>7.5603092947199997</v>
      </c>
      <c r="Y79" s="77">
        <f>Assumptions!AE32</f>
        <v>7.5603092947199997</v>
      </c>
      <c r="Z79" s="77">
        <f>Assumptions!AF32</f>
        <v>7.5603092947199997</v>
      </c>
      <c r="AA79" s="77">
        <f>Assumptions!AG32</f>
        <v>7.5603092947199997</v>
      </c>
      <c r="AB79" s="77">
        <f>Assumptions!AH32</f>
        <v>7.5603092947199997</v>
      </c>
      <c r="AC79" s="77">
        <f>Assumptions!AI32</f>
        <v>7.5603092947199997</v>
      </c>
      <c r="AD79" s="77">
        <f>Assumptions!AJ32</f>
        <v>7.5603092947199997</v>
      </c>
      <c r="AE79" s="77">
        <f>Assumptions!AK32</f>
        <v>7.5603092947199997</v>
      </c>
      <c r="AF79" s="77">
        <f>Assumptions!AL32</f>
        <v>7.5603092947199997</v>
      </c>
      <c r="AG79" s="77">
        <f>Assumptions!AM32</f>
        <v>7.5603092947199997</v>
      </c>
      <c r="AH79" s="77">
        <f>Assumptions!AN32</f>
        <v>7.5603092947199997</v>
      </c>
      <c r="AI79" s="77">
        <f>Assumptions!AO32</f>
        <v>7.7115154806144002</v>
      </c>
      <c r="AJ79" s="77">
        <f>Assumptions!AP32</f>
        <v>7.7115154806144002</v>
      </c>
      <c r="AK79" s="77">
        <f>Assumptions!AQ32</f>
        <v>7.7115154806144002</v>
      </c>
      <c r="AL79" s="77">
        <f>Assumptions!AR32</f>
        <v>7.7115154806144002</v>
      </c>
      <c r="AM79" s="77">
        <f>Assumptions!AS32</f>
        <v>7.7115154806144002</v>
      </c>
      <c r="AN79" s="77">
        <f>Assumptions!AT32</f>
        <v>7.7115154806144002</v>
      </c>
      <c r="AO79" s="77">
        <f>Assumptions!AU32</f>
        <v>7.7115154806144002</v>
      </c>
      <c r="AP79" s="77">
        <f>Assumptions!AV32</f>
        <v>7.7115154806144002</v>
      </c>
      <c r="AQ79" s="77">
        <f>Assumptions!AW32</f>
        <v>7.7115154806144002</v>
      </c>
      <c r="AR79" s="77">
        <f>Assumptions!AX32</f>
        <v>7.7115154806144002</v>
      </c>
      <c r="AS79" s="77">
        <f>Assumptions!AY32</f>
        <v>7.7115154806144002</v>
      </c>
      <c r="AT79" s="77">
        <f>Assumptions!AZ32</f>
        <v>7.7115154806144002</v>
      </c>
      <c r="AU79" s="77">
        <f>Assumptions!BA32</f>
        <v>7.7115154806144002</v>
      </c>
    </row>
    <row r="80" spans="2:67" hidden="1" x14ac:dyDescent="0.2">
      <c r="B80" t="s">
        <v>330</v>
      </c>
      <c r="C80" s="77">
        <f t="shared" ref="C80:C85" si="244">D80</f>
        <v>12.7561824</v>
      </c>
      <c r="D80" s="77">
        <f>Assumptions!J41</f>
        <v>12.7561824</v>
      </c>
      <c r="E80" s="77">
        <f>Assumptions!K41</f>
        <v>12.7561824</v>
      </c>
      <c r="F80" s="77">
        <f>Assumptions!L41</f>
        <v>12.7561824</v>
      </c>
      <c r="G80" s="77">
        <f>Assumptions!M41</f>
        <v>12.7561824</v>
      </c>
      <c r="H80" s="77">
        <f>Assumptions!N41</f>
        <v>12.7561824</v>
      </c>
      <c r="I80" s="77">
        <f>Assumptions!O41</f>
        <v>12.7561824</v>
      </c>
      <c r="J80" s="77">
        <f>Assumptions!P41</f>
        <v>12.7561824</v>
      </c>
      <c r="K80" s="77">
        <f>Assumptions!Q41</f>
        <v>13.024062230399998</v>
      </c>
      <c r="L80" s="77">
        <f>Assumptions!R41</f>
        <v>13.024062230399998</v>
      </c>
      <c r="M80" s="77">
        <f>Assumptions!S41</f>
        <v>13.024062230399998</v>
      </c>
      <c r="N80" s="77">
        <f>Assumptions!T41</f>
        <v>13.024062230399998</v>
      </c>
      <c r="O80" s="77">
        <f>Assumptions!U41</f>
        <v>13.024062230399998</v>
      </c>
      <c r="P80" s="77">
        <f>Assumptions!V41</f>
        <v>13.024062230399998</v>
      </c>
      <c r="Q80" s="77">
        <f>Assumptions!W41</f>
        <v>13.024062230399998</v>
      </c>
      <c r="R80" s="77">
        <f>Assumptions!X41</f>
        <v>13.024062230399998</v>
      </c>
      <c r="S80" s="77">
        <f>Assumptions!Y41</f>
        <v>13.024062230399998</v>
      </c>
      <c r="T80" s="77">
        <f>Assumptions!Z41</f>
        <v>13.024062230399998</v>
      </c>
      <c r="U80" s="77">
        <f>Assumptions!AA41</f>
        <v>13.024062230399998</v>
      </c>
      <c r="V80" s="77">
        <f>Assumptions!AB41</f>
        <v>13.284543475007998</v>
      </c>
      <c r="W80" s="77">
        <f>Assumptions!AC41</f>
        <v>13.284543475007998</v>
      </c>
      <c r="X80" s="77">
        <f>Assumptions!AD41</f>
        <v>13.284543475007998</v>
      </c>
      <c r="Y80" s="77">
        <f>Assumptions!AE41</f>
        <v>13.284543475007998</v>
      </c>
      <c r="Z80" s="77">
        <f>Assumptions!AF41</f>
        <v>13.284543475007998</v>
      </c>
      <c r="AA80" s="77">
        <f>Assumptions!AG41</f>
        <v>13.284543475007998</v>
      </c>
      <c r="AB80" s="77">
        <f>Assumptions!AH41</f>
        <v>13.284543475007998</v>
      </c>
      <c r="AC80" s="77">
        <f>Assumptions!AI41</f>
        <v>13.284543475007998</v>
      </c>
      <c r="AD80" s="77">
        <f>Assumptions!AJ41</f>
        <v>13.284543475007998</v>
      </c>
      <c r="AE80" s="77">
        <f>Assumptions!AK41</f>
        <v>13.284543475007998</v>
      </c>
      <c r="AF80" s="77">
        <f>Assumptions!AL41</f>
        <v>13.284543475007998</v>
      </c>
      <c r="AG80" s="77">
        <f>Assumptions!AM41</f>
        <v>13.284543475007998</v>
      </c>
      <c r="AH80" s="77">
        <f>Assumptions!AN41</f>
        <v>13.284543475007998</v>
      </c>
      <c r="AI80" s="77">
        <f>Assumptions!AO41</f>
        <v>13.55023434450816</v>
      </c>
      <c r="AJ80" s="77">
        <f>Assumptions!AP41</f>
        <v>13.55023434450816</v>
      </c>
      <c r="AK80" s="77">
        <f>Assumptions!AQ41</f>
        <v>13.55023434450816</v>
      </c>
      <c r="AL80" s="77">
        <f>Assumptions!AR41</f>
        <v>13.55023434450816</v>
      </c>
      <c r="AM80" s="77">
        <f>Assumptions!AS41</f>
        <v>13.55023434450816</v>
      </c>
      <c r="AN80" s="77">
        <f>Assumptions!AT41</f>
        <v>13.55023434450816</v>
      </c>
      <c r="AO80" s="77">
        <f>Assumptions!AU41</f>
        <v>13.55023434450816</v>
      </c>
      <c r="AP80" s="77">
        <f>Assumptions!AV41</f>
        <v>13.55023434450816</v>
      </c>
      <c r="AQ80" s="77">
        <f>Assumptions!AW41</f>
        <v>13.55023434450816</v>
      </c>
      <c r="AR80" s="77">
        <f>Assumptions!AX41</f>
        <v>13.55023434450816</v>
      </c>
      <c r="AS80" s="77">
        <f>Assumptions!AY41</f>
        <v>13.55023434450816</v>
      </c>
      <c r="AT80" s="77">
        <f>Assumptions!AZ41</f>
        <v>13.55023434450816</v>
      </c>
      <c r="AU80" s="77">
        <f>Assumptions!BA41</f>
        <v>13.55023434450816</v>
      </c>
    </row>
    <row r="81" spans="2:47" hidden="1" x14ac:dyDescent="0.2">
      <c r="B81" t="s">
        <v>331</v>
      </c>
      <c r="C81" s="77">
        <f t="shared" si="244"/>
        <v>11.222644752000001</v>
      </c>
      <c r="D81" s="77">
        <f>Assumptions!J50</f>
        <v>11.222644752000001</v>
      </c>
      <c r="E81" s="77">
        <f>Assumptions!K50</f>
        <v>11.222644752000001</v>
      </c>
      <c r="F81" s="77">
        <f>Assumptions!L50</f>
        <v>11.222644752000001</v>
      </c>
      <c r="G81" s="77">
        <f>Assumptions!M50</f>
        <v>11.222644752000001</v>
      </c>
      <c r="H81" s="77">
        <f>Assumptions!N50</f>
        <v>11.222644752000001</v>
      </c>
      <c r="I81" s="77">
        <f>Assumptions!O50</f>
        <v>11.222644752000001</v>
      </c>
      <c r="J81" s="77">
        <f>Assumptions!P50</f>
        <v>11.222644752000001</v>
      </c>
      <c r="K81" s="77">
        <f>Assumptions!Q50</f>
        <v>11.458320291791997</v>
      </c>
      <c r="L81" s="77">
        <f>Assumptions!R50</f>
        <v>11.458320291791997</v>
      </c>
      <c r="M81" s="77">
        <f>Assumptions!S50</f>
        <v>11.458320291791997</v>
      </c>
      <c r="N81" s="77">
        <f>Assumptions!T50</f>
        <v>11.458320291791997</v>
      </c>
      <c r="O81" s="77">
        <f>Assumptions!U50</f>
        <v>11.458320291791997</v>
      </c>
      <c r="P81" s="77">
        <f>Assumptions!V50</f>
        <v>11.458320291791997</v>
      </c>
      <c r="Q81" s="77">
        <f>Assumptions!W50</f>
        <v>11.458320291791997</v>
      </c>
      <c r="R81" s="77">
        <f>Assumptions!X50</f>
        <v>11.458320291791997</v>
      </c>
      <c r="S81" s="77">
        <f>Assumptions!Y50</f>
        <v>11.458320291791997</v>
      </c>
      <c r="T81" s="77">
        <f>Assumptions!Z50</f>
        <v>11.458320291791997</v>
      </c>
      <c r="U81" s="77">
        <f>Assumptions!AA50</f>
        <v>11.458320291791997</v>
      </c>
      <c r="V81" s="77">
        <f>Assumptions!AB50</f>
        <v>11.687486697627838</v>
      </c>
      <c r="W81" s="77">
        <f>Assumptions!AC50</f>
        <v>11.687486697627838</v>
      </c>
      <c r="X81" s="77">
        <f>Assumptions!AD50</f>
        <v>11.687486697627838</v>
      </c>
      <c r="Y81" s="77">
        <f>Assumptions!AE50</f>
        <v>11.687486697627838</v>
      </c>
      <c r="Z81" s="77">
        <f>Assumptions!AF50</f>
        <v>11.687486697627838</v>
      </c>
      <c r="AA81" s="77">
        <f>Assumptions!AG50</f>
        <v>11.687486697627838</v>
      </c>
      <c r="AB81" s="77">
        <f>Assumptions!AH50</f>
        <v>11.687486697627838</v>
      </c>
      <c r="AC81" s="77">
        <f>Assumptions!AI50</f>
        <v>11.687486697627838</v>
      </c>
      <c r="AD81" s="77">
        <f>Assumptions!AJ50</f>
        <v>11.687486697627838</v>
      </c>
      <c r="AE81" s="77">
        <f>Assumptions!AK50</f>
        <v>11.687486697627838</v>
      </c>
      <c r="AF81" s="77">
        <f>Assumptions!AL50</f>
        <v>11.687486697627838</v>
      </c>
      <c r="AG81" s="77">
        <f>Assumptions!AM50</f>
        <v>11.687486697627838</v>
      </c>
      <c r="AH81" s="77">
        <f>Assumptions!AN50</f>
        <v>11.687486697627838</v>
      </c>
      <c r="AI81" s="77">
        <f>Assumptions!AO50</f>
        <v>11.921236431580397</v>
      </c>
      <c r="AJ81" s="77">
        <f>Assumptions!AP50</f>
        <v>11.921236431580397</v>
      </c>
      <c r="AK81" s="77">
        <f>Assumptions!AQ50</f>
        <v>11.921236431580397</v>
      </c>
      <c r="AL81" s="77">
        <f>Assumptions!AR50</f>
        <v>11.921236431580397</v>
      </c>
      <c r="AM81" s="77">
        <f>Assumptions!AS50</f>
        <v>11.921236431580397</v>
      </c>
      <c r="AN81" s="77">
        <f>Assumptions!AT50</f>
        <v>11.921236431580397</v>
      </c>
      <c r="AO81" s="77">
        <f>Assumptions!AU50</f>
        <v>11.921236431580397</v>
      </c>
      <c r="AP81" s="77">
        <f>Assumptions!AV50</f>
        <v>11.921236431580397</v>
      </c>
      <c r="AQ81" s="77">
        <f>Assumptions!AW50</f>
        <v>11.921236431580397</v>
      </c>
      <c r="AR81" s="77">
        <f>Assumptions!AX50</f>
        <v>11.921236431580397</v>
      </c>
      <c r="AS81" s="77">
        <f>Assumptions!AY50</f>
        <v>11.921236431580397</v>
      </c>
      <c r="AT81" s="77">
        <f>Assumptions!AZ50</f>
        <v>11.921236431580397</v>
      </c>
      <c r="AU81" s="77">
        <f>Assumptions!BA50</f>
        <v>11.921236431580397</v>
      </c>
    </row>
    <row r="82" spans="2:47" hidden="1" x14ac:dyDescent="0.2">
      <c r="B82" t="s">
        <v>332</v>
      </c>
      <c r="C82" s="77">
        <f t="shared" si="244"/>
        <v>4.5</v>
      </c>
      <c r="D82" s="77">
        <f>Assumptions!J55</f>
        <v>4.5</v>
      </c>
      <c r="E82" s="77">
        <f>Assumptions!K55</f>
        <v>4.5</v>
      </c>
      <c r="F82" s="77">
        <f>Assumptions!L55</f>
        <v>4.5</v>
      </c>
      <c r="G82" s="77">
        <f>Assumptions!M55</f>
        <v>4.5</v>
      </c>
      <c r="H82" s="77">
        <f>Assumptions!N55</f>
        <v>4.5</v>
      </c>
      <c r="I82" s="77">
        <f>Assumptions!O55</f>
        <v>4.5</v>
      </c>
      <c r="J82" s="77">
        <f>Assumptions!P55</f>
        <v>4.5</v>
      </c>
      <c r="K82" s="77">
        <f>Assumptions!Q55</f>
        <v>4.5</v>
      </c>
      <c r="L82" s="77">
        <f>Assumptions!R55</f>
        <v>4.5</v>
      </c>
      <c r="M82" s="77">
        <f>Assumptions!S55</f>
        <v>4.5945</v>
      </c>
      <c r="N82" s="77">
        <f>Assumptions!T55</f>
        <v>4.5945</v>
      </c>
      <c r="O82" s="77">
        <f>Assumptions!U55</f>
        <v>4.5945</v>
      </c>
      <c r="P82" s="77">
        <f>Assumptions!V55</f>
        <v>4.5945</v>
      </c>
      <c r="Q82" s="77">
        <f>Assumptions!W55</f>
        <v>4.5945</v>
      </c>
      <c r="R82" s="77">
        <f>Assumptions!X55</f>
        <v>4.5945</v>
      </c>
      <c r="S82" s="77">
        <f>Assumptions!Y55</f>
        <v>4.5945</v>
      </c>
      <c r="T82" s="77">
        <f>Assumptions!Z55</f>
        <v>4.5945</v>
      </c>
      <c r="U82" s="77">
        <f>Assumptions!AA55</f>
        <v>4.5945</v>
      </c>
      <c r="V82" s="77">
        <f>Assumptions!AB55</f>
        <v>4.6863900000000003</v>
      </c>
      <c r="W82" s="77">
        <f>Assumptions!AC55</f>
        <v>4.6863900000000003</v>
      </c>
      <c r="X82" s="77">
        <f>Assumptions!AD55</f>
        <v>4.6863900000000003</v>
      </c>
      <c r="Y82" s="77">
        <f>Assumptions!AE55</f>
        <v>4.6863900000000003</v>
      </c>
      <c r="Z82" s="77">
        <f>Assumptions!AF55</f>
        <v>4.6863900000000003</v>
      </c>
      <c r="AA82" s="77">
        <f>Assumptions!AG55</f>
        <v>4.6863900000000003</v>
      </c>
      <c r="AB82" s="77">
        <f>Assumptions!AH55</f>
        <v>4.6863900000000003</v>
      </c>
      <c r="AC82" s="77">
        <f>Assumptions!AI55</f>
        <v>4.6863900000000003</v>
      </c>
      <c r="AD82" s="77">
        <f>Assumptions!AJ55</f>
        <v>4.6863900000000003</v>
      </c>
      <c r="AE82" s="77">
        <f>Assumptions!AK55</f>
        <v>4.6863900000000003</v>
      </c>
      <c r="AF82" s="77">
        <f>Assumptions!AL55</f>
        <v>4.6863900000000003</v>
      </c>
      <c r="AG82" s="77">
        <f>Assumptions!AM55</f>
        <v>4.6863900000000003</v>
      </c>
      <c r="AH82" s="77">
        <f>Assumptions!AN55</f>
        <v>4.6863900000000003</v>
      </c>
      <c r="AI82" s="77">
        <f>Assumptions!AO55</f>
        <v>4.7801178000000002</v>
      </c>
      <c r="AJ82" s="77">
        <f>Assumptions!AP55</f>
        <v>4.7801178000000002</v>
      </c>
      <c r="AK82" s="77">
        <f>Assumptions!AQ55</f>
        <v>4.7801178000000002</v>
      </c>
      <c r="AL82" s="77">
        <f>Assumptions!AR55</f>
        <v>4.7801178000000002</v>
      </c>
      <c r="AM82" s="77">
        <f>Assumptions!AS55</f>
        <v>4.7801178000000002</v>
      </c>
      <c r="AN82" s="77">
        <f>Assumptions!AT55</f>
        <v>4.7801178000000002</v>
      </c>
      <c r="AO82" s="77">
        <f>Assumptions!AU55</f>
        <v>4.7801178000000002</v>
      </c>
      <c r="AP82" s="77">
        <f>Assumptions!AV55</f>
        <v>4.7801178000000002</v>
      </c>
      <c r="AQ82" s="77">
        <f>Assumptions!AW55</f>
        <v>4.7801178000000002</v>
      </c>
      <c r="AR82" s="77">
        <f>Assumptions!AX55</f>
        <v>4.7801178000000002</v>
      </c>
      <c r="AS82" s="77">
        <f>Assumptions!AY55</f>
        <v>4.7801178000000002</v>
      </c>
      <c r="AT82" s="77">
        <f>Assumptions!AZ55</f>
        <v>4.7801178000000002</v>
      </c>
      <c r="AU82" s="77">
        <f>Assumptions!BA55</f>
        <v>4.7801178000000002</v>
      </c>
    </row>
    <row r="83" spans="2:47" hidden="1" x14ac:dyDescent="0.2">
      <c r="B83" t="s">
        <v>327</v>
      </c>
      <c r="C83" s="77">
        <f t="shared" si="244"/>
        <v>4.37</v>
      </c>
      <c r="D83" s="77">
        <f>Assumptions!J66</f>
        <v>4.37</v>
      </c>
      <c r="E83" s="77">
        <f>Assumptions!K66</f>
        <v>4.37</v>
      </c>
      <c r="F83" s="77">
        <f>Assumptions!L66</f>
        <v>4.37</v>
      </c>
      <c r="G83" s="77">
        <f>Assumptions!M66</f>
        <v>4.37</v>
      </c>
      <c r="H83" s="77">
        <f>Assumptions!N66</f>
        <v>4.37</v>
      </c>
      <c r="I83" s="77">
        <f>Assumptions!O66</f>
        <v>4.37</v>
      </c>
      <c r="J83" s="77">
        <f>Assumptions!P66</f>
        <v>4.37</v>
      </c>
      <c r="K83" s="77">
        <f>Assumptions!Q66</f>
        <v>4.4617699999999996</v>
      </c>
      <c r="L83" s="77">
        <f>Assumptions!R66</f>
        <v>4.4617699999999996</v>
      </c>
      <c r="M83" s="77">
        <f>Assumptions!S66</f>
        <v>4.4617699999999996</v>
      </c>
      <c r="N83" s="77">
        <f>Assumptions!T66</f>
        <v>4.4617699999999996</v>
      </c>
      <c r="O83" s="77">
        <f>Assumptions!U66</f>
        <v>4.4617699999999996</v>
      </c>
      <c r="P83" s="77">
        <f>Assumptions!V66</f>
        <v>4.4617699999999996</v>
      </c>
      <c r="Q83" s="77">
        <f>Assumptions!W66</f>
        <v>4.4617699999999996</v>
      </c>
      <c r="R83" s="77">
        <f>Assumptions!X66</f>
        <v>4.4617699999999996</v>
      </c>
      <c r="S83" s="77">
        <f>Assumptions!Y66</f>
        <v>4.4617699999999996</v>
      </c>
      <c r="T83" s="77">
        <f>Assumptions!Z66</f>
        <v>4.4617699999999996</v>
      </c>
      <c r="U83" s="77">
        <f>Assumptions!AA66</f>
        <v>4.4617699999999996</v>
      </c>
      <c r="V83" s="77">
        <f>Assumptions!AB66</f>
        <v>4.5510053999999993</v>
      </c>
      <c r="W83" s="77">
        <f>Assumptions!AC66</f>
        <v>4.5510053999999993</v>
      </c>
      <c r="X83" s="77">
        <f>Assumptions!AD66</f>
        <v>4.5510053999999993</v>
      </c>
      <c r="Y83" s="77">
        <f>Assumptions!AE66</f>
        <v>4.5510053999999993</v>
      </c>
      <c r="Z83" s="77">
        <f>Assumptions!AF66</f>
        <v>4.5510053999999993</v>
      </c>
      <c r="AA83" s="77">
        <f>Assumptions!AG66</f>
        <v>4.5510053999999993</v>
      </c>
      <c r="AB83" s="77">
        <f>Assumptions!AH66</f>
        <v>4.5510053999999993</v>
      </c>
      <c r="AC83" s="77">
        <f>Assumptions!AI66</f>
        <v>4.5510053999999993</v>
      </c>
      <c r="AD83" s="77">
        <f>Assumptions!AJ66</f>
        <v>4.5510053999999993</v>
      </c>
      <c r="AE83" s="77">
        <f>Assumptions!AK66</f>
        <v>4.5510053999999993</v>
      </c>
      <c r="AF83" s="77">
        <f>Assumptions!AL66</f>
        <v>4.5510053999999993</v>
      </c>
      <c r="AG83" s="77">
        <f>Assumptions!AM66</f>
        <v>4.5510053999999993</v>
      </c>
      <c r="AH83" s="77">
        <f>Assumptions!AN66</f>
        <v>4.5510053999999993</v>
      </c>
      <c r="AI83" s="77">
        <f>Assumptions!AO66</f>
        <v>4.6420255079999997</v>
      </c>
      <c r="AJ83" s="77">
        <f>Assumptions!AP66</f>
        <v>4.6420255079999997</v>
      </c>
      <c r="AK83" s="77">
        <f>Assumptions!AQ66</f>
        <v>4.6420255079999997</v>
      </c>
      <c r="AL83" s="77">
        <f>Assumptions!AR66</f>
        <v>4.6420255079999997</v>
      </c>
      <c r="AM83" s="77">
        <f>Assumptions!AS66</f>
        <v>4.6420255079999997</v>
      </c>
      <c r="AN83" s="77">
        <f>Assumptions!AT66</f>
        <v>4.6420255079999997</v>
      </c>
      <c r="AO83" s="77">
        <f>Assumptions!AU66</f>
        <v>4.6420255079999997</v>
      </c>
      <c r="AP83" s="77">
        <f>Assumptions!AV66</f>
        <v>4.6420255079999997</v>
      </c>
      <c r="AQ83" s="77">
        <f>Assumptions!AW66</f>
        <v>4.6420255079999997</v>
      </c>
      <c r="AR83" s="77">
        <f>Assumptions!AX66</f>
        <v>4.6420255079999997</v>
      </c>
      <c r="AS83" s="77">
        <f>Assumptions!AY66</f>
        <v>4.6420255079999997</v>
      </c>
      <c r="AT83" s="77">
        <f>Assumptions!AZ66</f>
        <v>4.6420255079999997</v>
      </c>
      <c r="AU83" s="77">
        <f>Assumptions!BA66</f>
        <v>4.6420255079999997</v>
      </c>
    </row>
    <row r="84" spans="2:47" hidden="1" x14ac:dyDescent="0.2">
      <c r="B84" t="s">
        <v>328</v>
      </c>
      <c r="C84" s="77">
        <f t="shared" si="244"/>
        <v>5.128205128205128E-2</v>
      </c>
      <c r="D84" s="77">
        <f>Assumptions!J76</f>
        <v>5.128205128205128E-2</v>
      </c>
      <c r="E84" s="77">
        <f>Assumptions!K76</f>
        <v>5.128205128205128E-2</v>
      </c>
      <c r="F84" s="77">
        <f>Assumptions!L76</f>
        <v>5.128205128205128E-2</v>
      </c>
      <c r="G84" s="77">
        <f>Assumptions!M76</f>
        <v>5.128205128205128E-2</v>
      </c>
      <c r="H84" s="77">
        <f>Assumptions!N76</f>
        <v>5.128205128205128E-2</v>
      </c>
      <c r="I84" s="77">
        <f>Assumptions!O76</f>
        <v>5.128205128205128E-2</v>
      </c>
      <c r="J84" s="77">
        <f>Assumptions!P76</f>
        <v>5.128205128205128E-2</v>
      </c>
      <c r="K84" s="77">
        <f>Assumptions!Q76</f>
        <v>5.235897435897436E-2</v>
      </c>
      <c r="L84" s="77">
        <f>Assumptions!R76</f>
        <v>5.235897435897436E-2</v>
      </c>
      <c r="M84" s="77">
        <f>Assumptions!S76</f>
        <v>5.235897435897436E-2</v>
      </c>
      <c r="N84" s="77">
        <f>Assumptions!T76</f>
        <v>5.235897435897436E-2</v>
      </c>
      <c r="O84" s="77">
        <f>Assumptions!U76</f>
        <v>5.235897435897436E-2</v>
      </c>
      <c r="P84" s="77">
        <f>Assumptions!V76</f>
        <v>5.235897435897436E-2</v>
      </c>
      <c r="Q84" s="77">
        <f>Assumptions!W76</f>
        <v>5.235897435897436E-2</v>
      </c>
      <c r="R84" s="77">
        <f>Assumptions!X76</f>
        <v>5.235897435897436E-2</v>
      </c>
      <c r="S84" s="77">
        <f>Assumptions!Y76</f>
        <v>5.235897435897436E-2</v>
      </c>
      <c r="T84" s="77">
        <f>Assumptions!Z76</f>
        <v>5.235897435897436E-2</v>
      </c>
      <c r="U84" s="77">
        <f>Assumptions!AA76</f>
        <v>5.235897435897436E-2</v>
      </c>
      <c r="V84" s="77">
        <f>Assumptions!AB76</f>
        <v>5.3406153846153839E-2</v>
      </c>
      <c r="W84" s="77">
        <f>Assumptions!AC76</f>
        <v>5.3406153846153839E-2</v>
      </c>
      <c r="X84" s="77">
        <f>Assumptions!AD76</f>
        <v>5.3406153846153839E-2</v>
      </c>
      <c r="Y84" s="77">
        <f>Assumptions!AE76</f>
        <v>5.3406153846153839E-2</v>
      </c>
      <c r="Z84" s="77">
        <f>Assumptions!AF76</f>
        <v>5.3406153846153839E-2</v>
      </c>
      <c r="AA84" s="77">
        <f>Assumptions!AG76</f>
        <v>5.3406153846153839E-2</v>
      </c>
      <c r="AB84" s="77">
        <f>Assumptions!AH76</f>
        <v>5.3406153846153839E-2</v>
      </c>
      <c r="AC84" s="77">
        <f>Assumptions!AI76</f>
        <v>5.3406153846153839E-2</v>
      </c>
      <c r="AD84" s="77">
        <f>Assumptions!AJ76</f>
        <v>5.3406153846153839E-2</v>
      </c>
      <c r="AE84" s="77">
        <f>Assumptions!AK76</f>
        <v>5.3406153846153839E-2</v>
      </c>
      <c r="AF84" s="77">
        <f>Assumptions!AL76</f>
        <v>5.3406153846153839E-2</v>
      </c>
      <c r="AG84" s="77">
        <f>Assumptions!AM76</f>
        <v>5.3406153846153839E-2</v>
      </c>
      <c r="AH84" s="77">
        <f>Assumptions!AN76</f>
        <v>5.3406153846153839E-2</v>
      </c>
      <c r="AI84" s="77">
        <f>Assumptions!AO76</f>
        <v>5.4474276923076929E-2</v>
      </c>
      <c r="AJ84" s="77">
        <f>Assumptions!AP76</f>
        <v>5.4474276923076929E-2</v>
      </c>
      <c r="AK84" s="77">
        <f>Assumptions!AQ76</f>
        <v>5.4474276923076929E-2</v>
      </c>
      <c r="AL84" s="77">
        <f>Assumptions!AR76</f>
        <v>5.4474276923076929E-2</v>
      </c>
      <c r="AM84" s="77">
        <f>Assumptions!AS76</f>
        <v>5.4474276923076929E-2</v>
      </c>
      <c r="AN84" s="77">
        <f>Assumptions!AT76</f>
        <v>5.4474276923076929E-2</v>
      </c>
      <c r="AO84" s="77">
        <f>Assumptions!AU76</f>
        <v>5.4474276923076929E-2</v>
      </c>
      <c r="AP84" s="77">
        <f>Assumptions!AV76</f>
        <v>5.4474276923076929E-2</v>
      </c>
      <c r="AQ84" s="77">
        <f>Assumptions!AW76</f>
        <v>5.4474276923076929E-2</v>
      </c>
      <c r="AR84" s="77">
        <f>Assumptions!AX76</f>
        <v>5.4474276923076929E-2</v>
      </c>
      <c r="AS84" s="77">
        <f>Assumptions!AY76</f>
        <v>5.4474276923076929E-2</v>
      </c>
      <c r="AT84" s="77">
        <f>Assumptions!AZ76</f>
        <v>5.4474276923076929E-2</v>
      </c>
      <c r="AU84" s="77">
        <f>Assumptions!BA76</f>
        <v>5.4474276923076929E-2</v>
      </c>
    </row>
    <row r="85" spans="2:47" hidden="1" x14ac:dyDescent="0.2">
      <c r="B85" t="s">
        <v>333</v>
      </c>
      <c r="C85" s="77">
        <f t="shared" si="244"/>
        <v>2.3333333333333334E-2</v>
      </c>
      <c r="D85" s="77">
        <f>Assumptions!J84/75</f>
        <v>2.3333333333333334E-2</v>
      </c>
      <c r="E85" s="77">
        <f>Assumptions!K84/75</f>
        <v>2.3333333333333334E-2</v>
      </c>
      <c r="F85" s="77">
        <f>Assumptions!L84/75</f>
        <v>2.3333333333333334E-2</v>
      </c>
      <c r="G85" s="77">
        <f>Assumptions!M84/75</f>
        <v>2.3333333333333334E-2</v>
      </c>
      <c r="H85" s="77">
        <f>Assumptions!N84/75</f>
        <v>2.3333333333333334E-2</v>
      </c>
      <c r="I85" s="77">
        <f>Assumptions!O84/75</f>
        <v>2.3333333333333334E-2</v>
      </c>
      <c r="J85" s="77">
        <f>Assumptions!P84/75</f>
        <v>2.3333333333333334E-2</v>
      </c>
      <c r="K85" s="77">
        <f>Assumptions!Q84/75</f>
        <v>2.3823333333333332E-2</v>
      </c>
      <c r="L85" s="77">
        <f>Assumptions!R84/75</f>
        <v>2.3823333333333332E-2</v>
      </c>
      <c r="M85" s="77">
        <f>Assumptions!S84/75</f>
        <v>2.3823333333333332E-2</v>
      </c>
      <c r="N85" s="77">
        <f>Assumptions!T84/75</f>
        <v>2.3823333333333332E-2</v>
      </c>
      <c r="O85" s="77">
        <f>Assumptions!U84/75</f>
        <v>2.3823333333333332E-2</v>
      </c>
      <c r="P85" s="77">
        <f>Assumptions!V84/75</f>
        <v>2.3823333333333332E-2</v>
      </c>
      <c r="Q85" s="77">
        <f>Assumptions!W84/75</f>
        <v>2.3823333333333332E-2</v>
      </c>
      <c r="R85" s="77">
        <f>Assumptions!X84/75</f>
        <v>2.3823333333333332E-2</v>
      </c>
      <c r="S85" s="77">
        <f>Assumptions!Y84/75</f>
        <v>2.3823333333333332E-2</v>
      </c>
      <c r="T85" s="77">
        <f>Assumptions!Z84/75</f>
        <v>2.3823333333333332E-2</v>
      </c>
      <c r="U85" s="77">
        <f>Assumptions!AA84/75</f>
        <v>2.3823333333333332E-2</v>
      </c>
      <c r="V85" s="77">
        <f>Assumptions!AB84/75</f>
        <v>2.42998E-2</v>
      </c>
      <c r="W85" s="77">
        <f>Assumptions!AC84/75</f>
        <v>2.42998E-2</v>
      </c>
      <c r="X85" s="77">
        <f>Assumptions!AD84/75</f>
        <v>2.42998E-2</v>
      </c>
      <c r="Y85" s="77">
        <f>Assumptions!AE84/75</f>
        <v>2.42998E-2</v>
      </c>
      <c r="Z85" s="77">
        <f>Assumptions!AF84/75</f>
        <v>2.42998E-2</v>
      </c>
      <c r="AA85" s="77">
        <f>Assumptions!AG84/75</f>
        <v>2.42998E-2</v>
      </c>
      <c r="AB85" s="77">
        <f>Assumptions!AH84/75</f>
        <v>2.42998E-2</v>
      </c>
      <c r="AC85" s="77">
        <f>Assumptions!AI84/75</f>
        <v>2.42998E-2</v>
      </c>
      <c r="AD85" s="77">
        <f>Assumptions!AJ84/75</f>
        <v>2.42998E-2</v>
      </c>
      <c r="AE85" s="77">
        <f>Assumptions!AK84/75</f>
        <v>2.42998E-2</v>
      </c>
      <c r="AF85" s="77">
        <f>Assumptions!AL84/75</f>
        <v>2.42998E-2</v>
      </c>
      <c r="AG85" s="77">
        <f>Assumptions!AM84/75</f>
        <v>2.42998E-2</v>
      </c>
      <c r="AH85" s="77">
        <f>Assumptions!AN84/75</f>
        <v>2.42998E-2</v>
      </c>
      <c r="AI85" s="77">
        <f>Assumptions!AO84/75</f>
        <v>2.4785796000000002E-2</v>
      </c>
      <c r="AJ85" s="77">
        <f>Assumptions!AP84/75</f>
        <v>2.4785796000000002E-2</v>
      </c>
      <c r="AK85" s="77">
        <f>Assumptions!AQ84/75</f>
        <v>2.4785796000000002E-2</v>
      </c>
      <c r="AL85" s="77">
        <f>Assumptions!AR84/75</f>
        <v>2.4785796000000002E-2</v>
      </c>
      <c r="AM85" s="77">
        <f>Assumptions!AS84/75</f>
        <v>2.4785796000000002E-2</v>
      </c>
      <c r="AN85" s="77">
        <f>Assumptions!AT84/75</f>
        <v>2.4785796000000002E-2</v>
      </c>
      <c r="AO85" s="77">
        <f>Assumptions!AU84/75</f>
        <v>2.4785796000000002E-2</v>
      </c>
      <c r="AP85" s="77">
        <f>Assumptions!AV84/75</f>
        <v>2.4785796000000002E-2</v>
      </c>
      <c r="AQ85" s="77">
        <f>Assumptions!AW84/75</f>
        <v>2.4785796000000002E-2</v>
      </c>
      <c r="AR85" s="77">
        <f>Assumptions!AX84/75</f>
        <v>2.4785796000000002E-2</v>
      </c>
      <c r="AS85" s="77">
        <f>Assumptions!AY84/75</f>
        <v>2.4785796000000002E-2</v>
      </c>
      <c r="AT85" s="77">
        <f>Assumptions!AZ84/75</f>
        <v>2.4785796000000002E-2</v>
      </c>
      <c r="AU85" s="77">
        <f>Assumptions!BA84/75</f>
        <v>2.4785796000000002E-2</v>
      </c>
    </row>
    <row r="86" spans="2:47" hidden="1" x14ac:dyDescent="0.2"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</row>
    <row r="87" spans="2:47" hidden="1" x14ac:dyDescent="0.2">
      <c r="B87" s="6" t="s">
        <v>365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</row>
    <row r="88" spans="2:47" hidden="1" x14ac:dyDescent="0.2">
      <c r="B88" t="s">
        <v>334</v>
      </c>
      <c r="C88" s="75">
        <f>C20</f>
        <v>2000</v>
      </c>
      <c r="D88" s="75">
        <f t="shared" ref="D88:F88" si="245">D20</f>
        <v>2000</v>
      </c>
      <c r="E88" s="75">
        <f t="shared" si="245"/>
        <v>1386</v>
      </c>
      <c r="F88" s="75">
        <f t="shared" si="245"/>
        <v>2445</v>
      </c>
      <c r="G88" s="75">
        <f t="shared" ref="G88" si="246">G20</f>
        <v>1176</v>
      </c>
      <c r="H88" s="278">
        <f>G88</f>
        <v>1176</v>
      </c>
      <c r="I88" s="75">
        <f t="shared" ref="I88:AT88" si="247">I20</f>
        <v>1580</v>
      </c>
      <c r="J88" s="75">
        <f t="shared" si="247"/>
        <v>1658</v>
      </c>
      <c r="K88" s="75">
        <f t="shared" si="247"/>
        <v>3407.9998848838982</v>
      </c>
      <c r="L88" s="75">
        <f t="shared" si="247"/>
        <v>3157.9997697677968</v>
      </c>
      <c r="M88" s="75">
        <f t="shared" si="247"/>
        <v>4907.9996546516959</v>
      </c>
      <c r="N88" s="75">
        <f t="shared" si="247"/>
        <v>4657.9995395355945</v>
      </c>
      <c r="O88" s="75">
        <f t="shared" si="247"/>
        <v>4407.9994244194932</v>
      </c>
      <c r="P88" s="75">
        <f t="shared" si="247"/>
        <v>4157.9993093033918</v>
      </c>
      <c r="Q88" s="75">
        <f t="shared" si="247"/>
        <v>3907.99919418729</v>
      </c>
      <c r="R88" s="75">
        <f t="shared" si="247"/>
        <v>3657.9990790711886</v>
      </c>
      <c r="S88" s="75">
        <f t="shared" si="247"/>
        <v>3407.9989639550872</v>
      </c>
      <c r="T88" s="75">
        <f t="shared" si="247"/>
        <v>3157.9988488389859</v>
      </c>
      <c r="U88" s="278">
        <f>T88</f>
        <v>3157.9988488389859</v>
      </c>
      <c r="V88" s="75">
        <f t="shared" si="247"/>
        <v>2907.9987337228845</v>
      </c>
      <c r="W88" s="75">
        <f t="shared" si="247"/>
        <v>4657.9986186067836</v>
      </c>
      <c r="X88" s="75">
        <f t="shared" si="247"/>
        <v>4407.9985034906822</v>
      </c>
      <c r="Y88" s="75">
        <f t="shared" si="247"/>
        <v>4039.9985034906822</v>
      </c>
      <c r="Z88" s="75">
        <f t="shared" si="247"/>
        <v>3553.9985034906822</v>
      </c>
      <c r="AA88" s="75">
        <f t="shared" si="247"/>
        <v>4948.9985034906822</v>
      </c>
      <c r="AB88" s="75">
        <f t="shared" si="247"/>
        <v>4225.9985034906822</v>
      </c>
      <c r="AC88" s="75">
        <f t="shared" si="247"/>
        <v>3384.9985034906822</v>
      </c>
      <c r="AD88" s="75">
        <f t="shared" si="247"/>
        <v>2424.9985034906822</v>
      </c>
      <c r="AE88" s="75">
        <f t="shared" si="247"/>
        <v>3346.9985034906822</v>
      </c>
      <c r="AF88" s="75">
        <f t="shared" si="247"/>
        <v>4150.9985034906822</v>
      </c>
      <c r="AG88" s="75">
        <f t="shared" si="247"/>
        <v>4835.9985034906822</v>
      </c>
      <c r="AH88" s="278">
        <f>AG88</f>
        <v>4835.9985034906822</v>
      </c>
      <c r="AI88" s="75">
        <f t="shared" si="247"/>
        <v>3402.9985034906822</v>
      </c>
      <c r="AJ88" s="75">
        <f t="shared" si="247"/>
        <v>3850.9985034906822</v>
      </c>
      <c r="AK88" s="75">
        <f t="shared" si="247"/>
        <v>4180.9985034906822</v>
      </c>
      <c r="AL88" s="75">
        <f t="shared" si="247"/>
        <v>4392.9985034906822</v>
      </c>
      <c r="AM88" s="75">
        <f t="shared" si="247"/>
        <v>4485.9985034906822</v>
      </c>
      <c r="AN88" s="75">
        <f t="shared" si="247"/>
        <v>4460.9985034906822</v>
      </c>
      <c r="AO88" s="75">
        <f t="shared" si="247"/>
        <v>4317.9985034906822</v>
      </c>
      <c r="AP88" s="75">
        <f t="shared" si="247"/>
        <v>4055.9985034906822</v>
      </c>
      <c r="AQ88" s="75">
        <f t="shared" si="247"/>
        <v>3555.9983360490824</v>
      </c>
      <c r="AR88" s="75">
        <f t="shared" si="247"/>
        <v>5055.9981686074825</v>
      </c>
      <c r="AS88" s="75">
        <f t="shared" si="247"/>
        <v>4555.9980011658827</v>
      </c>
      <c r="AT88" s="75">
        <f t="shared" si="247"/>
        <v>4055.9978337242828</v>
      </c>
      <c r="AU88" s="278">
        <f>AT88</f>
        <v>4055.9978337242828</v>
      </c>
    </row>
    <row r="89" spans="2:47" hidden="1" x14ac:dyDescent="0.2">
      <c r="B89" t="s">
        <v>335</v>
      </c>
      <c r="C89" s="75">
        <f>C26</f>
        <v>2000</v>
      </c>
      <c r="D89" s="75">
        <f t="shared" ref="D89:E89" si="248">D26</f>
        <v>2000</v>
      </c>
      <c r="E89" s="75">
        <f t="shared" si="248"/>
        <v>1182</v>
      </c>
      <c r="F89" s="75">
        <f t="shared" ref="F89:G89" si="249">F26</f>
        <v>1927</v>
      </c>
      <c r="G89" s="75">
        <f t="shared" si="249"/>
        <v>2236</v>
      </c>
      <c r="H89" s="278">
        <f t="shared" ref="H89:H91" si="250">G89</f>
        <v>2236</v>
      </c>
      <c r="I89" s="75">
        <f t="shared" ref="I89:AT89" si="251">I26</f>
        <v>2108</v>
      </c>
      <c r="J89" s="75">
        <f t="shared" si="251"/>
        <v>3544</v>
      </c>
      <c r="K89" s="75">
        <f t="shared" si="251"/>
        <v>4544</v>
      </c>
      <c r="L89" s="75">
        <f t="shared" si="251"/>
        <v>3544</v>
      </c>
      <c r="M89" s="75">
        <f t="shared" si="251"/>
        <v>4544</v>
      </c>
      <c r="N89" s="75">
        <f t="shared" si="251"/>
        <v>3544</v>
      </c>
      <c r="O89" s="75">
        <f t="shared" si="251"/>
        <v>4544</v>
      </c>
      <c r="P89" s="75">
        <f t="shared" si="251"/>
        <v>3544</v>
      </c>
      <c r="Q89" s="75">
        <f t="shared" si="251"/>
        <v>4544</v>
      </c>
      <c r="R89" s="75">
        <f t="shared" si="251"/>
        <v>3544</v>
      </c>
      <c r="S89" s="75">
        <f t="shared" si="251"/>
        <v>4544</v>
      </c>
      <c r="T89" s="75">
        <f t="shared" si="251"/>
        <v>3544</v>
      </c>
      <c r="U89" s="278">
        <f t="shared" ref="U89:U91" si="252">T89</f>
        <v>3544</v>
      </c>
      <c r="V89" s="75">
        <f t="shared" si="251"/>
        <v>4544</v>
      </c>
      <c r="W89" s="75">
        <f t="shared" si="251"/>
        <v>5544</v>
      </c>
      <c r="X89" s="75">
        <f t="shared" si="251"/>
        <v>4544</v>
      </c>
      <c r="Y89" s="75">
        <f t="shared" si="251"/>
        <v>5386</v>
      </c>
      <c r="Z89" s="75">
        <f t="shared" si="251"/>
        <v>4070</v>
      </c>
      <c r="AA89" s="75">
        <f t="shared" si="251"/>
        <v>2596</v>
      </c>
      <c r="AB89" s="75">
        <f t="shared" si="251"/>
        <v>2964</v>
      </c>
      <c r="AC89" s="75">
        <f t="shared" si="251"/>
        <v>3174</v>
      </c>
      <c r="AD89" s="75">
        <f t="shared" si="251"/>
        <v>3227</v>
      </c>
      <c r="AE89" s="75">
        <f t="shared" si="251"/>
        <v>3122</v>
      </c>
      <c r="AF89" s="75">
        <f t="shared" si="251"/>
        <v>4859</v>
      </c>
      <c r="AG89" s="75">
        <f t="shared" si="251"/>
        <v>4439</v>
      </c>
      <c r="AH89" s="278">
        <f t="shared" ref="AH89:AH91" si="253">AG89</f>
        <v>4439</v>
      </c>
      <c r="AI89" s="75">
        <f t="shared" si="251"/>
        <v>5861</v>
      </c>
      <c r="AJ89" s="75">
        <f t="shared" si="251"/>
        <v>5125</v>
      </c>
      <c r="AK89" s="75">
        <f t="shared" si="251"/>
        <v>6231</v>
      </c>
      <c r="AL89" s="75">
        <f t="shared" si="251"/>
        <v>7179</v>
      </c>
      <c r="AM89" s="75">
        <f t="shared" si="251"/>
        <v>5969</v>
      </c>
      <c r="AN89" s="75">
        <f t="shared" si="251"/>
        <v>6601</v>
      </c>
      <c r="AO89" s="75">
        <f t="shared" si="251"/>
        <v>5075</v>
      </c>
      <c r="AP89" s="75">
        <f t="shared" si="251"/>
        <v>5392</v>
      </c>
      <c r="AQ89" s="75">
        <f t="shared" si="251"/>
        <v>5392.0000837207999</v>
      </c>
      <c r="AR89" s="75">
        <f t="shared" si="251"/>
        <v>5392.0001674415989</v>
      </c>
      <c r="AS89" s="75">
        <f t="shared" si="251"/>
        <v>5392.0002511623979</v>
      </c>
      <c r="AT89" s="75">
        <f t="shared" si="251"/>
        <v>5392.000334883197</v>
      </c>
      <c r="AU89" s="278">
        <f t="shared" ref="AU89:AU91" si="254">AT89</f>
        <v>5392.000334883197</v>
      </c>
    </row>
    <row r="90" spans="2:47" hidden="1" x14ac:dyDescent="0.2">
      <c r="B90" t="s">
        <v>336</v>
      </c>
      <c r="C90" s="75">
        <f>C32</f>
        <v>2000</v>
      </c>
      <c r="D90" s="75">
        <f t="shared" ref="D90:E90" si="255">D32</f>
        <v>2000</v>
      </c>
      <c r="E90" s="75">
        <f t="shared" si="255"/>
        <v>1591</v>
      </c>
      <c r="F90" s="75">
        <f t="shared" ref="F90:G90" si="256">F32</f>
        <v>2964</v>
      </c>
      <c r="G90" s="75">
        <f t="shared" si="256"/>
        <v>2119</v>
      </c>
      <c r="H90" s="278">
        <f t="shared" si="250"/>
        <v>2119</v>
      </c>
      <c r="I90" s="75">
        <f t="shared" ref="I90:AT90" si="257">I32</f>
        <v>3056</v>
      </c>
      <c r="J90" s="75">
        <f t="shared" si="257"/>
        <v>3774</v>
      </c>
      <c r="K90" s="75">
        <f t="shared" si="257"/>
        <v>2274</v>
      </c>
      <c r="L90" s="75">
        <f t="shared" si="257"/>
        <v>2774</v>
      </c>
      <c r="M90" s="75">
        <f t="shared" si="257"/>
        <v>1274</v>
      </c>
      <c r="N90" s="75">
        <f t="shared" si="257"/>
        <v>1774</v>
      </c>
      <c r="O90" s="75">
        <f t="shared" si="257"/>
        <v>2274</v>
      </c>
      <c r="P90" s="75">
        <f t="shared" si="257"/>
        <v>2774</v>
      </c>
      <c r="Q90" s="75">
        <f t="shared" si="257"/>
        <v>3274</v>
      </c>
      <c r="R90" s="75">
        <f t="shared" si="257"/>
        <v>3774</v>
      </c>
      <c r="S90" s="75">
        <f t="shared" si="257"/>
        <v>2274</v>
      </c>
      <c r="T90" s="75">
        <f t="shared" si="257"/>
        <v>2774</v>
      </c>
      <c r="U90" s="278">
        <f t="shared" si="252"/>
        <v>2774</v>
      </c>
      <c r="V90" s="75">
        <f t="shared" si="257"/>
        <v>3274</v>
      </c>
      <c r="W90" s="75">
        <f t="shared" si="257"/>
        <v>3774</v>
      </c>
      <c r="X90" s="75">
        <f t="shared" si="257"/>
        <v>2274</v>
      </c>
      <c r="Y90" s="75">
        <f t="shared" si="257"/>
        <v>2695</v>
      </c>
      <c r="Z90" s="75">
        <f t="shared" si="257"/>
        <v>3037</v>
      </c>
      <c r="AA90" s="75">
        <f t="shared" si="257"/>
        <v>3300</v>
      </c>
      <c r="AB90" s="75">
        <f t="shared" si="257"/>
        <v>3484</v>
      </c>
      <c r="AC90" s="75">
        <f t="shared" si="257"/>
        <v>3589</v>
      </c>
      <c r="AD90" s="75">
        <f t="shared" si="257"/>
        <v>3615</v>
      </c>
      <c r="AE90" s="75">
        <f t="shared" si="257"/>
        <v>3562</v>
      </c>
      <c r="AF90" s="75">
        <f t="shared" si="257"/>
        <v>3430</v>
      </c>
      <c r="AG90" s="75">
        <f t="shared" si="257"/>
        <v>3220</v>
      </c>
      <c r="AH90" s="278">
        <f t="shared" si="253"/>
        <v>3220</v>
      </c>
      <c r="AI90" s="75">
        <f t="shared" si="257"/>
        <v>2931</v>
      </c>
      <c r="AJ90" s="75">
        <f t="shared" si="257"/>
        <v>2563</v>
      </c>
      <c r="AK90" s="75">
        <f t="shared" si="257"/>
        <v>2116</v>
      </c>
      <c r="AL90" s="75">
        <f t="shared" si="257"/>
        <v>3590</v>
      </c>
      <c r="AM90" s="75">
        <f t="shared" si="257"/>
        <v>2986</v>
      </c>
      <c r="AN90" s="75">
        <f t="shared" si="257"/>
        <v>2303</v>
      </c>
      <c r="AO90" s="75">
        <f t="shared" si="257"/>
        <v>3541</v>
      </c>
      <c r="AP90" s="75">
        <f t="shared" si="257"/>
        <v>4700</v>
      </c>
      <c r="AQ90" s="75">
        <f t="shared" si="257"/>
        <v>3700.0000418604</v>
      </c>
      <c r="AR90" s="75">
        <f t="shared" si="257"/>
        <v>4700.000083720799</v>
      </c>
      <c r="AS90" s="75">
        <f t="shared" si="257"/>
        <v>3700.000125581199</v>
      </c>
      <c r="AT90" s="75">
        <f t="shared" si="257"/>
        <v>4700.000167441598</v>
      </c>
      <c r="AU90" s="278">
        <f t="shared" si="254"/>
        <v>4700.000167441598</v>
      </c>
    </row>
    <row r="91" spans="2:47" hidden="1" x14ac:dyDescent="0.2">
      <c r="B91" s="114" t="s">
        <v>337</v>
      </c>
      <c r="C91" s="144">
        <f>C38</f>
        <v>3000</v>
      </c>
      <c r="D91" s="144">
        <f t="shared" ref="D91:E91" si="258">D38</f>
        <v>3000</v>
      </c>
      <c r="E91" s="144">
        <f t="shared" si="258"/>
        <v>2591</v>
      </c>
      <c r="F91" s="144">
        <f t="shared" ref="F91:G91" si="259">F38</f>
        <v>1964</v>
      </c>
      <c r="G91" s="144">
        <f t="shared" si="259"/>
        <v>1119</v>
      </c>
      <c r="H91" s="286">
        <f t="shared" si="250"/>
        <v>1119</v>
      </c>
      <c r="I91" s="144">
        <f t="shared" ref="I91:AT91" si="260">I38</f>
        <v>3056</v>
      </c>
      <c r="J91" s="144">
        <f t="shared" si="260"/>
        <v>1774</v>
      </c>
      <c r="K91" s="144">
        <f t="shared" si="260"/>
        <v>3274</v>
      </c>
      <c r="L91" s="144">
        <f t="shared" si="260"/>
        <v>1774</v>
      </c>
      <c r="M91" s="144">
        <f t="shared" si="260"/>
        <v>3274</v>
      </c>
      <c r="N91" s="144">
        <f t="shared" si="260"/>
        <v>1774</v>
      </c>
      <c r="O91" s="144">
        <f t="shared" si="260"/>
        <v>274</v>
      </c>
      <c r="P91" s="144">
        <f t="shared" si="260"/>
        <v>1774</v>
      </c>
      <c r="Q91" s="144">
        <f t="shared" si="260"/>
        <v>274</v>
      </c>
      <c r="R91" s="144">
        <f t="shared" si="260"/>
        <v>1774</v>
      </c>
      <c r="S91" s="144">
        <f t="shared" si="260"/>
        <v>3274</v>
      </c>
      <c r="T91" s="144">
        <f t="shared" si="260"/>
        <v>1774</v>
      </c>
      <c r="U91" s="286">
        <f t="shared" si="252"/>
        <v>1774</v>
      </c>
      <c r="V91" s="144">
        <f t="shared" si="260"/>
        <v>3274</v>
      </c>
      <c r="W91" s="144">
        <f t="shared" si="260"/>
        <v>1774</v>
      </c>
      <c r="X91" s="144">
        <f t="shared" si="260"/>
        <v>3274</v>
      </c>
      <c r="Y91" s="144">
        <f t="shared" si="260"/>
        <v>1695</v>
      </c>
      <c r="Z91" s="144">
        <f t="shared" si="260"/>
        <v>3037</v>
      </c>
      <c r="AA91" s="144">
        <f t="shared" si="260"/>
        <v>1301</v>
      </c>
      <c r="AB91" s="144">
        <f t="shared" si="260"/>
        <v>2486</v>
      </c>
      <c r="AC91" s="144">
        <f t="shared" si="260"/>
        <v>3592</v>
      </c>
      <c r="AD91" s="144">
        <f t="shared" si="260"/>
        <v>1619</v>
      </c>
      <c r="AE91" s="144">
        <f t="shared" si="260"/>
        <v>2567</v>
      </c>
      <c r="AF91" s="144">
        <f t="shared" si="260"/>
        <v>3436</v>
      </c>
      <c r="AG91" s="144">
        <f t="shared" si="260"/>
        <v>1225</v>
      </c>
      <c r="AH91" s="286">
        <f t="shared" si="253"/>
        <v>1225</v>
      </c>
      <c r="AI91" s="144">
        <f t="shared" si="260"/>
        <v>4935</v>
      </c>
      <c r="AJ91" s="144">
        <f t="shared" si="260"/>
        <v>5567</v>
      </c>
      <c r="AK91" s="144">
        <f t="shared" si="260"/>
        <v>3120</v>
      </c>
      <c r="AL91" s="144">
        <f t="shared" si="260"/>
        <v>3594</v>
      </c>
      <c r="AM91" s="144">
        <f t="shared" si="260"/>
        <v>3989</v>
      </c>
      <c r="AN91" s="144">
        <f t="shared" si="260"/>
        <v>4305</v>
      </c>
      <c r="AO91" s="144">
        <f t="shared" si="260"/>
        <v>4542</v>
      </c>
      <c r="AP91" s="144">
        <f t="shared" si="260"/>
        <v>4700</v>
      </c>
      <c r="AQ91" s="144">
        <f t="shared" si="260"/>
        <v>4700.0000418603995</v>
      </c>
      <c r="AR91" s="144">
        <f t="shared" si="260"/>
        <v>4700.000083720799</v>
      </c>
      <c r="AS91" s="144">
        <f t="shared" si="260"/>
        <v>4700.0001255811985</v>
      </c>
      <c r="AT91" s="144">
        <f t="shared" si="260"/>
        <v>4700.000167441598</v>
      </c>
      <c r="AU91" s="286">
        <f t="shared" si="254"/>
        <v>4700.000167441598</v>
      </c>
    </row>
    <row r="92" spans="2:47" hidden="1" x14ac:dyDescent="0.2">
      <c r="B92" s="6" t="s">
        <v>145</v>
      </c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109"/>
      <c r="AU92" s="109"/>
    </row>
    <row r="93" spans="2:47" hidden="1" x14ac:dyDescent="0.2">
      <c r="B93" s="6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</row>
    <row r="94" spans="2:47" hidden="1" x14ac:dyDescent="0.2">
      <c r="B94" s="6" t="s">
        <v>363</v>
      </c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</row>
    <row r="95" spans="2:47" hidden="1" x14ac:dyDescent="0.2">
      <c r="B95" t="s">
        <v>334</v>
      </c>
      <c r="C95" s="75">
        <f>C21</f>
        <v>0</v>
      </c>
      <c r="D95" s="75">
        <f t="shared" ref="D95:G95" si="261">D21</f>
        <v>0</v>
      </c>
      <c r="E95" s="75">
        <f>E21</f>
        <v>2000</v>
      </c>
      <c r="F95" s="75">
        <f t="shared" si="261"/>
        <v>0</v>
      </c>
      <c r="G95" s="75">
        <f t="shared" si="261"/>
        <v>2000</v>
      </c>
      <c r="H95" s="271">
        <f>G95</f>
        <v>2000</v>
      </c>
      <c r="I95" s="75">
        <f t="shared" ref="I95:AT95" si="262">I21</f>
        <v>2000</v>
      </c>
      <c r="J95" s="75">
        <f t="shared" si="262"/>
        <v>4000</v>
      </c>
      <c r="K95" s="75">
        <f t="shared" si="262"/>
        <v>2000</v>
      </c>
      <c r="L95" s="75">
        <f t="shared" si="262"/>
        <v>4000</v>
      </c>
      <c r="M95" s="75">
        <f t="shared" si="262"/>
        <v>2000</v>
      </c>
      <c r="N95" s="75">
        <f t="shared" si="262"/>
        <v>2000</v>
      </c>
      <c r="O95" s="75">
        <f t="shared" si="262"/>
        <v>2000</v>
      </c>
      <c r="P95" s="75">
        <f t="shared" si="262"/>
        <v>2000</v>
      </c>
      <c r="Q95" s="75">
        <f t="shared" si="262"/>
        <v>2000</v>
      </c>
      <c r="R95" s="75">
        <f t="shared" si="262"/>
        <v>2000</v>
      </c>
      <c r="S95" s="75">
        <f t="shared" si="262"/>
        <v>2000</v>
      </c>
      <c r="T95" s="75">
        <f t="shared" si="262"/>
        <v>2000</v>
      </c>
      <c r="U95" s="271">
        <f>T95</f>
        <v>2000</v>
      </c>
      <c r="V95" s="75">
        <f t="shared" si="262"/>
        <v>4000</v>
      </c>
      <c r="W95" s="75">
        <f t="shared" si="262"/>
        <v>2000</v>
      </c>
      <c r="X95" s="75">
        <f t="shared" si="262"/>
        <v>2000</v>
      </c>
      <c r="Y95" s="75">
        <f t="shared" si="262"/>
        <v>2000</v>
      </c>
      <c r="Z95" s="75">
        <f t="shared" si="262"/>
        <v>4000</v>
      </c>
      <c r="AA95" s="75">
        <f t="shared" si="262"/>
        <v>2000</v>
      </c>
      <c r="AB95" s="75">
        <f t="shared" si="262"/>
        <v>2000</v>
      </c>
      <c r="AC95" s="75">
        <f t="shared" si="262"/>
        <v>2000</v>
      </c>
      <c r="AD95" s="75">
        <f t="shared" si="262"/>
        <v>4000</v>
      </c>
      <c r="AE95" s="75">
        <f t="shared" si="262"/>
        <v>4000</v>
      </c>
      <c r="AF95" s="75">
        <f t="shared" si="262"/>
        <v>4000</v>
      </c>
      <c r="AG95" s="75">
        <f t="shared" si="262"/>
        <v>2000</v>
      </c>
      <c r="AH95" s="271">
        <f>AG95</f>
        <v>2000</v>
      </c>
      <c r="AI95" s="75">
        <f t="shared" si="262"/>
        <v>4000</v>
      </c>
      <c r="AJ95" s="75">
        <f t="shared" si="262"/>
        <v>4000</v>
      </c>
      <c r="AK95" s="75">
        <f t="shared" si="262"/>
        <v>4000</v>
      </c>
      <c r="AL95" s="75">
        <f t="shared" si="262"/>
        <v>4000</v>
      </c>
      <c r="AM95" s="75">
        <f t="shared" si="262"/>
        <v>4000</v>
      </c>
      <c r="AN95" s="75">
        <f t="shared" si="262"/>
        <v>4000</v>
      </c>
      <c r="AO95" s="75">
        <f t="shared" si="262"/>
        <v>4000</v>
      </c>
      <c r="AP95" s="75">
        <f t="shared" si="262"/>
        <v>4000</v>
      </c>
      <c r="AQ95" s="75">
        <f t="shared" si="262"/>
        <v>6000</v>
      </c>
      <c r="AR95" s="75">
        <f t="shared" si="262"/>
        <v>4000</v>
      </c>
      <c r="AS95" s="75">
        <f t="shared" si="262"/>
        <v>4000</v>
      </c>
      <c r="AT95" s="75">
        <f t="shared" si="262"/>
        <v>6000</v>
      </c>
      <c r="AU95" s="271">
        <f>AT95</f>
        <v>6000</v>
      </c>
    </row>
    <row r="96" spans="2:47" hidden="1" x14ac:dyDescent="0.2">
      <c r="B96" t="s">
        <v>335</v>
      </c>
      <c r="C96" s="75">
        <f>C27</f>
        <v>0</v>
      </c>
      <c r="D96" s="75">
        <f t="shared" ref="D96:G96" si="263">D27</f>
        <v>0</v>
      </c>
      <c r="E96" s="75">
        <f>E27</f>
        <v>2000</v>
      </c>
      <c r="F96" s="75">
        <f t="shared" si="263"/>
        <v>2000</v>
      </c>
      <c r="G96" s="75">
        <f t="shared" si="263"/>
        <v>2000</v>
      </c>
      <c r="H96" s="271">
        <f t="shared" ref="H96:H98" si="264">G96</f>
        <v>2000</v>
      </c>
      <c r="I96" s="75">
        <f t="shared" ref="I96:AT96" si="265">I27</f>
        <v>4000</v>
      </c>
      <c r="J96" s="75">
        <f t="shared" si="265"/>
        <v>4000</v>
      </c>
      <c r="K96" s="75">
        <f t="shared" si="265"/>
        <v>2000</v>
      </c>
      <c r="L96" s="75">
        <f t="shared" si="265"/>
        <v>4000</v>
      </c>
      <c r="M96" s="75">
        <f t="shared" si="265"/>
        <v>2000</v>
      </c>
      <c r="N96" s="75">
        <f t="shared" si="265"/>
        <v>4000</v>
      </c>
      <c r="O96" s="75">
        <f t="shared" si="265"/>
        <v>2000</v>
      </c>
      <c r="P96" s="75">
        <f t="shared" si="265"/>
        <v>4000</v>
      </c>
      <c r="Q96" s="75">
        <f t="shared" si="265"/>
        <v>2000</v>
      </c>
      <c r="R96" s="75">
        <f t="shared" si="265"/>
        <v>4000</v>
      </c>
      <c r="S96" s="75">
        <f t="shared" si="265"/>
        <v>2000</v>
      </c>
      <c r="T96" s="75">
        <f t="shared" si="265"/>
        <v>4000</v>
      </c>
      <c r="U96" s="271">
        <f t="shared" ref="U96:U98" si="266">T96</f>
        <v>4000</v>
      </c>
      <c r="V96" s="75">
        <f t="shared" si="265"/>
        <v>4000</v>
      </c>
      <c r="W96" s="75">
        <f t="shared" si="265"/>
        <v>2000</v>
      </c>
      <c r="X96" s="75">
        <f t="shared" si="265"/>
        <v>4000</v>
      </c>
      <c r="Y96" s="75">
        <f t="shared" si="265"/>
        <v>2000</v>
      </c>
      <c r="Z96" s="75">
        <f t="shared" si="265"/>
        <v>2000</v>
      </c>
      <c r="AA96" s="75">
        <f t="shared" si="265"/>
        <v>4000</v>
      </c>
      <c r="AB96" s="75">
        <f t="shared" si="265"/>
        <v>4000</v>
      </c>
      <c r="AC96" s="75">
        <f t="shared" si="265"/>
        <v>4000</v>
      </c>
      <c r="AD96" s="75">
        <f t="shared" si="265"/>
        <v>4000</v>
      </c>
      <c r="AE96" s="75">
        <f t="shared" si="265"/>
        <v>6000</v>
      </c>
      <c r="AF96" s="75">
        <f t="shared" si="265"/>
        <v>4000</v>
      </c>
      <c r="AG96" s="75">
        <f t="shared" si="265"/>
        <v>6000</v>
      </c>
      <c r="AH96" s="271">
        <f t="shared" ref="AH96:AH98" si="267">AG96</f>
        <v>6000</v>
      </c>
      <c r="AI96" s="75">
        <f t="shared" si="265"/>
        <v>4000</v>
      </c>
      <c r="AJ96" s="75">
        <f t="shared" si="265"/>
        <v>6000</v>
      </c>
      <c r="AK96" s="75">
        <f t="shared" si="265"/>
        <v>6000</v>
      </c>
      <c r="AL96" s="75">
        <f t="shared" si="265"/>
        <v>4000</v>
      </c>
      <c r="AM96" s="75">
        <f t="shared" si="265"/>
        <v>6000</v>
      </c>
      <c r="AN96" s="75">
        <f t="shared" si="265"/>
        <v>4000</v>
      </c>
      <c r="AO96" s="75">
        <f t="shared" si="265"/>
        <v>6000</v>
      </c>
      <c r="AP96" s="75">
        <f t="shared" si="265"/>
        <v>6000</v>
      </c>
      <c r="AQ96" s="75">
        <f t="shared" si="265"/>
        <v>6000</v>
      </c>
      <c r="AR96" s="75">
        <f t="shared" si="265"/>
        <v>6000</v>
      </c>
      <c r="AS96" s="75">
        <f t="shared" si="265"/>
        <v>6000</v>
      </c>
      <c r="AT96" s="75">
        <f t="shared" si="265"/>
        <v>6000</v>
      </c>
      <c r="AU96" s="271">
        <f t="shared" ref="AU96:AU98" si="268">AT96</f>
        <v>6000</v>
      </c>
    </row>
    <row r="97" spans="2:47" hidden="1" x14ac:dyDescent="0.2">
      <c r="B97" t="s">
        <v>336</v>
      </c>
      <c r="C97" s="75">
        <f>C33</f>
        <v>0</v>
      </c>
      <c r="D97" s="75">
        <f t="shared" ref="D97:G97" si="269">D33</f>
        <v>0</v>
      </c>
      <c r="E97" s="75">
        <f>E33</f>
        <v>2000</v>
      </c>
      <c r="F97" s="75">
        <f t="shared" si="269"/>
        <v>0</v>
      </c>
      <c r="G97" s="75">
        <f t="shared" si="269"/>
        <v>2000</v>
      </c>
      <c r="H97" s="271">
        <f t="shared" si="264"/>
        <v>2000</v>
      </c>
      <c r="I97" s="75">
        <f t="shared" ref="I97:AT97" si="270">I33</f>
        <v>2000</v>
      </c>
      <c r="J97" s="75">
        <f t="shared" si="270"/>
        <v>0</v>
      </c>
      <c r="K97" s="75">
        <f t="shared" si="270"/>
        <v>2000</v>
      </c>
      <c r="L97" s="75">
        <f t="shared" si="270"/>
        <v>0</v>
      </c>
      <c r="M97" s="75">
        <f t="shared" si="270"/>
        <v>2000</v>
      </c>
      <c r="N97" s="75">
        <f t="shared" si="270"/>
        <v>2000</v>
      </c>
      <c r="O97" s="75">
        <f t="shared" si="270"/>
        <v>2000</v>
      </c>
      <c r="P97" s="75">
        <f t="shared" si="270"/>
        <v>2000</v>
      </c>
      <c r="Q97" s="75">
        <f t="shared" si="270"/>
        <v>2000</v>
      </c>
      <c r="R97" s="75">
        <f t="shared" si="270"/>
        <v>0</v>
      </c>
      <c r="S97" s="75">
        <f t="shared" si="270"/>
        <v>2000</v>
      </c>
      <c r="T97" s="75">
        <f t="shared" si="270"/>
        <v>2000</v>
      </c>
      <c r="U97" s="271">
        <f t="shared" si="266"/>
        <v>2000</v>
      </c>
      <c r="V97" s="75">
        <f t="shared" si="270"/>
        <v>2000</v>
      </c>
      <c r="W97" s="75">
        <f t="shared" si="270"/>
        <v>0</v>
      </c>
      <c r="X97" s="75">
        <f t="shared" si="270"/>
        <v>2000</v>
      </c>
      <c r="Y97" s="75">
        <f t="shared" si="270"/>
        <v>2000</v>
      </c>
      <c r="Z97" s="75">
        <f t="shared" si="270"/>
        <v>2000</v>
      </c>
      <c r="AA97" s="75">
        <f t="shared" si="270"/>
        <v>2000</v>
      </c>
      <c r="AB97" s="75">
        <f t="shared" si="270"/>
        <v>2000</v>
      </c>
      <c r="AC97" s="75">
        <f t="shared" si="270"/>
        <v>2000</v>
      </c>
      <c r="AD97" s="75">
        <f t="shared" si="270"/>
        <v>2000</v>
      </c>
      <c r="AE97" s="75">
        <f t="shared" si="270"/>
        <v>2000</v>
      </c>
      <c r="AF97" s="75">
        <f t="shared" si="270"/>
        <v>2000</v>
      </c>
      <c r="AG97" s="75">
        <f t="shared" si="270"/>
        <v>2000</v>
      </c>
      <c r="AH97" s="271">
        <f t="shared" si="267"/>
        <v>2000</v>
      </c>
      <c r="AI97" s="75">
        <f t="shared" si="270"/>
        <v>2000</v>
      </c>
      <c r="AJ97" s="75">
        <f t="shared" si="270"/>
        <v>2000</v>
      </c>
      <c r="AK97" s="75">
        <f t="shared" si="270"/>
        <v>4000</v>
      </c>
      <c r="AL97" s="75">
        <f t="shared" si="270"/>
        <v>2000</v>
      </c>
      <c r="AM97" s="75">
        <f t="shared" si="270"/>
        <v>2000</v>
      </c>
      <c r="AN97" s="75">
        <f t="shared" si="270"/>
        <v>4000</v>
      </c>
      <c r="AO97" s="75">
        <f t="shared" si="270"/>
        <v>4000</v>
      </c>
      <c r="AP97" s="75">
        <f t="shared" si="270"/>
        <v>2000</v>
      </c>
      <c r="AQ97" s="75">
        <f t="shared" si="270"/>
        <v>4000</v>
      </c>
      <c r="AR97" s="75">
        <f t="shared" si="270"/>
        <v>2000</v>
      </c>
      <c r="AS97" s="75">
        <f t="shared" si="270"/>
        <v>4000</v>
      </c>
      <c r="AT97" s="75">
        <f t="shared" si="270"/>
        <v>4000</v>
      </c>
      <c r="AU97" s="271">
        <f t="shared" si="268"/>
        <v>4000</v>
      </c>
    </row>
    <row r="98" spans="2:47" hidden="1" x14ac:dyDescent="0.2">
      <c r="B98" s="114" t="s">
        <v>337</v>
      </c>
      <c r="C98" s="144">
        <f>C39</f>
        <v>0</v>
      </c>
      <c r="D98" s="144">
        <f t="shared" ref="D98:G98" si="271">D39</f>
        <v>0</v>
      </c>
      <c r="E98" s="144">
        <f>E39</f>
        <v>0</v>
      </c>
      <c r="F98" s="144">
        <f t="shared" si="271"/>
        <v>0</v>
      </c>
      <c r="G98" s="144">
        <f t="shared" si="271"/>
        <v>3000</v>
      </c>
      <c r="H98" s="272">
        <f t="shared" si="264"/>
        <v>3000</v>
      </c>
      <c r="I98" s="144">
        <f t="shared" ref="I98:AT98" si="272">I39</f>
        <v>0</v>
      </c>
      <c r="J98" s="144">
        <f t="shared" si="272"/>
        <v>3000</v>
      </c>
      <c r="K98" s="144">
        <f t="shared" si="272"/>
        <v>0</v>
      </c>
      <c r="L98" s="144">
        <f t="shared" si="272"/>
        <v>3000</v>
      </c>
      <c r="M98" s="144">
        <f t="shared" si="272"/>
        <v>0</v>
      </c>
      <c r="N98" s="144">
        <f t="shared" si="272"/>
        <v>0</v>
      </c>
      <c r="O98" s="144">
        <f t="shared" si="272"/>
        <v>3000</v>
      </c>
      <c r="P98" s="144">
        <f t="shared" si="272"/>
        <v>0</v>
      </c>
      <c r="Q98" s="144">
        <f t="shared" si="272"/>
        <v>3000</v>
      </c>
      <c r="R98" s="144">
        <f t="shared" si="272"/>
        <v>3000</v>
      </c>
      <c r="S98" s="144">
        <f t="shared" si="272"/>
        <v>0</v>
      </c>
      <c r="T98" s="144">
        <f t="shared" si="272"/>
        <v>3000</v>
      </c>
      <c r="U98" s="272">
        <f t="shared" si="266"/>
        <v>3000</v>
      </c>
      <c r="V98" s="144">
        <f t="shared" si="272"/>
        <v>0</v>
      </c>
      <c r="W98" s="144">
        <f t="shared" si="272"/>
        <v>3000</v>
      </c>
      <c r="X98" s="144">
        <f t="shared" si="272"/>
        <v>0</v>
      </c>
      <c r="Y98" s="144">
        <f t="shared" si="272"/>
        <v>3000</v>
      </c>
      <c r="Z98" s="144">
        <f t="shared" si="272"/>
        <v>0</v>
      </c>
      <c r="AA98" s="144">
        <f t="shared" si="272"/>
        <v>3000</v>
      </c>
      <c r="AB98" s="144">
        <f t="shared" si="272"/>
        <v>3000</v>
      </c>
      <c r="AC98" s="144">
        <f t="shared" si="272"/>
        <v>0</v>
      </c>
      <c r="AD98" s="144">
        <f t="shared" si="272"/>
        <v>3000</v>
      </c>
      <c r="AE98" s="144">
        <f t="shared" si="272"/>
        <v>3000</v>
      </c>
      <c r="AF98" s="144">
        <f t="shared" si="272"/>
        <v>0</v>
      </c>
      <c r="AG98" s="144">
        <f t="shared" si="272"/>
        <v>6000</v>
      </c>
      <c r="AH98" s="272">
        <f t="shared" si="267"/>
        <v>6000</v>
      </c>
      <c r="AI98" s="144">
        <f t="shared" si="272"/>
        <v>3000</v>
      </c>
      <c r="AJ98" s="144">
        <f t="shared" si="272"/>
        <v>0</v>
      </c>
      <c r="AK98" s="144">
        <f t="shared" si="272"/>
        <v>3000</v>
      </c>
      <c r="AL98" s="144">
        <f t="shared" si="272"/>
        <v>3000</v>
      </c>
      <c r="AM98" s="144">
        <f t="shared" si="272"/>
        <v>3000</v>
      </c>
      <c r="AN98" s="144">
        <f t="shared" si="272"/>
        <v>3000</v>
      </c>
      <c r="AO98" s="144">
        <f t="shared" si="272"/>
        <v>3000</v>
      </c>
      <c r="AP98" s="144">
        <f t="shared" si="272"/>
        <v>3000</v>
      </c>
      <c r="AQ98" s="144">
        <f t="shared" si="272"/>
        <v>3000</v>
      </c>
      <c r="AR98" s="144">
        <f t="shared" si="272"/>
        <v>3000</v>
      </c>
      <c r="AS98" s="144">
        <f t="shared" si="272"/>
        <v>3000</v>
      </c>
      <c r="AT98" s="144">
        <f t="shared" si="272"/>
        <v>3000</v>
      </c>
      <c r="AU98" s="272">
        <f t="shared" si="268"/>
        <v>3000</v>
      </c>
    </row>
    <row r="99" spans="2:47" hidden="1" x14ac:dyDescent="0.2">
      <c r="B99" s="6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</row>
    <row r="100" spans="2:47" hidden="1" x14ac:dyDescent="0.2">
      <c r="B100" s="6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</row>
    <row r="101" spans="2:47" hidden="1" x14ac:dyDescent="0.2">
      <c r="B101" s="204" t="s">
        <v>114</v>
      </c>
      <c r="C101" s="287">
        <f>Assumptions!J60</f>
        <v>8.8999999999999996E-2</v>
      </c>
      <c r="D101" s="287">
        <f>Assumptions!K60</f>
        <v>8.8999999999999996E-2</v>
      </c>
      <c r="E101" s="287">
        <f>Assumptions!L60</f>
        <v>8.8999999999999996E-2</v>
      </c>
      <c r="F101" s="287">
        <f>Assumptions!M60</f>
        <v>8.8999999999999996E-2</v>
      </c>
      <c r="G101" s="287">
        <f>Assumptions!N60</f>
        <v>8.8999999999999996E-2</v>
      </c>
      <c r="H101" s="287">
        <f>Assumptions!O60</f>
        <v>8.8999999999999996E-2</v>
      </c>
      <c r="I101" s="287">
        <f>Assumptions!P60</f>
        <v>8.8999999999999996E-2</v>
      </c>
      <c r="J101" s="287">
        <f>Assumptions!Q60</f>
        <v>8.8999999999999996E-2</v>
      </c>
      <c r="K101" s="287">
        <f>Assumptions!R60</f>
        <v>8.8999999999999996E-2</v>
      </c>
      <c r="L101" s="287">
        <f>Assumptions!S60</f>
        <v>8.8999999999999996E-2</v>
      </c>
      <c r="M101" s="287">
        <f>Assumptions!T60</f>
        <v>8.8999999999999996E-2</v>
      </c>
      <c r="N101" s="287">
        <f>Assumptions!U60</f>
        <v>8.8999999999999996E-2</v>
      </c>
      <c r="O101" s="287">
        <f>Assumptions!V60</f>
        <v>8.8999999999999996E-2</v>
      </c>
      <c r="P101" s="287">
        <f>Assumptions!W60</f>
        <v>8.8999999999999996E-2</v>
      </c>
      <c r="Q101" s="287">
        <f>Assumptions!X60</f>
        <v>8.8999999999999996E-2</v>
      </c>
      <c r="R101" s="287">
        <f>Assumptions!Y60</f>
        <v>8.8999999999999996E-2</v>
      </c>
      <c r="S101" s="287">
        <f>Assumptions!Z60</f>
        <v>8.8999999999999996E-2</v>
      </c>
      <c r="T101" s="287">
        <f>Assumptions!AA60</f>
        <v>8.8999999999999996E-2</v>
      </c>
      <c r="U101" s="287">
        <f>Assumptions!AB60</f>
        <v>8.8999999999999996E-2</v>
      </c>
      <c r="V101" s="287">
        <f>Assumptions!AC60</f>
        <v>8.8999999999999996E-2</v>
      </c>
      <c r="W101" s="287">
        <f>Assumptions!AD60</f>
        <v>8.8999999999999996E-2</v>
      </c>
      <c r="X101" s="287">
        <f>Assumptions!AE60</f>
        <v>8.8999999999999996E-2</v>
      </c>
      <c r="Y101" s="287">
        <f>Assumptions!AF60</f>
        <v>8.8999999999999996E-2</v>
      </c>
      <c r="Z101" s="287">
        <f>Assumptions!AG60</f>
        <v>8.8999999999999996E-2</v>
      </c>
      <c r="AA101" s="287">
        <f>Assumptions!AH60</f>
        <v>8.8999999999999996E-2</v>
      </c>
      <c r="AB101" s="287">
        <f>Assumptions!AI60</f>
        <v>8.8999999999999996E-2</v>
      </c>
      <c r="AC101" s="287">
        <f>Assumptions!AJ60</f>
        <v>8.8999999999999996E-2</v>
      </c>
      <c r="AD101" s="287">
        <f>Assumptions!AK60</f>
        <v>8.8999999999999996E-2</v>
      </c>
      <c r="AE101" s="287">
        <f>Assumptions!AL60</f>
        <v>8.8999999999999996E-2</v>
      </c>
      <c r="AF101" s="287">
        <f>Assumptions!AM60</f>
        <v>8.8999999999999996E-2</v>
      </c>
      <c r="AG101" s="287">
        <f>Assumptions!AN60</f>
        <v>8.8999999999999996E-2</v>
      </c>
      <c r="AH101" s="287">
        <f>Assumptions!AO60</f>
        <v>8.8999999999999996E-2</v>
      </c>
      <c r="AI101" s="287">
        <f>Assumptions!AP60</f>
        <v>8.8999999999999996E-2</v>
      </c>
      <c r="AJ101" s="287">
        <f>Assumptions!AQ60</f>
        <v>8.8999999999999996E-2</v>
      </c>
      <c r="AK101" s="287">
        <f>Assumptions!AR60</f>
        <v>8.8999999999999996E-2</v>
      </c>
      <c r="AL101" s="287">
        <f>Assumptions!AS60</f>
        <v>8.8999999999999996E-2</v>
      </c>
      <c r="AM101" s="287">
        <f>Assumptions!AT60</f>
        <v>8.8999999999999996E-2</v>
      </c>
      <c r="AN101" s="287">
        <f>Assumptions!AU60</f>
        <v>8.8999999999999996E-2</v>
      </c>
      <c r="AO101" s="287">
        <f>Assumptions!AV60</f>
        <v>8.8999999999999996E-2</v>
      </c>
      <c r="AP101" s="287">
        <f>Assumptions!AW60</f>
        <v>8.8999999999999996E-2</v>
      </c>
      <c r="AQ101" s="287">
        <f>Assumptions!AX60</f>
        <v>8.8999999999999996E-2</v>
      </c>
      <c r="AR101" s="287">
        <f>Assumptions!AY60</f>
        <v>8.8999999999999996E-2</v>
      </c>
      <c r="AS101" s="287">
        <f>Assumptions!AZ60</f>
        <v>8.8999999999999996E-2</v>
      </c>
      <c r="AT101" s="287">
        <f>Assumptions!BA60</f>
        <v>8.8999999999999996E-2</v>
      </c>
      <c r="AU101" s="287">
        <f>Assumptions!BB60</f>
        <v>8.8999999999999996E-2</v>
      </c>
    </row>
    <row r="102" spans="2:47" hidden="1" x14ac:dyDescent="0.2">
      <c r="B102" s="6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</row>
    <row r="103" spans="2:47" hidden="1" x14ac:dyDescent="0.2">
      <c r="B103" s="6" t="s">
        <v>325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</row>
    <row r="104" spans="2:47" hidden="1" x14ac:dyDescent="0.2">
      <c r="B104" t="s">
        <v>334</v>
      </c>
      <c r="C104" s="75">
        <f>C22</f>
        <v>0</v>
      </c>
      <c r="D104" s="75">
        <f t="shared" ref="D104:G104" si="273">D22</f>
        <v>-614</v>
      </c>
      <c r="E104" s="75">
        <f t="shared" si="273"/>
        <v>-941</v>
      </c>
      <c r="F104" s="75">
        <f t="shared" si="273"/>
        <v>-1269</v>
      </c>
      <c r="G104" s="75">
        <f t="shared" si="273"/>
        <v>-1596</v>
      </c>
      <c r="H104" s="271">
        <f>G104</f>
        <v>-1596</v>
      </c>
      <c r="I104" s="75">
        <f t="shared" ref="I104:AT104" si="274">I22</f>
        <v>-1922</v>
      </c>
      <c r="J104" s="75">
        <f t="shared" si="274"/>
        <v>-2250.0001151161018</v>
      </c>
      <c r="K104" s="75">
        <f t="shared" si="274"/>
        <v>-2250.0001151161018</v>
      </c>
      <c r="L104" s="75">
        <f t="shared" si="274"/>
        <v>-2250.0001151161018</v>
      </c>
      <c r="M104" s="75">
        <f t="shared" si="274"/>
        <v>-2250.0001151161018</v>
      </c>
      <c r="N104" s="75">
        <f t="shared" si="274"/>
        <v>-2250.0001151161018</v>
      </c>
      <c r="O104" s="75">
        <f t="shared" si="274"/>
        <v>-2250.0001151161018</v>
      </c>
      <c r="P104" s="75">
        <f t="shared" si="274"/>
        <v>-2250.0001151161018</v>
      </c>
      <c r="Q104" s="75">
        <f t="shared" si="274"/>
        <v>-2250.0001151161018</v>
      </c>
      <c r="R104" s="75">
        <f t="shared" si="274"/>
        <v>-2250.0001151161018</v>
      </c>
      <c r="S104" s="75">
        <f t="shared" si="274"/>
        <v>-2250.0001151161018</v>
      </c>
      <c r="T104" s="75">
        <f t="shared" si="274"/>
        <v>-2250.0001151161018</v>
      </c>
      <c r="U104" s="271">
        <f>T104</f>
        <v>-2250.0001151161018</v>
      </c>
      <c r="V104" s="75">
        <f t="shared" si="274"/>
        <v>-2250.0001151161018</v>
      </c>
      <c r="W104" s="75">
        <f t="shared" si="274"/>
        <v>-2250.0001151161018</v>
      </c>
      <c r="X104" s="75">
        <f t="shared" si="274"/>
        <v>-2368</v>
      </c>
      <c r="Y104" s="75">
        <f t="shared" si="274"/>
        <v>-2486</v>
      </c>
      <c r="Z104" s="75">
        <f t="shared" si="274"/>
        <v>-2605</v>
      </c>
      <c r="AA104" s="75">
        <f t="shared" si="274"/>
        <v>-2723</v>
      </c>
      <c r="AB104" s="75">
        <f t="shared" si="274"/>
        <v>-2841</v>
      </c>
      <c r="AC104" s="75">
        <f t="shared" si="274"/>
        <v>-2960</v>
      </c>
      <c r="AD104" s="75">
        <f t="shared" si="274"/>
        <v>-3078</v>
      </c>
      <c r="AE104" s="75">
        <f t="shared" si="274"/>
        <v>-3196</v>
      </c>
      <c r="AF104" s="75">
        <f t="shared" si="274"/>
        <v>-3315</v>
      </c>
      <c r="AG104" s="75">
        <f t="shared" si="274"/>
        <v>-3433</v>
      </c>
      <c r="AH104" s="271">
        <f>AG104</f>
        <v>-3433</v>
      </c>
      <c r="AI104" s="75">
        <f t="shared" si="274"/>
        <v>-3552</v>
      </c>
      <c r="AJ104" s="75">
        <f t="shared" si="274"/>
        <v>-3670</v>
      </c>
      <c r="AK104" s="75">
        <f t="shared" si="274"/>
        <v>-3788</v>
      </c>
      <c r="AL104" s="75">
        <f t="shared" si="274"/>
        <v>-3907</v>
      </c>
      <c r="AM104" s="75">
        <f t="shared" si="274"/>
        <v>-4025</v>
      </c>
      <c r="AN104" s="75">
        <f t="shared" si="274"/>
        <v>-4143</v>
      </c>
      <c r="AO104" s="75">
        <f t="shared" si="274"/>
        <v>-4262</v>
      </c>
      <c r="AP104" s="75">
        <f t="shared" si="274"/>
        <v>-4500.0001674415998</v>
      </c>
      <c r="AQ104" s="75">
        <f t="shared" si="274"/>
        <v>-4500.0001674415998</v>
      </c>
      <c r="AR104" s="75">
        <f t="shared" si="274"/>
        <v>-4500.0001674415998</v>
      </c>
      <c r="AS104" s="75">
        <f t="shared" si="274"/>
        <v>-4500.0001674415998</v>
      </c>
      <c r="AT104" s="75">
        <f t="shared" si="274"/>
        <v>-4500.0001674415998</v>
      </c>
      <c r="AU104" s="271">
        <f>AT104</f>
        <v>-4500.0001674415998</v>
      </c>
    </row>
    <row r="105" spans="2:47" hidden="1" x14ac:dyDescent="0.2">
      <c r="B105" t="s">
        <v>335</v>
      </c>
      <c r="C105" s="75">
        <f>C28</f>
        <v>0</v>
      </c>
      <c r="D105" s="75">
        <f t="shared" ref="D105:G105" si="275">D28</f>
        <v>-818</v>
      </c>
      <c r="E105" s="75">
        <f t="shared" si="275"/>
        <v>-1255</v>
      </c>
      <c r="F105" s="75">
        <f t="shared" si="275"/>
        <v>-1691</v>
      </c>
      <c r="G105" s="75">
        <f t="shared" si="275"/>
        <v>-2128</v>
      </c>
      <c r="H105" s="271">
        <f t="shared" ref="H105:H107" si="276">G105</f>
        <v>-2128</v>
      </c>
      <c r="I105" s="75">
        <f t="shared" ref="I105:AT105" si="277">I28</f>
        <v>-2564</v>
      </c>
      <c r="J105" s="75">
        <f t="shared" si="277"/>
        <v>-3000</v>
      </c>
      <c r="K105" s="75">
        <f t="shared" si="277"/>
        <v>-3000</v>
      </c>
      <c r="L105" s="75">
        <f t="shared" si="277"/>
        <v>-3000</v>
      </c>
      <c r="M105" s="75">
        <f t="shared" si="277"/>
        <v>-3000</v>
      </c>
      <c r="N105" s="75">
        <f t="shared" si="277"/>
        <v>-3000</v>
      </c>
      <c r="O105" s="75">
        <f t="shared" si="277"/>
        <v>-3000</v>
      </c>
      <c r="P105" s="75">
        <f t="shared" si="277"/>
        <v>-3000</v>
      </c>
      <c r="Q105" s="75">
        <f t="shared" si="277"/>
        <v>-3000</v>
      </c>
      <c r="R105" s="75">
        <f t="shared" si="277"/>
        <v>-3000</v>
      </c>
      <c r="S105" s="75">
        <f t="shared" si="277"/>
        <v>-3000</v>
      </c>
      <c r="T105" s="75">
        <f t="shared" si="277"/>
        <v>-3000</v>
      </c>
      <c r="U105" s="271">
        <f>T105</f>
        <v>-3000</v>
      </c>
      <c r="V105" s="75">
        <f t="shared" si="277"/>
        <v>-3000</v>
      </c>
      <c r="W105" s="75">
        <f t="shared" si="277"/>
        <v>-3000</v>
      </c>
      <c r="X105" s="75">
        <f t="shared" si="277"/>
        <v>-3158</v>
      </c>
      <c r="Y105" s="75">
        <f t="shared" si="277"/>
        <v>-3316</v>
      </c>
      <c r="Z105" s="75">
        <f t="shared" si="277"/>
        <v>-3474</v>
      </c>
      <c r="AA105" s="75">
        <f t="shared" si="277"/>
        <v>-3632</v>
      </c>
      <c r="AB105" s="75">
        <f t="shared" si="277"/>
        <v>-3790</v>
      </c>
      <c r="AC105" s="75">
        <f t="shared" si="277"/>
        <v>-3947</v>
      </c>
      <c r="AD105" s="75">
        <f t="shared" si="277"/>
        <v>-4105</v>
      </c>
      <c r="AE105" s="75">
        <f t="shared" si="277"/>
        <v>-4263</v>
      </c>
      <c r="AF105" s="75">
        <f t="shared" si="277"/>
        <v>-4420</v>
      </c>
      <c r="AG105" s="75">
        <f t="shared" si="277"/>
        <v>-4578</v>
      </c>
      <c r="AH105" s="271">
        <f t="shared" ref="AH105:AH107" si="278">AG105</f>
        <v>-4578</v>
      </c>
      <c r="AI105" s="75">
        <f t="shared" si="277"/>
        <v>-4736</v>
      </c>
      <c r="AJ105" s="75">
        <f t="shared" si="277"/>
        <v>-4894</v>
      </c>
      <c r="AK105" s="75">
        <f t="shared" si="277"/>
        <v>-5052</v>
      </c>
      <c r="AL105" s="75">
        <f t="shared" si="277"/>
        <v>-5210</v>
      </c>
      <c r="AM105" s="75">
        <f t="shared" si="277"/>
        <v>-5368</v>
      </c>
      <c r="AN105" s="75">
        <f t="shared" si="277"/>
        <v>-5526</v>
      </c>
      <c r="AO105" s="75">
        <f t="shared" si="277"/>
        <v>-5683</v>
      </c>
      <c r="AP105" s="75">
        <f t="shared" si="277"/>
        <v>-5999.9999162792001</v>
      </c>
      <c r="AQ105" s="75">
        <f t="shared" si="277"/>
        <v>-5999.9999162792001</v>
      </c>
      <c r="AR105" s="75">
        <f t="shared" si="277"/>
        <v>-5999.9999162792001</v>
      </c>
      <c r="AS105" s="75">
        <f>AS28</f>
        <v>-5999.9999162792001</v>
      </c>
      <c r="AT105" s="75">
        <f t="shared" si="277"/>
        <v>-5999.9999162792001</v>
      </c>
      <c r="AU105" s="271">
        <f t="shared" ref="AU105:AU107" si="279">AT105</f>
        <v>-5999.9999162792001</v>
      </c>
    </row>
    <row r="106" spans="2:47" hidden="1" x14ac:dyDescent="0.2">
      <c r="B106" t="s">
        <v>336</v>
      </c>
      <c r="C106" s="75">
        <f>C34</f>
        <v>0</v>
      </c>
      <c r="D106" s="75">
        <f t="shared" ref="D106:G106" si="280">D34</f>
        <v>-409</v>
      </c>
      <c r="E106" s="75">
        <f t="shared" si="280"/>
        <v>-627</v>
      </c>
      <c r="F106" s="75">
        <f t="shared" si="280"/>
        <v>-845</v>
      </c>
      <c r="G106" s="75">
        <f t="shared" si="280"/>
        <v>-1063</v>
      </c>
      <c r="H106" s="271">
        <f t="shared" si="276"/>
        <v>-1063</v>
      </c>
      <c r="I106" s="75">
        <f t="shared" ref="I106:AT106" si="281">I34</f>
        <v>-1282</v>
      </c>
      <c r="J106" s="75">
        <f t="shared" si="281"/>
        <v>-1500</v>
      </c>
      <c r="K106" s="75">
        <f t="shared" si="281"/>
        <v>-1500</v>
      </c>
      <c r="L106" s="75">
        <f t="shared" si="281"/>
        <v>-1500</v>
      </c>
      <c r="M106" s="75">
        <f t="shared" si="281"/>
        <v>-1500</v>
      </c>
      <c r="N106" s="75">
        <f t="shared" si="281"/>
        <v>-1500</v>
      </c>
      <c r="O106" s="75">
        <f t="shared" si="281"/>
        <v>-1500</v>
      </c>
      <c r="P106" s="75">
        <f t="shared" si="281"/>
        <v>-1500</v>
      </c>
      <c r="Q106" s="75">
        <f t="shared" si="281"/>
        <v>-1500</v>
      </c>
      <c r="R106" s="75">
        <f t="shared" si="281"/>
        <v>-1500</v>
      </c>
      <c r="S106" s="75">
        <f t="shared" si="281"/>
        <v>-1500</v>
      </c>
      <c r="T106" s="75">
        <f t="shared" si="281"/>
        <v>-1500</v>
      </c>
      <c r="U106" s="271">
        <f t="shared" ref="U106:U107" si="282">T106</f>
        <v>-1500</v>
      </c>
      <c r="V106" s="75">
        <f t="shared" si="281"/>
        <v>-1500</v>
      </c>
      <c r="W106" s="75">
        <f t="shared" si="281"/>
        <v>-1500</v>
      </c>
      <c r="X106" s="75">
        <f t="shared" si="281"/>
        <v>-1579</v>
      </c>
      <c r="Y106" s="75">
        <f t="shared" si="281"/>
        <v>-1658</v>
      </c>
      <c r="Z106" s="75">
        <f t="shared" si="281"/>
        <v>-1737</v>
      </c>
      <c r="AA106" s="75">
        <f t="shared" si="281"/>
        <v>-1816</v>
      </c>
      <c r="AB106" s="75">
        <f t="shared" si="281"/>
        <v>-1895</v>
      </c>
      <c r="AC106" s="75">
        <f t="shared" si="281"/>
        <v>-1974</v>
      </c>
      <c r="AD106" s="75">
        <f t="shared" si="281"/>
        <v>-2053</v>
      </c>
      <c r="AE106" s="75">
        <f t="shared" si="281"/>
        <v>-2132</v>
      </c>
      <c r="AF106" s="75">
        <f t="shared" si="281"/>
        <v>-2210</v>
      </c>
      <c r="AG106" s="75">
        <f t="shared" si="281"/>
        <v>-2289</v>
      </c>
      <c r="AH106" s="271">
        <f t="shared" si="278"/>
        <v>-2289</v>
      </c>
      <c r="AI106" s="75">
        <f t="shared" si="281"/>
        <v>-2368</v>
      </c>
      <c r="AJ106" s="75">
        <f t="shared" si="281"/>
        <v>-2447</v>
      </c>
      <c r="AK106" s="75">
        <f t="shared" si="281"/>
        <v>-2526</v>
      </c>
      <c r="AL106" s="75">
        <f t="shared" si="281"/>
        <v>-2604</v>
      </c>
      <c r="AM106" s="75">
        <f t="shared" si="281"/>
        <v>-2683</v>
      </c>
      <c r="AN106" s="75">
        <f t="shared" si="281"/>
        <v>-2762</v>
      </c>
      <c r="AO106" s="75">
        <f t="shared" si="281"/>
        <v>-2841</v>
      </c>
      <c r="AP106" s="75">
        <f t="shared" si="281"/>
        <v>-2999.9999581396</v>
      </c>
      <c r="AQ106" s="75">
        <f t="shared" si="281"/>
        <v>-2999.9999581396</v>
      </c>
      <c r="AR106" s="75">
        <f t="shared" si="281"/>
        <v>-2999.9999581396</v>
      </c>
      <c r="AS106" s="75">
        <f t="shared" si="281"/>
        <v>-2999.9999581396</v>
      </c>
      <c r="AT106" s="75">
        <f t="shared" si="281"/>
        <v>-2999.9999581396</v>
      </c>
      <c r="AU106" s="271">
        <f t="shared" si="279"/>
        <v>-2999.9999581396</v>
      </c>
    </row>
    <row r="107" spans="2:47" hidden="1" x14ac:dyDescent="0.2">
      <c r="B107" s="114" t="s">
        <v>337</v>
      </c>
      <c r="C107" s="144">
        <f>C40</f>
        <v>0</v>
      </c>
      <c r="D107" s="144">
        <f t="shared" ref="D107:G107" si="283">D40</f>
        <v>-409</v>
      </c>
      <c r="E107" s="144">
        <f t="shared" si="283"/>
        <v>-627</v>
      </c>
      <c r="F107" s="144">
        <f t="shared" si="283"/>
        <v>-845</v>
      </c>
      <c r="G107" s="144">
        <f t="shared" si="283"/>
        <v>-1063</v>
      </c>
      <c r="H107" s="272">
        <f t="shared" si="276"/>
        <v>-1063</v>
      </c>
      <c r="I107" s="144">
        <f t="shared" ref="I107:AT107" si="284">I40</f>
        <v>-1282</v>
      </c>
      <c r="J107" s="144">
        <f t="shared" si="284"/>
        <v>-1500</v>
      </c>
      <c r="K107" s="144">
        <f t="shared" si="284"/>
        <v>-1500</v>
      </c>
      <c r="L107" s="144">
        <f t="shared" si="284"/>
        <v>-1500</v>
      </c>
      <c r="M107" s="144">
        <f t="shared" si="284"/>
        <v>-1500</v>
      </c>
      <c r="N107" s="144">
        <f t="shared" si="284"/>
        <v>-1500</v>
      </c>
      <c r="O107" s="144">
        <f t="shared" si="284"/>
        <v>-1500</v>
      </c>
      <c r="P107" s="144">
        <f t="shared" si="284"/>
        <v>-1500</v>
      </c>
      <c r="Q107" s="144">
        <f t="shared" si="284"/>
        <v>-1500</v>
      </c>
      <c r="R107" s="144">
        <f t="shared" si="284"/>
        <v>-1500</v>
      </c>
      <c r="S107" s="144">
        <f t="shared" si="284"/>
        <v>-1500</v>
      </c>
      <c r="T107" s="144">
        <f t="shared" si="284"/>
        <v>-1500</v>
      </c>
      <c r="U107" s="272">
        <f t="shared" si="282"/>
        <v>-1500</v>
      </c>
      <c r="V107" s="144">
        <f t="shared" si="284"/>
        <v>-1500</v>
      </c>
      <c r="W107" s="144">
        <f t="shared" si="284"/>
        <v>-1500</v>
      </c>
      <c r="X107" s="144">
        <f t="shared" si="284"/>
        <v>-1579</v>
      </c>
      <c r="Y107" s="144">
        <f t="shared" si="284"/>
        <v>-1658</v>
      </c>
      <c r="Z107" s="144">
        <f t="shared" si="284"/>
        <v>-1736</v>
      </c>
      <c r="AA107" s="144">
        <f t="shared" si="284"/>
        <v>-1815</v>
      </c>
      <c r="AB107" s="144">
        <f t="shared" si="284"/>
        <v>-1894</v>
      </c>
      <c r="AC107" s="144">
        <f t="shared" si="284"/>
        <v>-1973</v>
      </c>
      <c r="AD107" s="144">
        <f t="shared" si="284"/>
        <v>-2052</v>
      </c>
      <c r="AE107" s="144">
        <f t="shared" si="284"/>
        <v>-2131</v>
      </c>
      <c r="AF107" s="144">
        <f t="shared" si="284"/>
        <v>-2211</v>
      </c>
      <c r="AG107" s="144">
        <f t="shared" si="284"/>
        <v>-2290</v>
      </c>
      <c r="AH107" s="272">
        <f t="shared" si="278"/>
        <v>-2290</v>
      </c>
      <c r="AI107" s="144">
        <f t="shared" si="284"/>
        <v>-2368</v>
      </c>
      <c r="AJ107" s="144">
        <f t="shared" si="284"/>
        <v>-2447</v>
      </c>
      <c r="AK107" s="144">
        <f t="shared" si="284"/>
        <v>-2526</v>
      </c>
      <c r="AL107" s="144">
        <f t="shared" si="284"/>
        <v>-2605</v>
      </c>
      <c r="AM107" s="144">
        <f t="shared" si="284"/>
        <v>-2684</v>
      </c>
      <c r="AN107" s="144">
        <f t="shared" si="284"/>
        <v>-2763</v>
      </c>
      <c r="AO107" s="144">
        <f t="shared" si="284"/>
        <v>-2842</v>
      </c>
      <c r="AP107" s="144">
        <f t="shared" si="284"/>
        <v>-2999.9999581396</v>
      </c>
      <c r="AQ107" s="144">
        <f t="shared" si="284"/>
        <v>-2999.9999581396</v>
      </c>
      <c r="AR107" s="144">
        <f t="shared" si="284"/>
        <v>-2999.9999581396</v>
      </c>
      <c r="AS107" s="144">
        <f t="shared" si="284"/>
        <v>-2999.9999581396</v>
      </c>
      <c r="AT107" s="144">
        <f t="shared" si="284"/>
        <v>-2999.9999581396</v>
      </c>
      <c r="AU107" s="272">
        <f t="shared" si="279"/>
        <v>-2999.9999581396</v>
      </c>
    </row>
    <row r="108" spans="2:47" hidden="1" x14ac:dyDescent="0.2">
      <c r="B108" s="6" t="s">
        <v>145</v>
      </c>
    </row>
    <row r="109" spans="2:47" hidden="1" x14ac:dyDescent="0.2"/>
    <row r="110" spans="2:47" hidden="1" x14ac:dyDescent="0.2">
      <c r="B110" s="6" t="s">
        <v>364</v>
      </c>
    </row>
    <row r="111" spans="2:47" hidden="1" x14ac:dyDescent="0.2">
      <c r="B111" t="s">
        <v>334</v>
      </c>
      <c r="C111" s="75">
        <f t="shared" ref="C111:G114" si="285">C14</f>
        <v>2000</v>
      </c>
      <c r="D111" s="75">
        <f>D14</f>
        <v>1386</v>
      </c>
      <c r="E111" s="75">
        <f t="shared" si="285"/>
        <v>2445</v>
      </c>
      <c r="F111" s="75">
        <f t="shared" si="285"/>
        <v>1176</v>
      </c>
      <c r="G111" s="75">
        <f t="shared" si="285"/>
        <v>1580</v>
      </c>
      <c r="H111" s="271">
        <f>G111</f>
        <v>1580</v>
      </c>
      <c r="I111" s="75">
        <f t="shared" ref="I111:T111" si="286">I14</f>
        <v>1658</v>
      </c>
      <c r="J111" s="75">
        <f t="shared" si="286"/>
        <v>3407.9998848838982</v>
      </c>
      <c r="K111" s="75">
        <f t="shared" si="286"/>
        <v>3157.9997697677968</v>
      </c>
      <c r="L111" s="75">
        <f t="shared" si="286"/>
        <v>4907.9996546516959</v>
      </c>
      <c r="M111" s="75">
        <f t="shared" si="286"/>
        <v>4657.9995395355945</v>
      </c>
      <c r="N111" s="75">
        <f t="shared" si="286"/>
        <v>4407.9994244194932</v>
      </c>
      <c r="O111" s="75">
        <f t="shared" si="286"/>
        <v>4157.9993093033918</v>
      </c>
      <c r="P111" s="75">
        <f t="shared" si="286"/>
        <v>3907.99919418729</v>
      </c>
      <c r="Q111" s="75">
        <f t="shared" si="286"/>
        <v>3657.9990790711886</v>
      </c>
      <c r="R111" s="75">
        <f t="shared" si="286"/>
        <v>3407.9989639550872</v>
      </c>
      <c r="S111" s="75">
        <f t="shared" si="286"/>
        <v>3157.9988488389859</v>
      </c>
      <c r="T111" s="75">
        <f t="shared" si="286"/>
        <v>2907.9987337228845</v>
      </c>
      <c r="U111" s="271">
        <f>T111</f>
        <v>2907.9987337228845</v>
      </c>
      <c r="V111" s="75">
        <f t="shared" ref="V111:AG111" si="287">V14</f>
        <v>4657.9986186067836</v>
      </c>
      <c r="W111" s="75">
        <f t="shared" si="287"/>
        <v>4407.9985034906822</v>
      </c>
      <c r="X111" s="75">
        <f t="shared" si="287"/>
        <v>4039.9985034906822</v>
      </c>
      <c r="Y111" s="75">
        <f t="shared" si="287"/>
        <v>3553.9985034906822</v>
      </c>
      <c r="Z111" s="75">
        <f t="shared" si="287"/>
        <v>4948.9985034906822</v>
      </c>
      <c r="AA111" s="75">
        <f t="shared" si="287"/>
        <v>4225.9985034906822</v>
      </c>
      <c r="AB111" s="75">
        <f t="shared" si="287"/>
        <v>3384.9985034906822</v>
      </c>
      <c r="AC111" s="75">
        <f t="shared" si="287"/>
        <v>2424.9985034906822</v>
      </c>
      <c r="AD111" s="75">
        <f t="shared" si="287"/>
        <v>3346.9985034906822</v>
      </c>
      <c r="AE111" s="75">
        <f t="shared" si="287"/>
        <v>4150.9985034906822</v>
      </c>
      <c r="AF111" s="75">
        <f t="shared" si="287"/>
        <v>4835.9985034906822</v>
      </c>
      <c r="AG111" s="75">
        <f t="shared" si="287"/>
        <v>3402.9985034906822</v>
      </c>
      <c r="AH111" s="271">
        <f>AG111</f>
        <v>3402.9985034906822</v>
      </c>
      <c r="AI111" s="75">
        <f t="shared" ref="AI111:AT111" si="288">AI14</f>
        <v>3850.9985034906822</v>
      </c>
      <c r="AJ111" s="75">
        <f t="shared" si="288"/>
        <v>4180.9985034906822</v>
      </c>
      <c r="AK111" s="75">
        <f t="shared" si="288"/>
        <v>4392.9985034906822</v>
      </c>
      <c r="AL111" s="75">
        <f t="shared" si="288"/>
        <v>4485.9985034906822</v>
      </c>
      <c r="AM111" s="75">
        <f t="shared" si="288"/>
        <v>4460.9985034906822</v>
      </c>
      <c r="AN111" s="75">
        <f t="shared" si="288"/>
        <v>4317.9985034906822</v>
      </c>
      <c r="AO111" s="75">
        <f t="shared" si="288"/>
        <v>4055.9985034906822</v>
      </c>
      <c r="AP111" s="75">
        <f t="shared" si="288"/>
        <v>3555.9983360490824</v>
      </c>
      <c r="AQ111" s="75">
        <f t="shared" si="288"/>
        <v>5055.9981686074825</v>
      </c>
      <c r="AR111" s="75">
        <f t="shared" si="288"/>
        <v>4555.9980011658827</v>
      </c>
      <c r="AS111" s="75">
        <f t="shared" si="288"/>
        <v>4055.9978337242828</v>
      </c>
      <c r="AT111" s="75">
        <f t="shared" si="288"/>
        <v>5555.997666282683</v>
      </c>
      <c r="AU111" s="271">
        <f>AT111</f>
        <v>5555.997666282683</v>
      </c>
    </row>
    <row r="112" spans="2:47" hidden="1" x14ac:dyDescent="0.2">
      <c r="B112" t="s">
        <v>335</v>
      </c>
      <c r="C112" s="75">
        <f t="shared" si="285"/>
        <v>2000</v>
      </c>
      <c r="D112" s="75">
        <f t="shared" si="285"/>
        <v>1182</v>
      </c>
      <c r="E112" s="75">
        <f t="shared" si="285"/>
        <v>1927</v>
      </c>
      <c r="F112" s="75">
        <f t="shared" si="285"/>
        <v>2236</v>
      </c>
      <c r="G112" s="75">
        <f t="shared" si="285"/>
        <v>2108</v>
      </c>
      <c r="H112" s="271">
        <f t="shared" ref="H112:H114" si="289">G112</f>
        <v>2108</v>
      </c>
      <c r="I112" s="75">
        <f t="shared" ref="I112:T112" si="290">I15</f>
        <v>3544</v>
      </c>
      <c r="J112" s="75">
        <f t="shared" si="290"/>
        <v>4544</v>
      </c>
      <c r="K112" s="75">
        <f t="shared" si="290"/>
        <v>3544</v>
      </c>
      <c r="L112" s="75">
        <f t="shared" si="290"/>
        <v>4544</v>
      </c>
      <c r="M112" s="75">
        <f t="shared" si="290"/>
        <v>3544</v>
      </c>
      <c r="N112" s="75">
        <f t="shared" si="290"/>
        <v>4544</v>
      </c>
      <c r="O112" s="75">
        <f t="shared" si="290"/>
        <v>3544</v>
      </c>
      <c r="P112" s="75">
        <f t="shared" si="290"/>
        <v>4544</v>
      </c>
      <c r="Q112" s="75">
        <f t="shared" si="290"/>
        <v>3544</v>
      </c>
      <c r="R112" s="75">
        <f t="shared" si="290"/>
        <v>4544</v>
      </c>
      <c r="S112" s="75">
        <f t="shared" si="290"/>
        <v>3544</v>
      </c>
      <c r="T112" s="75">
        <f t="shared" si="290"/>
        <v>4544</v>
      </c>
      <c r="U112" s="271">
        <f t="shared" ref="U112:U114" si="291">T112</f>
        <v>4544</v>
      </c>
      <c r="V112" s="75">
        <f t="shared" ref="V112:AG112" si="292">V15</f>
        <v>5544</v>
      </c>
      <c r="W112" s="75">
        <f t="shared" si="292"/>
        <v>4544</v>
      </c>
      <c r="X112" s="75">
        <f t="shared" si="292"/>
        <v>5386</v>
      </c>
      <c r="Y112" s="75">
        <f t="shared" si="292"/>
        <v>4070</v>
      </c>
      <c r="Z112" s="75">
        <f t="shared" si="292"/>
        <v>2596</v>
      </c>
      <c r="AA112" s="75">
        <f t="shared" si="292"/>
        <v>2964</v>
      </c>
      <c r="AB112" s="75">
        <f t="shared" si="292"/>
        <v>3174</v>
      </c>
      <c r="AC112" s="75">
        <f t="shared" si="292"/>
        <v>3227</v>
      </c>
      <c r="AD112" s="75">
        <f t="shared" si="292"/>
        <v>3122</v>
      </c>
      <c r="AE112" s="75">
        <f t="shared" si="292"/>
        <v>4859</v>
      </c>
      <c r="AF112" s="75">
        <f t="shared" si="292"/>
        <v>4439</v>
      </c>
      <c r="AG112" s="75">
        <f t="shared" si="292"/>
        <v>5861</v>
      </c>
      <c r="AH112" s="271">
        <f t="shared" ref="AH112:AH114" si="293">AG112</f>
        <v>5861</v>
      </c>
      <c r="AI112" s="75">
        <f t="shared" ref="AI112:AT112" si="294">AI15</f>
        <v>5125</v>
      </c>
      <c r="AJ112" s="75">
        <f t="shared" si="294"/>
        <v>6231</v>
      </c>
      <c r="AK112" s="75">
        <f t="shared" si="294"/>
        <v>7179</v>
      </c>
      <c r="AL112" s="75">
        <f t="shared" si="294"/>
        <v>5969</v>
      </c>
      <c r="AM112" s="75">
        <f t="shared" si="294"/>
        <v>6601</v>
      </c>
      <c r="AN112" s="75">
        <f t="shared" si="294"/>
        <v>5075</v>
      </c>
      <c r="AO112" s="75">
        <f t="shared" si="294"/>
        <v>5392</v>
      </c>
      <c r="AP112" s="75">
        <f t="shared" si="294"/>
        <v>5392.0000837207999</v>
      </c>
      <c r="AQ112" s="75">
        <f t="shared" si="294"/>
        <v>5392.0001674415989</v>
      </c>
      <c r="AR112" s="75">
        <f t="shared" si="294"/>
        <v>5392.0002511623979</v>
      </c>
      <c r="AS112" s="75">
        <f t="shared" si="294"/>
        <v>5392.000334883197</v>
      </c>
      <c r="AT112" s="75">
        <f t="shared" si="294"/>
        <v>5392.000418603996</v>
      </c>
      <c r="AU112" s="271">
        <f t="shared" ref="AU112:AU114" si="295">AT112</f>
        <v>5392.000418603996</v>
      </c>
    </row>
    <row r="113" spans="2:47" hidden="1" x14ac:dyDescent="0.2">
      <c r="B113" t="s">
        <v>336</v>
      </c>
      <c r="C113" s="75">
        <f t="shared" si="285"/>
        <v>2000</v>
      </c>
      <c r="D113" s="75">
        <f t="shared" si="285"/>
        <v>1591</v>
      </c>
      <c r="E113" s="75">
        <f t="shared" si="285"/>
        <v>2964</v>
      </c>
      <c r="F113" s="75">
        <f t="shared" si="285"/>
        <v>2119</v>
      </c>
      <c r="G113" s="75">
        <f t="shared" si="285"/>
        <v>3056</v>
      </c>
      <c r="H113" s="271">
        <f t="shared" si="289"/>
        <v>3056</v>
      </c>
      <c r="I113" s="75">
        <f t="shared" ref="I113:T113" si="296">I16</f>
        <v>3774</v>
      </c>
      <c r="J113" s="75">
        <f t="shared" si="296"/>
        <v>2274</v>
      </c>
      <c r="K113" s="75">
        <f t="shared" si="296"/>
        <v>2774</v>
      </c>
      <c r="L113" s="75">
        <f t="shared" si="296"/>
        <v>1274</v>
      </c>
      <c r="M113" s="75">
        <f t="shared" si="296"/>
        <v>1774</v>
      </c>
      <c r="N113" s="75">
        <f t="shared" si="296"/>
        <v>2274</v>
      </c>
      <c r="O113" s="75">
        <f t="shared" si="296"/>
        <v>2774</v>
      </c>
      <c r="P113" s="75">
        <f t="shared" si="296"/>
        <v>3274</v>
      </c>
      <c r="Q113" s="75">
        <f t="shared" si="296"/>
        <v>3774</v>
      </c>
      <c r="R113" s="75">
        <f t="shared" si="296"/>
        <v>2274</v>
      </c>
      <c r="S113" s="75">
        <f t="shared" si="296"/>
        <v>2774</v>
      </c>
      <c r="T113" s="75">
        <f t="shared" si="296"/>
        <v>3274</v>
      </c>
      <c r="U113" s="271">
        <f t="shared" si="291"/>
        <v>3274</v>
      </c>
      <c r="V113" s="75">
        <f t="shared" ref="V113:AG113" si="297">V16</f>
        <v>3774</v>
      </c>
      <c r="W113" s="75">
        <f t="shared" si="297"/>
        <v>2274</v>
      </c>
      <c r="X113" s="75">
        <f t="shared" si="297"/>
        <v>2695</v>
      </c>
      <c r="Y113" s="75">
        <f t="shared" si="297"/>
        <v>3037</v>
      </c>
      <c r="Z113" s="75">
        <f t="shared" si="297"/>
        <v>3300</v>
      </c>
      <c r="AA113" s="75">
        <f t="shared" si="297"/>
        <v>3484</v>
      </c>
      <c r="AB113" s="75">
        <f t="shared" si="297"/>
        <v>3589</v>
      </c>
      <c r="AC113" s="75">
        <f t="shared" si="297"/>
        <v>3615</v>
      </c>
      <c r="AD113" s="75">
        <f t="shared" si="297"/>
        <v>3562</v>
      </c>
      <c r="AE113" s="75">
        <f t="shared" si="297"/>
        <v>3430</v>
      </c>
      <c r="AF113" s="75">
        <f t="shared" si="297"/>
        <v>3220</v>
      </c>
      <c r="AG113" s="75">
        <f t="shared" si="297"/>
        <v>2931</v>
      </c>
      <c r="AH113" s="271">
        <f t="shared" si="293"/>
        <v>2931</v>
      </c>
      <c r="AI113" s="75">
        <f t="shared" ref="AI113:AT113" si="298">AI16</f>
        <v>2563</v>
      </c>
      <c r="AJ113" s="75">
        <f t="shared" si="298"/>
        <v>2116</v>
      </c>
      <c r="AK113" s="75">
        <f t="shared" si="298"/>
        <v>3590</v>
      </c>
      <c r="AL113" s="75">
        <f t="shared" si="298"/>
        <v>2986</v>
      </c>
      <c r="AM113" s="75">
        <f t="shared" si="298"/>
        <v>2303</v>
      </c>
      <c r="AN113" s="75">
        <f t="shared" si="298"/>
        <v>3541</v>
      </c>
      <c r="AO113" s="75">
        <f t="shared" si="298"/>
        <v>4700</v>
      </c>
      <c r="AP113" s="75">
        <f t="shared" si="298"/>
        <v>3700.0000418604</v>
      </c>
      <c r="AQ113" s="75">
        <f t="shared" si="298"/>
        <v>4700.000083720799</v>
      </c>
      <c r="AR113" s="75">
        <f t="shared" si="298"/>
        <v>3700.000125581199</v>
      </c>
      <c r="AS113" s="75">
        <f t="shared" si="298"/>
        <v>4700.000167441598</v>
      </c>
      <c r="AT113" s="75">
        <f t="shared" si="298"/>
        <v>5700.0002093019975</v>
      </c>
      <c r="AU113" s="271">
        <f t="shared" si="295"/>
        <v>5700.0002093019975</v>
      </c>
    </row>
    <row r="114" spans="2:47" hidden="1" x14ac:dyDescent="0.2">
      <c r="B114" s="114" t="s">
        <v>337</v>
      </c>
      <c r="C114" s="144">
        <f t="shared" si="285"/>
        <v>3000</v>
      </c>
      <c r="D114" s="144">
        <f t="shared" si="285"/>
        <v>2591</v>
      </c>
      <c r="E114" s="144">
        <f t="shared" si="285"/>
        <v>1964</v>
      </c>
      <c r="F114" s="144">
        <f t="shared" si="285"/>
        <v>1119</v>
      </c>
      <c r="G114" s="144">
        <f t="shared" si="285"/>
        <v>3056</v>
      </c>
      <c r="H114" s="272">
        <f t="shared" si="289"/>
        <v>3056</v>
      </c>
      <c r="I114" s="144">
        <f t="shared" ref="I114:T114" si="299">I17</f>
        <v>1774</v>
      </c>
      <c r="J114" s="144">
        <f t="shared" si="299"/>
        <v>3274</v>
      </c>
      <c r="K114" s="144">
        <f t="shared" si="299"/>
        <v>1774</v>
      </c>
      <c r="L114" s="144">
        <f t="shared" si="299"/>
        <v>3274</v>
      </c>
      <c r="M114" s="144">
        <f t="shared" si="299"/>
        <v>1774</v>
      </c>
      <c r="N114" s="144">
        <f t="shared" si="299"/>
        <v>274</v>
      </c>
      <c r="O114" s="144">
        <f t="shared" si="299"/>
        <v>1774</v>
      </c>
      <c r="P114" s="144">
        <f t="shared" si="299"/>
        <v>274</v>
      </c>
      <c r="Q114" s="144">
        <f t="shared" si="299"/>
        <v>1774</v>
      </c>
      <c r="R114" s="144">
        <f t="shared" si="299"/>
        <v>3274</v>
      </c>
      <c r="S114" s="144">
        <f t="shared" si="299"/>
        <v>1774</v>
      </c>
      <c r="T114" s="144">
        <f t="shared" si="299"/>
        <v>3274</v>
      </c>
      <c r="U114" s="271">
        <f t="shared" si="291"/>
        <v>3274</v>
      </c>
      <c r="V114" s="144">
        <f t="shared" ref="V114:AG114" si="300">V17</f>
        <v>1774</v>
      </c>
      <c r="W114" s="144">
        <f t="shared" si="300"/>
        <v>3274</v>
      </c>
      <c r="X114" s="144">
        <f t="shared" si="300"/>
        <v>1695</v>
      </c>
      <c r="Y114" s="144">
        <f t="shared" si="300"/>
        <v>3037</v>
      </c>
      <c r="Z114" s="144">
        <f t="shared" si="300"/>
        <v>1301</v>
      </c>
      <c r="AA114" s="144">
        <f t="shared" si="300"/>
        <v>2486</v>
      </c>
      <c r="AB114" s="144">
        <f t="shared" si="300"/>
        <v>3592</v>
      </c>
      <c r="AC114" s="144">
        <f t="shared" si="300"/>
        <v>1619</v>
      </c>
      <c r="AD114" s="144">
        <f t="shared" si="300"/>
        <v>2567</v>
      </c>
      <c r="AE114" s="144">
        <f t="shared" si="300"/>
        <v>3436</v>
      </c>
      <c r="AF114" s="144">
        <f t="shared" si="300"/>
        <v>1225</v>
      </c>
      <c r="AG114" s="144">
        <f t="shared" si="300"/>
        <v>4935</v>
      </c>
      <c r="AH114" s="271">
        <f t="shared" si="293"/>
        <v>4935</v>
      </c>
      <c r="AI114" s="144">
        <f t="shared" ref="AI114:AT114" si="301">AI17</f>
        <v>5567</v>
      </c>
      <c r="AJ114" s="144">
        <f t="shared" si="301"/>
        <v>3120</v>
      </c>
      <c r="AK114" s="144">
        <f t="shared" si="301"/>
        <v>3594</v>
      </c>
      <c r="AL114" s="144">
        <f t="shared" si="301"/>
        <v>3989</v>
      </c>
      <c r="AM114" s="144">
        <f t="shared" si="301"/>
        <v>4305</v>
      </c>
      <c r="AN114" s="144">
        <f t="shared" si="301"/>
        <v>4542</v>
      </c>
      <c r="AO114" s="144">
        <f t="shared" si="301"/>
        <v>4700</v>
      </c>
      <c r="AP114" s="144">
        <f t="shared" si="301"/>
        <v>4700.0000418603995</v>
      </c>
      <c r="AQ114" s="144">
        <f t="shared" si="301"/>
        <v>4700.000083720799</v>
      </c>
      <c r="AR114" s="144">
        <f t="shared" si="301"/>
        <v>4700.0001255811985</v>
      </c>
      <c r="AS114" s="144">
        <f t="shared" si="301"/>
        <v>4700.000167441598</v>
      </c>
      <c r="AT114" s="144">
        <f t="shared" si="301"/>
        <v>4700.0002093019975</v>
      </c>
      <c r="AU114" s="271">
        <f t="shared" si="295"/>
        <v>4700.0002093019975</v>
      </c>
    </row>
    <row r="115" spans="2:47" hidden="1" x14ac:dyDescent="0.2">
      <c r="B115" s="6" t="s">
        <v>145</v>
      </c>
      <c r="C115" s="109">
        <f>SUM(C111:C114)</f>
        <v>9000</v>
      </c>
      <c r="D115" s="109">
        <f t="shared" ref="D115:AU115" si="302">SUM(D111:D114)</f>
        <v>6750</v>
      </c>
      <c r="E115" s="109">
        <f t="shared" si="302"/>
        <v>9300</v>
      </c>
      <c r="F115" s="109">
        <f t="shared" si="302"/>
        <v>6650</v>
      </c>
      <c r="G115" s="109">
        <f t="shared" si="302"/>
        <v>9800</v>
      </c>
      <c r="H115" s="109">
        <f t="shared" si="302"/>
        <v>9800</v>
      </c>
      <c r="I115" s="109">
        <f t="shared" si="302"/>
        <v>10750</v>
      </c>
      <c r="J115" s="109">
        <f t="shared" si="302"/>
        <v>13499.999884883899</v>
      </c>
      <c r="K115" s="109">
        <f t="shared" si="302"/>
        <v>11249.999769767797</v>
      </c>
      <c r="L115" s="109">
        <f t="shared" si="302"/>
        <v>13999.999654651696</v>
      </c>
      <c r="M115" s="109">
        <f t="shared" si="302"/>
        <v>11749.999539535595</v>
      </c>
      <c r="N115" s="109">
        <f t="shared" si="302"/>
        <v>11499.999424419493</v>
      </c>
      <c r="O115" s="109">
        <f t="shared" si="302"/>
        <v>12249.999309303392</v>
      </c>
      <c r="P115" s="109">
        <f t="shared" si="302"/>
        <v>11999.99919418729</v>
      </c>
      <c r="Q115" s="109">
        <f t="shared" si="302"/>
        <v>12749.999079071189</v>
      </c>
      <c r="R115" s="109">
        <f t="shared" si="302"/>
        <v>13499.998963955088</v>
      </c>
      <c r="S115" s="109">
        <f t="shared" si="302"/>
        <v>11249.998848838986</v>
      </c>
      <c r="T115" s="109">
        <f t="shared" si="302"/>
        <v>13999.998733722885</v>
      </c>
      <c r="U115" s="109">
        <f t="shared" si="302"/>
        <v>13999.998733722885</v>
      </c>
      <c r="V115" s="109">
        <f t="shared" si="302"/>
        <v>15749.998618606784</v>
      </c>
      <c r="W115" s="109">
        <f t="shared" si="302"/>
        <v>14499.998503490682</v>
      </c>
      <c r="X115" s="109">
        <f t="shared" si="302"/>
        <v>13815.998503490682</v>
      </c>
      <c r="Y115" s="109">
        <f t="shared" si="302"/>
        <v>13697.998503490682</v>
      </c>
      <c r="Z115" s="109">
        <f t="shared" si="302"/>
        <v>12145.998503490682</v>
      </c>
      <c r="AA115" s="109">
        <f t="shared" si="302"/>
        <v>13159.998503490682</v>
      </c>
      <c r="AB115" s="109">
        <f t="shared" si="302"/>
        <v>13739.998503490682</v>
      </c>
      <c r="AC115" s="109">
        <f t="shared" si="302"/>
        <v>10885.998503490682</v>
      </c>
      <c r="AD115" s="109">
        <f t="shared" si="302"/>
        <v>12597.998503490682</v>
      </c>
      <c r="AE115" s="109">
        <f t="shared" si="302"/>
        <v>15875.998503490682</v>
      </c>
      <c r="AF115" s="109">
        <f t="shared" si="302"/>
        <v>13719.998503490682</v>
      </c>
      <c r="AG115" s="109">
        <f t="shared" si="302"/>
        <v>17129.998503490682</v>
      </c>
      <c r="AH115" s="109">
        <f t="shared" si="302"/>
        <v>17129.998503490682</v>
      </c>
      <c r="AI115" s="109">
        <f t="shared" si="302"/>
        <v>17105.998503490682</v>
      </c>
      <c r="AJ115" s="109">
        <f t="shared" si="302"/>
        <v>15647.998503490682</v>
      </c>
      <c r="AK115" s="109">
        <f t="shared" si="302"/>
        <v>18755.998503490682</v>
      </c>
      <c r="AL115" s="109">
        <f t="shared" si="302"/>
        <v>17429.998503490682</v>
      </c>
      <c r="AM115" s="109">
        <f t="shared" si="302"/>
        <v>17669.998503490682</v>
      </c>
      <c r="AN115" s="109">
        <f t="shared" si="302"/>
        <v>17475.998503490682</v>
      </c>
      <c r="AO115" s="109">
        <f t="shared" si="302"/>
        <v>18847.998503490682</v>
      </c>
      <c r="AP115" s="109">
        <f t="shared" si="302"/>
        <v>17347.998503490682</v>
      </c>
      <c r="AQ115" s="109">
        <f t="shared" si="302"/>
        <v>19847.998503490679</v>
      </c>
      <c r="AR115" s="109">
        <f t="shared" si="302"/>
        <v>18347.998503490679</v>
      </c>
      <c r="AS115" s="109">
        <f t="shared" si="302"/>
        <v>18847.998503490675</v>
      </c>
      <c r="AT115" s="109">
        <f t="shared" si="302"/>
        <v>21347.998503490675</v>
      </c>
      <c r="AU115" s="109">
        <f t="shared" si="302"/>
        <v>21347.998503490675</v>
      </c>
    </row>
    <row r="116" spans="2:47" hidden="1" x14ac:dyDescent="0.2">
      <c r="B116" s="6" t="s">
        <v>362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</row>
    <row r="117" spans="2:47" hidden="1" x14ac:dyDescent="0.2"/>
    <row r="118" spans="2:47" hidden="1" x14ac:dyDescent="0.2">
      <c r="B118" t="s">
        <v>338</v>
      </c>
      <c r="C118" s="75">
        <f>C111*C79*(1+C101)</f>
        <v>15811.443648</v>
      </c>
      <c r="D118" s="75">
        <f>D111*D79*(1+D101)</f>
        <v>10957.330448064</v>
      </c>
      <c r="E118" s="75">
        <f t="shared" ref="E118:G118" si="303">E111*E79*(1+E101)</f>
        <v>19329.489859679998</v>
      </c>
      <c r="F118" s="75">
        <f t="shared" si="303"/>
        <v>9297.1288650240003</v>
      </c>
      <c r="G118" s="75">
        <f t="shared" si="303"/>
        <v>12491.040481920001</v>
      </c>
      <c r="H118" s="271">
        <f>G118</f>
        <v>12491.040481920001</v>
      </c>
      <c r="I118" s="75">
        <f t="shared" ref="I118:T118" si="304">I111*I79*(1+I101)</f>
        <v>13107.686784192001</v>
      </c>
      <c r="J118" s="75">
        <f t="shared" si="304"/>
        <v>26942.699066116125</v>
      </c>
      <c r="K118" s="75">
        <f t="shared" si="304"/>
        <v>25490.55932174109</v>
      </c>
      <c r="L118" s="75">
        <f t="shared" si="304"/>
        <v>39616.106861585627</v>
      </c>
      <c r="M118" s="75">
        <f t="shared" si="304"/>
        <v>37598.170436822162</v>
      </c>
      <c r="N118" s="75">
        <f t="shared" si="304"/>
        <v>35580.234012058689</v>
      </c>
      <c r="O118" s="75">
        <f t="shared" si="304"/>
        <v>33562.297587295216</v>
      </c>
      <c r="P118" s="75">
        <f t="shared" si="304"/>
        <v>31544.36116253175</v>
      </c>
      <c r="Q118" s="75">
        <f t="shared" si="304"/>
        <v>29526.42473776828</v>
      </c>
      <c r="R118" s="75">
        <f t="shared" si="304"/>
        <v>27508.488313004811</v>
      </c>
      <c r="S118" s="75">
        <f t="shared" si="304"/>
        <v>25490.551888241345</v>
      </c>
      <c r="T118" s="75">
        <f t="shared" si="304"/>
        <v>23472.615463477876</v>
      </c>
      <c r="U118" s="110">
        <f>T118</f>
        <v>23472.615463477876</v>
      </c>
      <c r="V118" s="75">
        <f t="shared" ref="V118:AG118" si="305">V111*V79*(1+V101)</f>
        <v>38350.126263388855</v>
      </c>
      <c r="W118" s="75">
        <f t="shared" si="305"/>
        <v>36291.831110130122</v>
      </c>
      <c r="X118" s="75">
        <f t="shared" si="305"/>
        <v>33262.022039652489</v>
      </c>
      <c r="Y118" s="75">
        <f t="shared" si="305"/>
        <v>29260.698104184754</v>
      </c>
      <c r="Z118" s="75">
        <f t="shared" si="305"/>
        <v>40745.979770805112</v>
      </c>
      <c r="AA118" s="75">
        <f t="shared" si="305"/>
        <v>34793.392928535206</v>
      </c>
      <c r="AB118" s="75">
        <f t="shared" si="305"/>
        <v>27869.291221275187</v>
      </c>
      <c r="AC118" s="75">
        <f t="shared" si="305"/>
        <v>19965.441472203114</v>
      </c>
      <c r="AD118" s="75">
        <f t="shared" si="305"/>
        <v>27556.430502041087</v>
      </c>
      <c r="AE118" s="75">
        <f t="shared" si="305"/>
        <v>34175.90466688895</v>
      </c>
      <c r="AF118" s="75">
        <f t="shared" si="305"/>
        <v>39815.630789924755</v>
      </c>
      <c r="AG118" s="75">
        <f t="shared" si="305"/>
        <v>28017.488404070293</v>
      </c>
      <c r="AH118" s="110">
        <f>AG118</f>
        <v>28017.488404070293</v>
      </c>
      <c r="AI118" s="75">
        <f t="shared" ref="AI118:AT118" si="306">AI111*AI79*(1+AI101)</f>
        <v>32340.070652710008</v>
      </c>
      <c r="AJ118" s="75">
        <f t="shared" si="306"/>
        <v>35111.357970978403</v>
      </c>
      <c r="AK118" s="75">
        <f t="shared" si="306"/>
        <v>36891.700126956886</v>
      </c>
      <c r="AL118" s="75">
        <f t="shared" si="306"/>
        <v>37672.699280287074</v>
      </c>
      <c r="AM118" s="75">
        <f t="shared" si="306"/>
        <v>37462.753271327347</v>
      </c>
      <c r="AN118" s="75">
        <f t="shared" si="306"/>
        <v>36261.862100077713</v>
      </c>
      <c r="AO118" s="75">
        <f t="shared" si="306"/>
        <v>34061.627926179768</v>
      </c>
      <c r="AP118" s="75">
        <f t="shared" si="306"/>
        <v>29862.706340837405</v>
      </c>
      <c r="AQ118" s="75">
        <f t="shared" si="306"/>
        <v>42459.465472273194</v>
      </c>
      <c r="AR118" s="75">
        <f t="shared" si="306"/>
        <v>38260.543886930835</v>
      </c>
      <c r="AS118" s="75">
        <f t="shared" si="306"/>
        <v>34061.622301588468</v>
      </c>
      <c r="AT118" s="75">
        <f t="shared" si="306"/>
        <v>46658.381433024268</v>
      </c>
      <c r="AU118" s="110">
        <f>AT118</f>
        <v>46658.381433024268</v>
      </c>
    </row>
    <row r="119" spans="2:47" hidden="1" x14ac:dyDescent="0.2">
      <c r="B119" t="s">
        <v>339</v>
      </c>
      <c r="C119" s="75">
        <f>C112*C80*(1+C101)</f>
        <v>27782.965267199997</v>
      </c>
      <c r="D119" s="75">
        <f>D112*D80*(1+D101)</f>
        <v>16419.732472915199</v>
      </c>
      <c r="E119" s="75">
        <f t="shared" ref="E119:G119" si="307">E112*E80*(1+E101)</f>
        <v>26768.887034947198</v>
      </c>
      <c r="F119" s="75">
        <f t="shared" si="307"/>
        <v>31061.355168729599</v>
      </c>
      <c r="G119" s="75">
        <f t="shared" si="307"/>
        <v>29283.2453916288</v>
      </c>
      <c r="H119" s="271">
        <f t="shared" ref="H119:H121" si="308">G119</f>
        <v>29283.2453916288</v>
      </c>
      <c r="I119" s="75">
        <f t="shared" ref="I119:T119" si="309">I112*I80*(1+I101)</f>
        <v>49231.414453478399</v>
      </c>
      <c r="J119" s="75">
        <f t="shared" si="309"/>
        <v>63122.897087078403</v>
      </c>
      <c r="K119" s="75">
        <f t="shared" si="309"/>
        <v>50265.274157001433</v>
      </c>
      <c r="L119" s="75">
        <f t="shared" si="309"/>
        <v>64448.477925907035</v>
      </c>
      <c r="M119" s="75">
        <f t="shared" si="309"/>
        <v>50265.274157001433</v>
      </c>
      <c r="N119" s="75">
        <f t="shared" si="309"/>
        <v>64448.477925907035</v>
      </c>
      <c r="O119" s="75">
        <f t="shared" si="309"/>
        <v>50265.274157001433</v>
      </c>
      <c r="P119" s="75">
        <f t="shared" si="309"/>
        <v>64448.477925907035</v>
      </c>
      <c r="Q119" s="75">
        <f t="shared" si="309"/>
        <v>50265.274157001433</v>
      </c>
      <c r="R119" s="75">
        <f t="shared" si="309"/>
        <v>64448.477925907035</v>
      </c>
      <c r="S119" s="75">
        <f t="shared" si="309"/>
        <v>50265.274157001433</v>
      </c>
      <c r="T119" s="75">
        <f t="shared" si="309"/>
        <v>64448.477925907035</v>
      </c>
      <c r="U119" s="110">
        <f t="shared" ref="U119:U121" si="310">T119</f>
        <v>64448.477925907035</v>
      </c>
      <c r="V119" s="75">
        <f t="shared" ref="V119:AG119" si="311">V112*V80*(1+V101)</f>
        <v>80204.315328708894</v>
      </c>
      <c r="W119" s="75">
        <f t="shared" si="311"/>
        <v>65737.447484425182</v>
      </c>
      <c r="X119" s="75">
        <f t="shared" si="311"/>
        <v>77918.550209312059</v>
      </c>
      <c r="Y119" s="75">
        <f t="shared" si="311"/>
        <v>58880.152126234701</v>
      </c>
      <c r="Z119" s="75">
        <f t="shared" si="311"/>
        <v>37555.988923760509</v>
      </c>
      <c r="AA119" s="75">
        <f t="shared" si="311"/>
        <v>42879.796290456921</v>
      </c>
      <c r="AB119" s="75">
        <f t="shared" si="311"/>
        <v>45917.838537756499</v>
      </c>
      <c r="AC119" s="75">
        <f t="shared" si="311"/>
        <v>46684.582533503533</v>
      </c>
      <c r="AD119" s="75">
        <f t="shared" si="311"/>
        <v>45165.561409853748</v>
      </c>
      <c r="AE119" s="75">
        <f t="shared" si="311"/>
        <v>70294.510855374552</v>
      </c>
      <c r="AF119" s="75">
        <f t="shared" si="311"/>
        <v>64218.426360775389</v>
      </c>
      <c r="AG119" s="75">
        <f t="shared" si="311"/>
        <v>84790.31243534683</v>
      </c>
      <c r="AH119" s="110">
        <f t="shared" ref="AH119:AH121" si="312">AG119</f>
        <v>84790.31243534683</v>
      </c>
      <c r="AI119" s="75">
        <f t="shared" ref="AI119:AT119" si="313">AI112*AI80*(1+AI101)</f>
        <v>75625.551655993113</v>
      </c>
      <c r="AJ119" s="75">
        <f t="shared" si="313"/>
        <v>91945.914608486448</v>
      </c>
      <c r="AK119" s="75">
        <f t="shared" si="313"/>
        <v>105934.79713919503</v>
      </c>
      <c r="AL119" s="75">
        <f t="shared" si="313"/>
        <v>88079.788845780058</v>
      </c>
      <c r="AM119" s="75">
        <f t="shared" si="313"/>
        <v>97405.710532919111</v>
      </c>
      <c r="AN119" s="75">
        <f t="shared" si="313"/>
        <v>74887.74139593463</v>
      </c>
      <c r="AO119" s="75">
        <f t="shared" si="313"/>
        <v>79565.458444705335</v>
      </c>
      <c r="AP119" s="75">
        <f t="shared" si="313"/>
        <v>79565.459680106636</v>
      </c>
      <c r="AQ119" s="75">
        <f t="shared" si="313"/>
        <v>79565.460915507923</v>
      </c>
      <c r="AR119" s="75">
        <f t="shared" si="313"/>
        <v>79565.46215090921</v>
      </c>
      <c r="AS119" s="75">
        <f t="shared" si="313"/>
        <v>79565.463386310512</v>
      </c>
      <c r="AT119" s="75">
        <f t="shared" si="313"/>
        <v>79565.464621711799</v>
      </c>
      <c r="AU119" s="110">
        <f t="shared" ref="AU119:AU120" si="314">AT119</f>
        <v>79565.464621711799</v>
      </c>
    </row>
    <row r="120" spans="2:47" hidden="1" x14ac:dyDescent="0.2">
      <c r="B120" t="s">
        <v>340</v>
      </c>
      <c r="C120" s="75">
        <f>C113*C81*(1+C101)</f>
        <v>24442.920269856</v>
      </c>
      <c r="D120" s="75">
        <f>D113*D81*(1+D101)</f>
        <v>19444.343074670447</v>
      </c>
      <c r="E120" s="75">
        <f t="shared" ref="E120:G120" si="315">E113*E81*(1+E101)</f>
        <v>36224.407839926593</v>
      </c>
      <c r="F120" s="75">
        <f t="shared" si="315"/>
        <v>25897.274025912433</v>
      </c>
      <c r="G120" s="75">
        <f t="shared" si="315"/>
        <v>37348.782172339968</v>
      </c>
      <c r="H120" s="271">
        <f t="shared" si="308"/>
        <v>37348.782172339968</v>
      </c>
      <c r="I120" s="75">
        <f t="shared" ref="I120:T120" si="316">I113*I81*(1+I101)</f>
        <v>46123.790549218276</v>
      </c>
      <c r="J120" s="75">
        <f t="shared" si="316"/>
        <v>27791.600346826275</v>
      </c>
      <c r="K120" s="75">
        <f t="shared" si="316"/>
        <v>34614.279352990357</v>
      </c>
      <c r="L120" s="75">
        <f t="shared" si="316"/>
        <v>15897.113156348132</v>
      </c>
      <c r="M120" s="75">
        <f t="shared" si="316"/>
        <v>22136.168555228873</v>
      </c>
      <c r="N120" s="75">
        <f t="shared" si="316"/>
        <v>28375.223954109617</v>
      </c>
      <c r="O120" s="75">
        <f t="shared" si="316"/>
        <v>34614.279352990357</v>
      </c>
      <c r="P120" s="75">
        <f t="shared" si="316"/>
        <v>40853.334751871102</v>
      </c>
      <c r="Q120" s="75">
        <f t="shared" si="316"/>
        <v>47092.390150751846</v>
      </c>
      <c r="R120" s="75">
        <f t="shared" si="316"/>
        <v>28375.223954109617</v>
      </c>
      <c r="S120" s="75">
        <f t="shared" si="316"/>
        <v>34614.279352990357</v>
      </c>
      <c r="T120" s="75">
        <f t="shared" si="316"/>
        <v>40853.334751871102</v>
      </c>
      <c r="U120" s="110">
        <f t="shared" si="310"/>
        <v>40853.334751871102</v>
      </c>
      <c r="V120" s="75">
        <f t="shared" ref="V120:AG120" si="317">V113*V81*(1+V101)</f>
        <v>48034.237953766882</v>
      </c>
      <c r="W120" s="75">
        <f t="shared" si="317"/>
        <v>28942.728433191809</v>
      </c>
      <c r="X120" s="75">
        <f t="shared" si="317"/>
        <v>34301.078771966546</v>
      </c>
      <c r="Y120" s="75">
        <f t="shared" si="317"/>
        <v>38653.942942657661</v>
      </c>
      <c r="Z120" s="75">
        <f t="shared" si="317"/>
        <v>42001.320945265157</v>
      </c>
      <c r="AA120" s="75">
        <f t="shared" si="317"/>
        <v>44343.212779789035</v>
      </c>
      <c r="AB120" s="75">
        <f t="shared" si="317"/>
        <v>45679.618446229288</v>
      </c>
      <c r="AC120" s="75">
        <f t="shared" si="317"/>
        <v>46010.537944585922</v>
      </c>
      <c r="AD120" s="75">
        <f t="shared" si="317"/>
        <v>45335.971274858937</v>
      </c>
      <c r="AE120" s="75">
        <f t="shared" si="317"/>
        <v>43655.918437048327</v>
      </c>
      <c r="AF120" s="75">
        <f t="shared" si="317"/>
        <v>40983.107104167822</v>
      </c>
      <c r="AG120" s="75">
        <f t="shared" si="317"/>
        <v>37304.809603203699</v>
      </c>
      <c r="AH120" s="110">
        <f t="shared" si="312"/>
        <v>37304.809603203699</v>
      </c>
      <c r="AI120" s="75">
        <f t="shared" ref="AI120:AT120" si="318">AI113*AI81*(1+AI101)</f>
        <v>33273.446452839067</v>
      </c>
      <c r="AJ120" s="75">
        <f t="shared" si="318"/>
        <v>27470.391218965065</v>
      </c>
      <c r="AK120" s="75">
        <f t="shared" si="318"/>
        <v>46606.193041627877</v>
      </c>
      <c r="AL120" s="75">
        <f t="shared" si="318"/>
        <v>38764.928251337282</v>
      </c>
      <c r="AM120" s="75">
        <f t="shared" si="318"/>
        <v>29898.067569601393</v>
      </c>
      <c r="AN120" s="75">
        <f t="shared" si="318"/>
        <v>45970.063944402311</v>
      </c>
      <c r="AO120" s="75">
        <f t="shared" si="318"/>
        <v>61016.464427757943</v>
      </c>
      <c r="AP120" s="75">
        <f t="shared" si="318"/>
        <v>48034.238497208084</v>
      </c>
      <c r="AQ120" s="75">
        <f t="shared" si="318"/>
        <v>61016.465514640317</v>
      </c>
      <c r="AR120" s="75">
        <f t="shared" si="318"/>
        <v>48034.239584090457</v>
      </c>
      <c r="AS120" s="75">
        <f t="shared" si="318"/>
        <v>61016.46660152269</v>
      </c>
      <c r="AT120" s="75">
        <f t="shared" si="318"/>
        <v>73998.693618954931</v>
      </c>
      <c r="AU120" s="110">
        <f t="shared" si="314"/>
        <v>73998.693618954931</v>
      </c>
    </row>
    <row r="121" spans="2:47" hidden="1" x14ac:dyDescent="0.2">
      <c r="B121" s="114" t="s">
        <v>341</v>
      </c>
      <c r="C121" s="144">
        <f>C114*C82*(1+C101)</f>
        <v>14701.5</v>
      </c>
      <c r="D121" s="144">
        <f>D114*D82*(1+D101)</f>
        <v>12697.1955</v>
      </c>
      <c r="E121" s="144">
        <f t="shared" ref="E121:G121" si="319">E114*E82*(1+E101)</f>
        <v>9624.5820000000003</v>
      </c>
      <c r="F121" s="144">
        <f t="shared" si="319"/>
        <v>5483.6594999999998</v>
      </c>
      <c r="G121" s="144">
        <f t="shared" si="319"/>
        <v>14975.928</v>
      </c>
      <c r="H121" s="272">
        <f t="shared" si="308"/>
        <v>14975.928</v>
      </c>
      <c r="I121" s="144">
        <f t="shared" ref="I121:T121" si="320">I114*I82*(1+I101)</f>
        <v>8693.4869999999992</v>
      </c>
      <c r="J121" s="144">
        <f t="shared" si="320"/>
        <v>16044.236999999999</v>
      </c>
      <c r="K121" s="144">
        <f t="shared" si="320"/>
        <v>8693.4869999999992</v>
      </c>
      <c r="L121" s="144">
        <f t="shared" si="320"/>
        <v>16044.236999999999</v>
      </c>
      <c r="M121" s="144">
        <f t="shared" si="320"/>
        <v>8876.0502269999997</v>
      </c>
      <c r="N121" s="144">
        <f t="shared" si="320"/>
        <v>1370.934477</v>
      </c>
      <c r="O121" s="144">
        <f t="shared" si="320"/>
        <v>8876.0502269999997</v>
      </c>
      <c r="P121" s="144">
        <f t="shared" si="320"/>
        <v>1370.934477</v>
      </c>
      <c r="Q121" s="144">
        <f t="shared" si="320"/>
        <v>8876.0502269999997</v>
      </c>
      <c r="R121" s="144">
        <f t="shared" si="320"/>
        <v>16381.165976999999</v>
      </c>
      <c r="S121" s="144">
        <f t="shared" si="320"/>
        <v>8876.0502269999997</v>
      </c>
      <c r="T121" s="144">
        <f t="shared" si="320"/>
        <v>16381.165976999999</v>
      </c>
      <c r="U121" s="273">
        <f t="shared" si="310"/>
        <v>16381.165976999999</v>
      </c>
      <c r="V121" s="144">
        <f t="shared" ref="V121:AG121" si="321">V114*V82*(1+V101)</f>
        <v>9053.5712315400015</v>
      </c>
      <c r="W121" s="144">
        <f t="shared" si="321"/>
        <v>16708.789296540002</v>
      </c>
      <c r="X121" s="144">
        <f t="shared" si="321"/>
        <v>8650.3964134500002</v>
      </c>
      <c r="Y121" s="144">
        <f t="shared" si="321"/>
        <v>15499.26484227</v>
      </c>
      <c r="Z121" s="144">
        <f t="shared" si="321"/>
        <v>6639.6258017100008</v>
      </c>
      <c r="AA121" s="144">
        <f t="shared" si="321"/>
        <v>12687.24807306</v>
      </c>
      <c r="AB121" s="144">
        <f t="shared" si="321"/>
        <v>18331.695526320003</v>
      </c>
      <c r="AC121" s="144">
        <f t="shared" si="321"/>
        <v>8262.53203149</v>
      </c>
      <c r="AD121" s="144">
        <f t="shared" si="321"/>
        <v>13100.629848569999</v>
      </c>
      <c r="AE121" s="144">
        <f t="shared" si="321"/>
        <v>17535.55284756</v>
      </c>
      <c r="AF121" s="144">
        <f t="shared" si="321"/>
        <v>6251.7614197500006</v>
      </c>
      <c r="AG121" s="144">
        <f t="shared" si="321"/>
        <v>25185.667433850002</v>
      </c>
      <c r="AH121" s="273">
        <f t="shared" si="312"/>
        <v>25185.667433850002</v>
      </c>
      <c r="AI121" s="144">
        <f t="shared" ref="AI121:AT121" si="322">AI114*AI82*(1+AI101)</f>
        <v>28979.2872981414</v>
      </c>
      <c r="AJ121" s="144">
        <f t="shared" si="322"/>
        <v>16241.310646704</v>
      </c>
      <c r="AK121" s="144">
        <f t="shared" si="322"/>
        <v>18708.740533414799</v>
      </c>
      <c r="AL121" s="144">
        <f t="shared" si="322"/>
        <v>20764.932105673801</v>
      </c>
      <c r="AM121" s="144">
        <f t="shared" si="322"/>
        <v>22409.885363481</v>
      </c>
      <c r="AN121" s="144">
        <f t="shared" si="322"/>
        <v>23643.600306836401</v>
      </c>
      <c r="AO121" s="144">
        <f t="shared" si="322"/>
        <v>24466.076935740002</v>
      </c>
      <c r="AP121" s="144">
        <f t="shared" si="322"/>
        <v>24466.077153646333</v>
      </c>
      <c r="AQ121" s="144">
        <f t="shared" si="322"/>
        <v>24466.077371552659</v>
      </c>
      <c r="AR121" s="144">
        <f t="shared" si="322"/>
        <v>24466.077589458993</v>
      </c>
      <c r="AS121" s="144">
        <f t="shared" si="322"/>
        <v>24466.077807365324</v>
      </c>
      <c r="AT121" s="144">
        <f t="shared" si="322"/>
        <v>24466.078025271654</v>
      </c>
      <c r="AU121" s="273">
        <f>AT121</f>
        <v>24466.078025271654</v>
      </c>
    </row>
    <row r="122" spans="2:47" s="6" customFormat="1" hidden="1" x14ac:dyDescent="0.2">
      <c r="B122" s="6" t="s">
        <v>343</v>
      </c>
      <c r="C122" s="109">
        <f>SUM(C118:C121)</f>
        <v>82738.829185055991</v>
      </c>
      <c r="D122" s="109">
        <f t="shared" ref="D122:AU122" si="323">SUM(D118:D121)</f>
        <v>59518.601495649651</v>
      </c>
      <c r="E122" s="109">
        <f t="shared" si="323"/>
        <v>91947.366734553783</v>
      </c>
      <c r="F122" s="109">
        <f t="shared" si="323"/>
        <v>71739.417559666021</v>
      </c>
      <c r="G122" s="109">
        <f t="shared" si="323"/>
        <v>94098.996045888765</v>
      </c>
      <c r="H122" s="110">
        <f t="shared" si="323"/>
        <v>94098.996045888765</v>
      </c>
      <c r="I122" s="109">
        <f t="shared" si="323"/>
        <v>117156.37878688867</v>
      </c>
      <c r="J122" s="109">
        <f t="shared" si="323"/>
        <v>133901.43350002079</v>
      </c>
      <c r="K122" s="109">
        <f t="shared" si="323"/>
        <v>119063.59983173288</v>
      </c>
      <c r="L122" s="109">
        <f t="shared" si="323"/>
        <v>136005.93494384081</v>
      </c>
      <c r="M122" s="109">
        <f t="shared" si="323"/>
        <v>118875.66337605247</v>
      </c>
      <c r="N122" s="109">
        <f t="shared" si="323"/>
        <v>129774.87036907535</v>
      </c>
      <c r="O122" s="109">
        <f t="shared" si="323"/>
        <v>127317.901324287</v>
      </c>
      <c r="P122" s="109">
        <f t="shared" si="323"/>
        <v>138217.10831730987</v>
      </c>
      <c r="Q122" s="109">
        <f t="shared" si="323"/>
        <v>135760.13927252154</v>
      </c>
      <c r="R122" s="109">
        <f t="shared" si="323"/>
        <v>136713.35617002146</v>
      </c>
      <c r="S122" s="109">
        <f t="shared" si="323"/>
        <v>119246.15562523314</v>
      </c>
      <c r="T122" s="109">
        <f t="shared" si="323"/>
        <v>145155.59411825601</v>
      </c>
      <c r="U122" s="110">
        <f t="shared" si="323"/>
        <v>145155.59411825601</v>
      </c>
      <c r="V122" s="109">
        <f t="shared" si="323"/>
        <v>175642.25077740464</v>
      </c>
      <c r="W122" s="109">
        <f t="shared" si="323"/>
        <v>147680.7963242871</v>
      </c>
      <c r="X122" s="109">
        <f t="shared" si="323"/>
        <v>154132.04743438109</v>
      </c>
      <c r="Y122" s="109">
        <f t="shared" si="323"/>
        <v>142294.05801534711</v>
      </c>
      <c r="Z122" s="109">
        <f t="shared" si="323"/>
        <v>126942.91544154077</v>
      </c>
      <c r="AA122" s="109">
        <f t="shared" si="323"/>
        <v>134703.65007184117</v>
      </c>
      <c r="AB122" s="109">
        <f t="shared" si="323"/>
        <v>137798.44373158098</v>
      </c>
      <c r="AC122" s="109">
        <f t="shared" si="323"/>
        <v>120923.09398178259</v>
      </c>
      <c r="AD122" s="109">
        <f t="shared" si="323"/>
        <v>131158.59303532378</v>
      </c>
      <c r="AE122" s="109">
        <f t="shared" si="323"/>
        <v>165661.88680687183</v>
      </c>
      <c r="AF122" s="109">
        <f t="shared" si="323"/>
        <v>151268.92567461796</v>
      </c>
      <c r="AG122" s="109">
        <f t="shared" si="323"/>
        <v>175298.27787647082</v>
      </c>
      <c r="AH122" s="110">
        <f t="shared" si="323"/>
        <v>175298.27787647082</v>
      </c>
      <c r="AI122" s="109">
        <f t="shared" si="323"/>
        <v>170218.3560596836</v>
      </c>
      <c r="AJ122" s="109">
        <f t="shared" si="323"/>
        <v>170768.97444513391</v>
      </c>
      <c r="AK122" s="109">
        <f t="shared" si="323"/>
        <v>208141.43084119458</v>
      </c>
      <c r="AL122" s="109">
        <f t="shared" si="323"/>
        <v>185282.34848307821</v>
      </c>
      <c r="AM122" s="109">
        <f t="shared" si="323"/>
        <v>187176.41673732887</v>
      </c>
      <c r="AN122" s="109">
        <f t="shared" si="323"/>
        <v>180763.26774725105</v>
      </c>
      <c r="AO122" s="109">
        <f t="shared" si="323"/>
        <v>199109.62773438307</v>
      </c>
      <c r="AP122" s="109">
        <f t="shared" si="323"/>
        <v>181928.48167179845</v>
      </c>
      <c r="AQ122" s="109">
        <f t="shared" si="323"/>
        <v>207507.46927397407</v>
      </c>
      <c r="AR122" s="109">
        <f t="shared" si="323"/>
        <v>190326.32321138948</v>
      </c>
      <c r="AS122" s="109">
        <f t="shared" si="323"/>
        <v>199109.630096787</v>
      </c>
      <c r="AT122" s="109">
        <f t="shared" si="323"/>
        <v>224688.61769896263</v>
      </c>
      <c r="AU122" s="110">
        <f t="shared" si="323"/>
        <v>224688.61769896263</v>
      </c>
    </row>
    <row r="123" spans="2:47" hidden="1" x14ac:dyDescent="0.2">
      <c r="B123" t="s">
        <v>342</v>
      </c>
      <c r="C123" s="75">
        <f>C115*C83</f>
        <v>39330</v>
      </c>
      <c r="D123" s="75">
        <f>D115*D83</f>
        <v>29497.5</v>
      </c>
      <c r="E123" s="75">
        <f>E115*E83</f>
        <v>40641</v>
      </c>
      <c r="F123" s="75">
        <f>F115*F83</f>
        <v>29060.5</v>
      </c>
      <c r="G123" s="75">
        <f>G115*G83</f>
        <v>42826</v>
      </c>
      <c r="H123" s="110">
        <f>G123</f>
        <v>42826</v>
      </c>
      <c r="I123" s="75">
        <f t="shared" ref="I123:T123" si="324">I115*I83</f>
        <v>46977.5</v>
      </c>
      <c r="J123" s="75">
        <f t="shared" si="324"/>
        <v>58994.999496942641</v>
      </c>
      <c r="K123" s="75">
        <f t="shared" si="324"/>
        <v>50194.911472756859</v>
      </c>
      <c r="L123" s="75">
        <f t="shared" si="324"/>
        <v>62464.77845913529</v>
      </c>
      <c r="M123" s="75">
        <f t="shared" si="324"/>
        <v>52425.795445513722</v>
      </c>
      <c r="N123" s="75">
        <f t="shared" si="324"/>
        <v>51310.352431892155</v>
      </c>
      <c r="O123" s="75">
        <f t="shared" si="324"/>
        <v>54656.679418270593</v>
      </c>
      <c r="P123" s="75">
        <f t="shared" si="324"/>
        <v>53541.236404649018</v>
      </c>
      <c r="Q123" s="75">
        <f t="shared" si="324"/>
        <v>56887.563391027456</v>
      </c>
      <c r="R123" s="75">
        <f t="shared" si="324"/>
        <v>60233.890377405885</v>
      </c>
      <c r="S123" s="75">
        <f t="shared" si="324"/>
        <v>50194.907363784318</v>
      </c>
      <c r="T123" s="75">
        <f t="shared" si="324"/>
        <v>62464.774350162748</v>
      </c>
      <c r="U123" s="110">
        <f>T123</f>
        <v>62464.774350162748</v>
      </c>
      <c r="V123" s="75">
        <f t="shared" ref="V123:AG123" si="325">V115*V83</f>
        <v>71678.328763272002</v>
      </c>
      <c r="W123" s="75">
        <f t="shared" si="325"/>
        <v>65989.57148937801</v>
      </c>
      <c r="X123" s="75">
        <f t="shared" si="325"/>
        <v>62876.683795778001</v>
      </c>
      <c r="Y123" s="75">
        <f t="shared" si="325"/>
        <v>62339.665158578006</v>
      </c>
      <c r="Z123" s="75">
        <f t="shared" si="325"/>
        <v>55276.504777778006</v>
      </c>
      <c r="AA123" s="75">
        <f t="shared" si="325"/>
        <v>59891.224253378001</v>
      </c>
      <c r="AB123" s="75">
        <f t="shared" si="325"/>
        <v>62530.807385378001</v>
      </c>
      <c r="AC123" s="75">
        <f t="shared" si="325"/>
        <v>49542.237973778007</v>
      </c>
      <c r="AD123" s="75">
        <f t="shared" si="325"/>
        <v>57333.559218578004</v>
      </c>
      <c r="AE123" s="75">
        <f t="shared" si="325"/>
        <v>72251.754919778003</v>
      </c>
      <c r="AF123" s="75">
        <f t="shared" si="325"/>
        <v>62439.787277378004</v>
      </c>
      <c r="AG123" s="75">
        <f t="shared" si="325"/>
        <v>77958.715691378005</v>
      </c>
      <c r="AH123" s="110">
        <f>AG123</f>
        <v>77958.715691378005</v>
      </c>
      <c r="AI123" s="75">
        <f t="shared" ref="AI123:AT123" si="326">AI115*AI83</f>
        <v>79406.481393013572</v>
      </c>
      <c r="AJ123" s="75">
        <f t="shared" si="326"/>
        <v>72638.408202349572</v>
      </c>
      <c r="AK123" s="75">
        <f t="shared" si="326"/>
        <v>87065.823481213563</v>
      </c>
      <c r="AL123" s="75">
        <f t="shared" si="326"/>
        <v>80910.497657605563</v>
      </c>
      <c r="AM123" s="75">
        <f t="shared" si="326"/>
        <v>82024.583779525565</v>
      </c>
      <c r="AN123" s="75">
        <f t="shared" si="326"/>
        <v>81124.03083097357</v>
      </c>
      <c r="AO123" s="75">
        <f t="shared" si="326"/>
        <v>87492.889827949562</v>
      </c>
      <c r="AP123" s="75">
        <f t="shared" si="326"/>
        <v>80529.851565949575</v>
      </c>
      <c r="AQ123" s="75">
        <f t="shared" si="326"/>
        <v>92134.915335949554</v>
      </c>
      <c r="AR123" s="75">
        <f t="shared" si="326"/>
        <v>85171.877073949552</v>
      </c>
      <c r="AS123" s="75">
        <f t="shared" si="326"/>
        <v>87492.889827949533</v>
      </c>
      <c r="AT123" s="75">
        <f t="shared" si="326"/>
        <v>99097.953597949527</v>
      </c>
      <c r="AU123" s="110">
        <f>AT123</f>
        <v>99097.953597949527</v>
      </c>
    </row>
    <row r="124" spans="2:47" hidden="1" x14ac:dyDescent="0.2">
      <c r="B124" t="s">
        <v>344</v>
      </c>
      <c r="C124" s="76">
        <f>C115*C84</f>
        <v>461.53846153846155</v>
      </c>
      <c r="D124" s="76">
        <f>D115*D84</f>
        <v>346.15384615384613</v>
      </c>
      <c r="E124" s="76">
        <f>E115*E84</f>
        <v>476.92307692307691</v>
      </c>
      <c r="F124" s="76">
        <f>F115*F84</f>
        <v>341.02564102564099</v>
      </c>
      <c r="G124" s="76">
        <f>G115*G84</f>
        <v>502.56410256410254</v>
      </c>
      <c r="H124" s="133">
        <f>G124</f>
        <v>502.56410256410254</v>
      </c>
      <c r="I124" s="76">
        <f t="shared" ref="I124:T124" si="327">I115*I84</f>
        <v>551.28205128205127</v>
      </c>
      <c r="J124" s="76">
        <f t="shared" si="327"/>
        <v>692.30768640430244</v>
      </c>
      <c r="K124" s="76">
        <f t="shared" si="327"/>
        <v>589.03844948373956</v>
      </c>
      <c r="L124" s="76">
        <f t="shared" si="327"/>
        <v>733.02562294355801</v>
      </c>
      <c r="M124" s="76">
        <f t="shared" si="327"/>
        <v>615.21792460850475</v>
      </c>
      <c r="N124" s="76">
        <f t="shared" si="327"/>
        <v>602.1281749914001</v>
      </c>
      <c r="O124" s="76">
        <f t="shared" si="327"/>
        <v>641.39739973326994</v>
      </c>
      <c r="P124" s="76">
        <f t="shared" si="327"/>
        <v>628.30765011616529</v>
      </c>
      <c r="Q124" s="76">
        <f t="shared" si="327"/>
        <v>667.57687485803513</v>
      </c>
      <c r="R124" s="76">
        <f t="shared" si="327"/>
        <v>706.84609959990485</v>
      </c>
      <c r="S124" s="76">
        <f t="shared" si="327"/>
        <v>589.03840126485159</v>
      </c>
      <c r="T124" s="76">
        <f t="shared" si="327"/>
        <v>733.02557472467004</v>
      </c>
      <c r="U124" s="133">
        <f t="shared" ref="U124:U125" si="328">T124</f>
        <v>733.02557472467004</v>
      </c>
      <c r="V124" s="76">
        <f t="shared" ref="V124:AG124" si="329">V115*V84</f>
        <v>841.14684930202429</v>
      </c>
      <c r="W124" s="76">
        <f t="shared" si="329"/>
        <v>774.38915084642383</v>
      </c>
      <c r="X124" s="76">
        <f t="shared" si="329"/>
        <v>737.85934161565456</v>
      </c>
      <c r="Y124" s="76">
        <f t="shared" si="329"/>
        <v>731.55741546180843</v>
      </c>
      <c r="Z124" s="76">
        <f t="shared" si="329"/>
        <v>648.67106469257772</v>
      </c>
      <c r="AA124" s="76">
        <f t="shared" si="329"/>
        <v>702.82490469257766</v>
      </c>
      <c r="AB124" s="76">
        <f t="shared" si="329"/>
        <v>733.80047392334689</v>
      </c>
      <c r="AC124" s="76">
        <f t="shared" si="329"/>
        <v>581.37931084642389</v>
      </c>
      <c r="AD124" s="76">
        <f t="shared" si="329"/>
        <v>672.81064623103919</v>
      </c>
      <c r="AE124" s="76">
        <f t="shared" si="329"/>
        <v>847.8760185387315</v>
      </c>
      <c r="AF124" s="76">
        <f t="shared" si="329"/>
        <v>732.73235084642386</v>
      </c>
      <c r="AG124" s="76">
        <f t="shared" si="329"/>
        <v>914.84733546180837</v>
      </c>
      <c r="AH124" s="133">
        <f t="shared" ref="AH124:AH125" si="330">AG124</f>
        <v>914.84733546180837</v>
      </c>
      <c r="AI124" s="76">
        <f t="shared" ref="AI124:AT124" si="331">AI115*AI84</f>
        <v>931.83689952489101</v>
      </c>
      <c r="AJ124" s="76">
        <f t="shared" si="331"/>
        <v>852.41340377104484</v>
      </c>
      <c r="AK124" s="76">
        <f t="shared" si="331"/>
        <v>1021.7194564479679</v>
      </c>
      <c r="AL124" s="76">
        <f t="shared" si="331"/>
        <v>949.48656524796786</v>
      </c>
      <c r="AM124" s="76">
        <f t="shared" si="331"/>
        <v>962.56039170950635</v>
      </c>
      <c r="AN124" s="76">
        <f t="shared" si="331"/>
        <v>951.99238198642945</v>
      </c>
      <c r="AO124" s="76">
        <f t="shared" si="331"/>
        <v>1026.731089924891</v>
      </c>
      <c r="AP124" s="76">
        <f t="shared" si="331"/>
        <v>945.01967454027556</v>
      </c>
      <c r="AQ124" s="76">
        <f t="shared" si="331"/>
        <v>1081.2053668479678</v>
      </c>
      <c r="AR124" s="76">
        <f t="shared" si="331"/>
        <v>999.49395146335235</v>
      </c>
      <c r="AS124" s="76">
        <f t="shared" si="331"/>
        <v>1026.7310899248905</v>
      </c>
      <c r="AT124" s="76">
        <f t="shared" si="331"/>
        <v>1162.9167822325828</v>
      </c>
      <c r="AU124" s="133">
        <f t="shared" ref="AU124:AU125" si="332">AT124</f>
        <v>1162.9167822325828</v>
      </c>
    </row>
    <row r="125" spans="2:47" hidden="1" x14ac:dyDescent="0.2">
      <c r="B125" s="114" t="s">
        <v>345</v>
      </c>
      <c r="C125" s="121">
        <f>C115*C85</f>
        <v>210</v>
      </c>
      <c r="D125" s="121">
        <f>D115*D85</f>
        <v>157.5</v>
      </c>
      <c r="E125" s="121">
        <f>E115*E85</f>
        <v>217</v>
      </c>
      <c r="F125" s="121">
        <f>F115*F85</f>
        <v>155.16666666666669</v>
      </c>
      <c r="G125" s="121">
        <f>G115*G85</f>
        <v>228.66666666666669</v>
      </c>
      <c r="H125" s="274">
        <f>G125</f>
        <v>228.66666666666669</v>
      </c>
      <c r="I125" s="121">
        <f t="shared" ref="I125:T125" si="333">I115*I85</f>
        <v>250.83333333333334</v>
      </c>
      <c r="J125" s="121">
        <f t="shared" si="333"/>
        <v>314.99999731395764</v>
      </c>
      <c r="K125" s="121">
        <f t="shared" si="333"/>
        <v>268.01249451510148</v>
      </c>
      <c r="L125" s="121">
        <f t="shared" si="333"/>
        <v>333.52665843931891</v>
      </c>
      <c r="M125" s="121">
        <f t="shared" si="333"/>
        <v>279.9241556968696</v>
      </c>
      <c r="N125" s="121">
        <f t="shared" si="333"/>
        <v>273.96831962108706</v>
      </c>
      <c r="O125" s="121">
        <f t="shared" si="333"/>
        <v>291.83581687863779</v>
      </c>
      <c r="P125" s="121">
        <f t="shared" si="333"/>
        <v>285.87998080285519</v>
      </c>
      <c r="Q125" s="121">
        <f t="shared" si="333"/>
        <v>303.74747806040597</v>
      </c>
      <c r="R125" s="121">
        <f t="shared" si="333"/>
        <v>321.61497531795669</v>
      </c>
      <c r="S125" s="121">
        <f t="shared" si="333"/>
        <v>268.01247257550745</v>
      </c>
      <c r="T125" s="121">
        <f t="shared" si="333"/>
        <v>333.52663649972482</v>
      </c>
      <c r="U125" s="274">
        <f t="shared" si="328"/>
        <v>333.52663649972482</v>
      </c>
      <c r="V125" s="121">
        <f t="shared" ref="V125:AG125" si="334">V115*V85</f>
        <v>382.72181643242112</v>
      </c>
      <c r="W125" s="121">
        <f t="shared" si="334"/>
        <v>352.34706363512288</v>
      </c>
      <c r="X125" s="121">
        <f t="shared" si="334"/>
        <v>335.7260004351229</v>
      </c>
      <c r="Y125" s="121">
        <f t="shared" si="334"/>
        <v>332.85862403512289</v>
      </c>
      <c r="Z125" s="121">
        <f t="shared" si="334"/>
        <v>295.14533443512289</v>
      </c>
      <c r="AA125" s="121">
        <f t="shared" si="334"/>
        <v>319.78533163512287</v>
      </c>
      <c r="AB125" s="121">
        <f t="shared" si="334"/>
        <v>333.87921563512288</v>
      </c>
      <c r="AC125" s="121">
        <f t="shared" si="334"/>
        <v>264.52758643512288</v>
      </c>
      <c r="AD125" s="121">
        <f t="shared" si="334"/>
        <v>306.12884403512288</v>
      </c>
      <c r="AE125" s="121">
        <f t="shared" si="334"/>
        <v>385.78358843512285</v>
      </c>
      <c r="AF125" s="121">
        <f t="shared" si="334"/>
        <v>333.39321963512288</v>
      </c>
      <c r="AG125" s="121">
        <f t="shared" si="334"/>
        <v>416.25553763512289</v>
      </c>
      <c r="AH125" s="274">
        <f t="shared" si="330"/>
        <v>416.25553763512289</v>
      </c>
      <c r="AI125" s="121">
        <f t="shared" ref="AI125:AT125" si="335">AI115*AI85</f>
        <v>423.9857892838254</v>
      </c>
      <c r="AJ125" s="121">
        <f t="shared" si="335"/>
        <v>387.84809871582536</v>
      </c>
      <c r="AK125" s="121">
        <f t="shared" si="335"/>
        <v>464.88235268382539</v>
      </c>
      <c r="AL125" s="121">
        <f t="shared" si="335"/>
        <v>432.01638718782539</v>
      </c>
      <c r="AM125" s="121">
        <f t="shared" si="335"/>
        <v>437.96497822782538</v>
      </c>
      <c r="AN125" s="121">
        <f t="shared" si="335"/>
        <v>433.15653380382537</v>
      </c>
      <c r="AO125" s="121">
        <f t="shared" si="335"/>
        <v>467.16264591582541</v>
      </c>
      <c r="AP125" s="121">
        <f t="shared" si="335"/>
        <v>429.9839519158254</v>
      </c>
      <c r="AQ125" s="121">
        <f t="shared" si="335"/>
        <v>491.9484419158253</v>
      </c>
      <c r="AR125" s="121">
        <f t="shared" si="335"/>
        <v>454.76974791582529</v>
      </c>
      <c r="AS125" s="121">
        <f t="shared" si="335"/>
        <v>467.16264591582518</v>
      </c>
      <c r="AT125" s="121">
        <f t="shared" si="335"/>
        <v>529.12713591582519</v>
      </c>
      <c r="AU125" s="274">
        <f t="shared" si="332"/>
        <v>529.12713591582519</v>
      </c>
    </row>
    <row r="126" spans="2:47" hidden="1" x14ac:dyDescent="0.2">
      <c r="B126" s="6" t="s">
        <v>346</v>
      </c>
      <c r="C126" s="109">
        <f>SUM(C122:C125)</f>
        <v>122740.36764659446</v>
      </c>
      <c r="D126" s="109">
        <f t="shared" ref="D126:AU126" si="336">SUM(D122:D125)</f>
        <v>89519.755341803495</v>
      </c>
      <c r="E126" s="109">
        <f t="shared" si="336"/>
        <v>133282.28981147683</v>
      </c>
      <c r="F126" s="109">
        <f t="shared" si="336"/>
        <v>101296.10986735833</v>
      </c>
      <c r="G126" s="109">
        <f t="shared" si="336"/>
        <v>137656.2268151195</v>
      </c>
      <c r="H126" s="109">
        <f t="shared" si="336"/>
        <v>137656.2268151195</v>
      </c>
      <c r="I126" s="109">
        <f t="shared" si="336"/>
        <v>164935.99417150408</v>
      </c>
      <c r="J126" s="109">
        <f t="shared" si="336"/>
        <v>193903.74068068169</v>
      </c>
      <c r="K126" s="109">
        <f t="shared" si="336"/>
        <v>170115.5622484886</v>
      </c>
      <c r="L126" s="109">
        <f t="shared" si="336"/>
        <v>199537.26568435898</v>
      </c>
      <c r="M126" s="109">
        <f t="shared" si="336"/>
        <v>172196.60090187157</v>
      </c>
      <c r="N126" s="109">
        <f t="shared" si="336"/>
        <v>181961.31929558</v>
      </c>
      <c r="O126" s="109">
        <f t="shared" si="336"/>
        <v>182907.81395916952</v>
      </c>
      <c r="P126" s="109">
        <f t="shared" si="336"/>
        <v>192672.5323528779</v>
      </c>
      <c r="Q126" s="109">
        <f t="shared" si="336"/>
        <v>193619.02701646741</v>
      </c>
      <c r="R126" s="109">
        <f t="shared" si="336"/>
        <v>197975.70762234522</v>
      </c>
      <c r="S126" s="109">
        <f t="shared" si="336"/>
        <v>170298.1138628578</v>
      </c>
      <c r="T126" s="109">
        <f t="shared" si="336"/>
        <v>208686.92067964314</v>
      </c>
      <c r="U126" s="109">
        <f t="shared" si="336"/>
        <v>208686.92067964314</v>
      </c>
      <c r="V126" s="109">
        <f t="shared" si="336"/>
        <v>248544.44820641109</v>
      </c>
      <c r="W126" s="109">
        <f t="shared" si="336"/>
        <v>214797.10402814668</v>
      </c>
      <c r="X126" s="109">
        <f t="shared" si="336"/>
        <v>218082.31657220988</v>
      </c>
      <c r="Y126" s="109">
        <f t="shared" si="336"/>
        <v>205698.13921342205</v>
      </c>
      <c r="Z126" s="109">
        <f t="shared" si="336"/>
        <v>183163.23661844648</v>
      </c>
      <c r="AA126" s="109">
        <f t="shared" si="336"/>
        <v>195617.48456154688</v>
      </c>
      <c r="AB126" s="109">
        <f t="shared" si="336"/>
        <v>201396.93080651746</v>
      </c>
      <c r="AC126" s="109">
        <f t="shared" si="336"/>
        <v>171311.23885284213</v>
      </c>
      <c r="AD126" s="109">
        <f t="shared" si="336"/>
        <v>189471.09174416796</v>
      </c>
      <c r="AE126" s="109">
        <f t="shared" si="336"/>
        <v>239147.30133362368</v>
      </c>
      <c r="AF126" s="109">
        <f t="shared" si="336"/>
        <v>214774.83852247751</v>
      </c>
      <c r="AG126" s="109">
        <f t="shared" si="336"/>
        <v>254588.09644094575</v>
      </c>
      <c r="AH126" s="109">
        <f t="shared" si="336"/>
        <v>254588.09644094575</v>
      </c>
      <c r="AI126" s="109">
        <f t="shared" si="336"/>
        <v>250980.66014150588</v>
      </c>
      <c r="AJ126" s="109">
        <f t="shared" si="336"/>
        <v>244647.64414997035</v>
      </c>
      <c r="AK126" s="109">
        <f t="shared" si="336"/>
        <v>296693.85613153991</v>
      </c>
      <c r="AL126" s="109">
        <f t="shared" si="336"/>
        <v>267574.34909311956</v>
      </c>
      <c r="AM126" s="109">
        <f t="shared" si="336"/>
        <v>270601.52588679176</v>
      </c>
      <c r="AN126" s="109">
        <f t="shared" si="336"/>
        <v>263272.44749401486</v>
      </c>
      <c r="AO126" s="109">
        <f t="shared" si="336"/>
        <v>288096.41129817331</v>
      </c>
      <c r="AP126" s="109">
        <f t="shared" si="336"/>
        <v>263833.33686420409</v>
      </c>
      <c r="AQ126" s="109">
        <f t="shared" si="336"/>
        <v>301215.53841868747</v>
      </c>
      <c r="AR126" s="109">
        <f t="shared" si="336"/>
        <v>276952.46398471826</v>
      </c>
      <c r="AS126" s="109">
        <f t="shared" si="336"/>
        <v>288096.41366057721</v>
      </c>
      <c r="AT126" s="109">
        <f t="shared" si="336"/>
        <v>325478.61521506053</v>
      </c>
      <c r="AU126" s="109">
        <f t="shared" si="336"/>
        <v>325478.61521506053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Summary</vt:lpstr>
      <vt:lpstr>Assumptions</vt:lpstr>
      <vt:lpstr>Output </vt:lpstr>
      <vt:lpstr>Model </vt:lpstr>
      <vt:lpstr>Production Funding</vt:lpstr>
      <vt:lpstr>Price Analysis</vt:lpstr>
      <vt:lpstr>Investor Returns</vt:lpstr>
      <vt:lpstr>Inventory</vt:lpstr>
      <vt:lpstr>Monthly Financial Statements </vt:lpstr>
      <vt:lpstr>Scenarios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 Daher</dc:creator>
  <cp:lastModifiedBy>Thomas Stedman</cp:lastModifiedBy>
  <dcterms:created xsi:type="dcterms:W3CDTF">2025-04-05T08:25:54Z</dcterms:created>
  <dcterms:modified xsi:type="dcterms:W3CDTF">2025-08-15T12:02:38Z</dcterms:modified>
</cp:coreProperties>
</file>